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13_ncr:1_{ACDC0E86-EFF4-4204-8694-B7BFD0099562}" xr6:coauthVersionLast="47" xr6:coauthVersionMax="47" xr10:uidLastSave="{00000000-0000-0000-0000-000000000000}"/>
  <bookViews>
    <workbookView xWindow="-108" yWindow="-108" windowWidth="23256" windowHeight="12456"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state="hidden"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Capacity!$A$2:$G$29</definedName>
    <definedName name="_xlnm.Print_Area" localSheetId="3">Contents!$A$1:$J$25</definedName>
    <definedName name="_xlnm.Print_Area" localSheetId="2">Cover!$A$1:$C$25</definedName>
    <definedName name="_xlnm.Print_Area" localSheetId="5">'Population and treatments'!$A$2:$L$94</definedName>
    <definedName name="_xlnm.Print_Area" localSheetId="0">'Population selection'!$B$11:$J$17</definedName>
    <definedName name="_xlnm.Print_Area" localSheetId="4">Summary!$A$1:$J$45</definedName>
    <definedName name="_xlnm.Print_Area" localSheetId="6">'Unit costs'!$A$1:$P$211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8" i="61" l="1"/>
  <c r="E128" i="61"/>
  <c r="D128" i="61"/>
  <c r="F118" i="61"/>
  <c r="E118" i="61"/>
  <c r="D118" i="61"/>
  <c r="F54" i="47"/>
  <c r="E54" i="47"/>
  <c r="D54" i="47"/>
  <c r="C54" i="47"/>
  <c r="F43" i="47"/>
  <c r="E43" i="47"/>
  <c r="D43" i="47"/>
  <c r="C43" i="47"/>
  <c r="F41" i="47"/>
  <c r="E41" i="47"/>
  <c r="D41" i="47"/>
  <c r="C41" i="47"/>
  <c r="A1" i="47"/>
  <c r="F132" i="61" l="1"/>
  <c r="E132" i="61"/>
  <c r="D132" i="61"/>
  <c r="C132" i="61"/>
  <c r="A132" i="61"/>
  <c r="A131" i="61"/>
  <c r="A130" i="61"/>
  <c r="A129" i="61"/>
  <c r="A128" i="61"/>
  <c r="A127" i="61"/>
  <c r="A126" i="61"/>
  <c r="C128" i="61"/>
  <c r="A94" i="61" l="1"/>
  <c r="H54" i="47"/>
  <c r="B54" i="47"/>
  <c r="F16" i="47" l="1"/>
  <c r="L54" i="47" s="1"/>
  <c r="E16" i="47"/>
  <c r="K54" i="47" s="1"/>
  <c r="D16" i="47"/>
  <c r="J54" i="47" s="1"/>
  <c r="C16" i="47"/>
  <c r="I54" i="47" s="1"/>
  <c r="A16" i="47"/>
  <c r="A54" i="47" s="1"/>
  <c r="B55" i="47"/>
  <c r="H55" i="47"/>
  <c r="F32" i="61"/>
  <c r="E32" i="61"/>
  <c r="D32" i="61"/>
  <c r="C32" i="61"/>
  <c r="A32" i="61"/>
  <c r="A41" i="61" s="1"/>
  <c r="A51" i="61" s="1"/>
  <c r="E16" i="61"/>
  <c r="L71" i="50"/>
  <c r="K71" i="50"/>
  <c r="J71" i="50"/>
  <c r="I71" i="50"/>
  <c r="E15" i="59"/>
  <c r="C15" i="59"/>
  <c r="M85" i="59"/>
  <c r="O85" i="59" s="1"/>
  <c r="A85" i="59"/>
  <c r="M80" i="59"/>
  <c r="L80" i="59"/>
  <c r="O80" i="59" s="1"/>
  <c r="F80" i="59"/>
  <c r="E80" i="59"/>
  <c r="D80" i="59"/>
  <c r="C80" i="59"/>
  <c r="B80" i="59"/>
  <c r="A80" i="59"/>
  <c r="A76" i="59"/>
  <c r="J80" i="59"/>
  <c r="K80" i="59"/>
  <c r="C89" i="61" l="1"/>
  <c r="C71" i="61"/>
  <c r="C81" i="61" s="1"/>
  <c r="F89" i="61"/>
  <c r="F71" i="61"/>
  <c r="F81" i="61" s="1"/>
  <c r="D89" i="61"/>
  <c r="D71" i="61"/>
  <c r="D81" i="61" s="1"/>
  <c r="E89" i="61"/>
  <c r="E71" i="61"/>
  <c r="E81" i="61" s="1"/>
  <c r="C41" i="61"/>
  <c r="C118" i="61" s="1"/>
  <c r="A61" i="61"/>
  <c r="A89" i="61"/>
  <c r="D41" i="61"/>
  <c r="E41" i="61"/>
  <c r="F51" i="61"/>
  <c r="F61" i="61" s="1"/>
  <c r="F41" i="61"/>
  <c r="D51" i="61"/>
  <c r="D61" i="61" s="1"/>
  <c r="C51" i="61"/>
  <c r="C61" i="61" s="1"/>
  <c r="E51" i="61"/>
  <c r="E61" i="61" s="1"/>
  <c r="O81" i="59"/>
  <c r="B15" i="59" s="1"/>
  <c r="H16" i="47" s="1"/>
  <c r="J16" i="47" s="1"/>
  <c r="K16" i="47" l="1"/>
  <c r="L16" i="47"/>
  <c r="I16" i="47"/>
  <c r="C94" i="61"/>
  <c r="C95" i="61" s="1"/>
  <c r="C42" i="47" s="1"/>
  <c r="E94" i="61"/>
  <c r="E95" i="61" s="1"/>
  <c r="E42" i="47" s="1"/>
  <c r="D94" i="61"/>
  <c r="D95" i="61" s="1"/>
  <c r="D42" i="47" s="1"/>
  <c r="F94" i="61"/>
  <c r="F95" i="61" s="1"/>
  <c r="F42" i="47" s="1"/>
  <c r="A71" i="61"/>
  <c r="A118" i="61"/>
  <c r="H27" i="47"/>
  <c r="H26" i="47"/>
  <c r="A12" i="47"/>
  <c r="A50" i="47" s="1"/>
  <c r="A18" i="47"/>
  <c r="A56" i="47" s="1"/>
  <c r="E19" i="59"/>
  <c r="B56" i="47" s="1"/>
  <c r="E17" i="59"/>
  <c r="E14" i="59"/>
  <c r="B53" i="47" s="1"/>
  <c r="A36" i="61"/>
  <c r="A35" i="61"/>
  <c r="I16" i="61"/>
  <c r="H16" i="61"/>
  <c r="E18" i="59"/>
  <c r="B52" i="47" s="1"/>
  <c r="E16" i="59"/>
  <c r="B51" i="47" s="1"/>
  <c r="E13" i="59"/>
  <c r="M152" i="59"/>
  <c r="A45" i="61" l="1"/>
  <c r="A103" i="61"/>
  <c r="A112" i="61" s="1"/>
  <c r="A44" i="61"/>
  <c r="A102" i="61"/>
  <c r="A111" i="61" s="1"/>
  <c r="A55" i="61"/>
  <c r="A65" i="61" l="1"/>
  <c r="A75" i="61" s="1"/>
  <c r="M146" i="59"/>
  <c r="L146" i="59"/>
  <c r="M147" i="59"/>
  <c r="L147" i="59"/>
  <c r="J147" i="59"/>
  <c r="E147" i="59"/>
  <c r="D147" i="59"/>
  <c r="C147" i="59"/>
  <c r="E146" i="59"/>
  <c r="D146" i="59"/>
  <c r="C146" i="59"/>
  <c r="L128" i="59"/>
  <c r="M128" i="59"/>
  <c r="E128" i="59"/>
  <c r="D128" i="59"/>
  <c r="C128" i="59"/>
  <c r="O152" i="59"/>
  <c r="C19" i="59" s="1"/>
  <c r="H56" i="47" s="1"/>
  <c r="J146" i="59"/>
  <c r="M135" i="59"/>
  <c r="O135" i="59" s="1"/>
  <c r="C18" i="59" s="1"/>
  <c r="H52" i="47" s="1"/>
  <c r="A135" i="59"/>
  <c r="N130" i="59"/>
  <c r="J128" i="59"/>
  <c r="M113" i="59"/>
  <c r="L113" i="59"/>
  <c r="E113" i="59"/>
  <c r="D113" i="59"/>
  <c r="C113" i="59"/>
  <c r="L95" i="59"/>
  <c r="M95" i="59"/>
  <c r="E95" i="59"/>
  <c r="D95" i="59"/>
  <c r="C95" i="59"/>
  <c r="M118" i="59"/>
  <c r="O118" i="59" s="1"/>
  <c r="C17" i="59" s="1"/>
  <c r="J113" i="59"/>
  <c r="M102" i="59"/>
  <c r="O102" i="59" s="1"/>
  <c r="C16" i="59" s="1"/>
  <c r="H51" i="47" s="1"/>
  <c r="A102" i="59"/>
  <c r="N97" i="59"/>
  <c r="J95" i="59"/>
  <c r="M65" i="59"/>
  <c r="L65" i="59"/>
  <c r="E65" i="59"/>
  <c r="D65" i="59"/>
  <c r="C65" i="59"/>
  <c r="M70" i="59"/>
  <c r="O70" i="59" s="1"/>
  <c r="C14" i="59" s="1"/>
  <c r="H53" i="47" s="1"/>
  <c r="A70" i="59"/>
  <c r="J65" i="59"/>
  <c r="M54" i="59"/>
  <c r="A122" i="61" l="1"/>
  <c r="A85" i="61"/>
  <c r="N49" i="59"/>
  <c r="G201" i="59"/>
  <c r="E201" i="59"/>
  <c r="C201" i="59"/>
  <c r="M174" i="59"/>
  <c r="L174" i="59"/>
  <c r="J174" i="59"/>
  <c r="E174" i="59"/>
  <c r="D174" i="59"/>
  <c r="M185" i="59"/>
  <c r="L185" i="59"/>
  <c r="J185" i="59"/>
  <c r="E185" i="59"/>
  <c r="D185" i="59"/>
  <c r="M182" i="59"/>
  <c r="L182" i="59"/>
  <c r="J182" i="59"/>
  <c r="E182" i="59"/>
  <c r="D182" i="59"/>
  <c r="M179" i="59"/>
  <c r="L179" i="59"/>
  <c r="J179" i="59"/>
  <c r="E179" i="59"/>
  <c r="D179" i="59"/>
  <c r="M176" i="59"/>
  <c r="L176" i="59"/>
  <c r="J176" i="59"/>
  <c r="E176" i="59"/>
  <c r="D176" i="59"/>
  <c r="M173" i="59"/>
  <c r="L173" i="59"/>
  <c r="E173" i="59"/>
  <c r="D173" i="59"/>
  <c r="J173" i="59"/>
  <c r="M177" i="59"/>
  <c r="L177" i="59"/>
  <c r="J177" i="59"/>
  <c r="E177" i="59"/>
  <c r="D177" i="59"/>
  <c r="M162" i="59"/>
  <c r="L162" i="59"/>
  <c r="E162" i="59"/>
  <c r="D162" i="59"/>
  <c r="M186" i="59"/>
  <c r="L186" i="59"/>
  <c r="J186" i="59"/>
  <c r="E186" i="59"/>
  <c r="D186" i="59"/>
  <c r="M171" i="59"/>
  <c r="L171" i="59"/>
  <c r="J171" i="59"/>
  <c r="E171" i="59"/>
  <c r="D171" i="59"/>
  <c r="M183" i="59"/>
  <c r="L183" i="59"/>
  <c r="J183" i="59"/>
  <c r="E183" i="59"/>
  <c r="D183" i="59"/>
  <c r="M168" i="59"/>
  <c r="L168" i="59"/>
  <c r="E168" i="59"/>
  <c r="D168" i="59"/>
  <c r="M180" i="59"/>
  <c r="L180" i="59"/>
  <c r="J180" i="59"/>
  <c r="E180" i="59"/>
  <c r="D180" i="59"/>
  <c r="M165" i="59"/>
  <c r="L165" i="59"/>
  <c r="E165" i="59"/>
  <c r="D165" i="59"/>
  <c r="J168" i="59"/>
  <c r="J165" i="59"/>
  <c r="J162" i="59"/>
  <c r="M170" i="59"/>
  <c r="L170" i="59"/>
  <c r="J170" i="59"/>
  <c r="E170" i="59"/>
  <c r="D170" i="59"/>
  <c r="M167" i="59"/>
  <c r="L167" i="59"/>
  <c r="J167" i="59"/>
  <c r="E167" i="59"/>
  <c r="D167" i="59"/>
  <c r="M164" i="59"/>
  <c r="L164" i="59"/>
  <c r="M161" i="59"/>
  <c r="J164" i="59"/>
  <c r="E164" i="59"/>
  <c r="D164" i="59"/>
  <c r="E161" i="59"/>
  <c r="D161" i="59"/>
  <c r="L161" i="59"/>
  <c r="J161" i="59"/>
  <c r="O185" i="59" l="1"/>
  <c r="O183" i="59"/>
  <c r="O177" i="59"/>
  <c r="O180" i="59"/>
  <c r="O182" i="59"/>
  <c r="O176" i="59"/>
  <c r="O186" i="59"/>
  <c r="O179" i="59"/>
  <c r="O187" i="59" l="1"/>
  <c r="B200" i="59" s="1"/>
  <c r="D200" i="59" s="1"/>
  <c r="O184" i="59"/>
  <c r="B199" i="59" s="1"/>
  <c r="D199" i="59" s="1"/>
  <c r="O181" i="59"/>
  <c r="B198" i="59" s="1"/>
  <c r="O178" i="59"/>
  <c r="B197" i="59" s="1"/>
  <c r="F200" i="59" l="1"/>
  <c r="H200" i="59"/>
  <c r="H199" i="59"/>
  <c r="F199" i="59"/>
  <c r="H197" i="59"/>
  <c r="F197" i="59"/>
  <c r="D197" i="59"/>
  <c r="H198" i="59"/>
  <c r="F198" i="59"/>
  <c r="D198" i="59"/>
  <c r="J47" i="59" l="1"/>
  <c r="F34" i="59" l="1"/>
  <c r="F33" i="59"/>
  <c r="F32" i="59"/>
  <c r="F31" i="59"/>
  <c r="F30" i="59"/>
  <c r="F29" i="59"/>
  <c r="F28" i="59"/>
  <c r="F147" i="59" s="1"/>
  <c r="K147" i="59" s="1"/>
  <c r="O147" i="59" s="1"/>
  <c r="F27" i="59"/>
  <c r="F26" i="59"/>
  <c r="E57" i="50"/>
  <c r="D57" i="50"/>
  <c r="F146" i="59" l="1"/>
  <c r="K146" i="59" s="1"/>
  <c r="O146" i="59" s="1"/>
  <c r="O148" i="59" s="1"/>
  <c r="B19" i="59" s="1"/>
  <c r="H18" i="47" s="1"/>
  <c r="F128" i="59"/>
  <c r="K128" i="59" s="1"/>
  <c r="O128" i="59" s="1"/>
  <c r="F113" i="59"/>
  <c r="K113" i="59" s="1"/>
  <c r="O113" i="59" s="1"/>
  <c r="O114" i="59" s="1"/>
  <c r="B17" i="59" s="1"/>
  <c r="F95" i="59"/>
  <c r="K95" i="59" s="1"/>
  <c r="O95" i="59" s="1"/>
  <c r="F176" i="59"/>
  <c r="K176" i="59" s="1"/>
  <c r="F179" i="59"/>
  <c r="K179" i="59" s="1"/>
  <c r="F182" i="59"/>
  <c r="K182" i="59" s="1"/>
  <c r="F185" i="59"/>
  <c r="K185" i="59" s="1"/>
  <c r="F173" i="59"/>
  <c r="K173" i="59" s="1"/>
  <c r="O173" i="59" s="1"/>
  <c r="F171" i="59"/>
  <c r="K171" i="59" s="1"/>
  <c r="O171" i="59" s="1"/>
  <c r="F186" i="59"/>
  <c r="K186" i="59" s="1"/>
  <c r="F180" i="59"/>
  <c r="K180" i="59" s="1"/>
  <c r="F165" i="59"/>
  <c r="K165" i="59" s="1"/>
  <c r="O165" i="59" s="1"/>
  <c r="F161" i="59"/>
  <c r="K161" i="59" s="1"/>
  <c r="O161" i="59" s="1"/>
  <c r="F164" i="59"/>
  <c r="K164" i="59" s="1"/>
  <c r="O164" i="59" s="1"/>
  <c r="F170" i="59"/>
  <c r="K170" i="59" s="1"/>
  <c r="O170" i="59" s="1"/>
  <c r="F167" i="59"/>
  <c r="K167" i="59" s="1"/>
  <c r="O167" i="59" s="1"/>
  <c r="G62" i="50"/>
  <c r="F62" i="50"/>
  <c r="E62" i="50"/>
  <c r="D62" i="50"/>
  <c r="G57" i="50"/>
  <c r="F57" i="50"/>
  <c r="O172" i="59" l="1"/>
  <c r="B195" i="59" s="1"/>
  <c r="D15" i="50"/>
  <c r="A13" i="47"/>
  <c r="A51" i="47" s="1"/>
  <c r="A14" i="47"/>
  <c r="A52" i="47" s="1"/>
  <c r="A15" i="47"/>
  <c r="A53" i="47" s="1"/>
  <c r="A17" i="47"/>
  <c r="A55" i="47" s="1"/>
  <c r="G68" i="62"/>
  <c r="G69" i="62"/>
  <c r="G70" i="62"/>
  <c r="G71" i="62"/>
  <c r="G67" i="62"/>
  <c r="G60" i="62"/>
  <c r="G61" i="62"/>
  <c r="G62" i="62"/>
  <c r="G63" i="62"/>
  <c r="G59" i="62"/>
  <c r="A27" i="62"/>
  <c r="A28" i="62"/>
  <c r="A29" i="62"/>
  <c r="A30" i="62"/>
  <c r="A26" i="62"/>
  <c r="F8" i="62"/>
  <c r="F17" i="62" s="1"/>
  <c r="E8" i="62"/>
  <c r="E17" i="62" s="1"/>
  <c r="D8" i="62"/>
  <c r="D17" i="62" s="1"/>
  <c r="C8" i="62"/>
  <c r="C17" i="62" s="1"/>
  <c r="B8" i="62"/>
  <c r="B17" i="62" s="1"/>
  <c r="E9" i="50"/>
  <c r="A31" i="61"/>
  <c r="A99" i="61" s="1"/>
  <c r="A108" i="61" s="1"/>
  <c r="A33" i="61"/>
  <c r="A100" i="61" s="1"/>
  <c r="A109" i="61" s="1"/>
  <c r="A34" i="61"/>
  <c r="A101" i="61" s="1"/>
  <c r="A110" i="61" s="1"/>
  <c r="A54" i="61"/>
  <c r="A30" i="61"/>
  <c r="A98" i="61" s="1"/>
  <c r="A107" i="61" s="1"/>
  <c r="G16" i="61"/>
  <c r="F16" i="61"/>
  <c r="D16" i="61"/>
  <c r="C16" i="61"/>
  <c r="A64" i="61" l="1"/>
  <c r="A121" i="61" s="1"/>
  <c r="A43" i="61"/>
  <c r="A53" i="61" s="1"/>
  <c r="A42" i="61"/>
  <c r="A52" i="61" s="1"/>
  <c r="A40" i="61"/>
  <c r="A50" i="61" s="1"/>
  <c r="A39" i="61"/>
  <c r="A49" i="61" s="1"/>
  <c r="H195" i="59"/>
  <c r="D195" i="59"/>
  <c r="F195" i="59"/>
  <c r="A66" i="62"/>
  <c r="A50" i="62"/>
  <c r="A58" i="62"/>
  <c r="A34" i="62"/>
  <c r="A42" i="62"/>
  <c r="A74" i="61" l="1"/>
  <c r="A84" i="61" s="1"/>
  <c r="A59" i="61"/>
  <c r="A60" i="61"/>
  <c r="A62" i="61"/>
  <c r="A63" i="61"/>
  <c r="A81" i="61"/>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A73" i="61" l="1"/>
  <c r="A83" i="61" s="1"/>
  <c r="A72" i="61"/>
  <c r="A82" i="61" s="1"/>
  <c r="A69" i="61"/>
  <c r="A79" i="61" s="1"/>
  <c r="A116" i="61"/>
  <c r="A119" i="61"/>
  <c r="A117" i="61"/>
  <c r="A70" i="61"/>
  <c r="A80" i="61" s="1"/>
  <c r="A120" i="61"/>
  <c r="G20" i="57"/>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47" i="59" l="1"/>
  <c r="A54" i="59"/>
  <c r="E33" i="50" l="1"/>
  <c r="F33" i="50" s="1"/>
  <c r="G33" i="50" s="1"/>
  <c r="D16" i="50" l="1"/>
  <c r="C47" i="59"/>
  <c r="E47" i="59"/>
  <c r="D47" i="59"/>
  <c r="F35" i="59"/>
  <c r="F174" i="59" s="1"/>
  <c r="K174" i="59" s="1"/>
  <c r="O174" i="59" s="1"/>
  <c r="F36" i="59"/>
  <c r="F37" i="59"/>
  <c r="F177" i="59" s="1"/>
  <c r="K177" i="59" s="1"/>
  <c r="F38" i="59"/>
  <c r="F24" i="59"/>
  <c r="B34" i="50"/>
  <c r="F47" i="59" l="1"/>
  <c r="F65" i="59"/>
  <c r="K65" i="59" s="1"/>
  <c r="O65" i="59" s="1"/>
  <c r="O66" i="59" s="1"/>
  <c r="F168" i="59"/>
  <c r="K168" i="59" s="1"/>
  <c r="O168" i="59" s="1"/>
  <c r="O169" i="59" s="1"/>
  <c r="B194" i="59" s="1"/>
  <c r="F183" i="59"/>
  <c r="K183" i="59" s="1"/>
  <c r="F162" i="59"/>
  <c r="K162" i="59" s="1"/>
  <c r="O162" i="59" s="1"/>
  <c r="E32" i="50"/>
  <c r="B14" i="59" l="1"/>
  <c r="H15" i="47" s="1"/>
  <c r="H17" i="47"/>
  <c r="D194" i="59"/>
  <c r="F194" i="59"/>
  <c r="H194" i="59"/>
  <c r="M47" i="59"/>
  <c r="L47" i="59"/>
  <c r="G27" i="62" l="1"/>
  <c r="G28" i="62"/>
  <c r="G29" i="62"/>
  <c r="G30" i="62"/>
  <c r="G26" i="62"/>
  <c r="G52" i="62"/>
  <c r="G53" i="62"/>
  <c r="G54" i="62"/>
  <c r="G55" i="62"/>
  <c r="G51" i="62"/>
  <c r="G44" i="62"/>
  <c r="G45" i="62"/>
  <c r="G46" i="62"/>
  <c r="G47" i="62"/>
  <c r="G43" i="62"/>
  <c r="G36" i="62"/>
  <c r="G37" i="62"/>
  <c r="G38" i="62"/>
  <c r="G39" i="62"/>
  <c r="G35" i="62"/>
  <c r="O166" i="59" l="1"/>
  <c r="B193" i="59" s="1"/>
  <c r="O175" i="59"/>
  <c r="B196" i="59" s="1"/>
  <c r="H196" i="59" l="1"/>
  <c r="D196" i="59"/>
  <c r="F196" i="59"/>
  <c r="D193" i="59"/>
  <c r="H193" i="59"/>
  <c r="F193" i="59"/>
  <c r="O163" i="59" l="1"/>
  <c r="B192" i="59" l="1"/>
  <c r="D192" i="59" l="1"/>
  <c r="D201" i="59" s="1"/>
  <c r="M49" i="59" s="1"/>
  <c r="O49" i="59" s="1"/>
  <c r="F192" i="59"/>
  <c r="F201" i="59" s="1"/>
  <c r="M97" i="59" s="1"/>
  <c r="O97" i="59" s="1"/>
  <c r="O98" i="59" s="1"/>
  <c r="B16" i="59" s="1"/>
  <c r="H13" i="47" s="1"/>
  <c r="H192" i="59"/>
  <c r="H201" i="59" s="1"/>
  <c r="M130" i="59" s="1"/>
  <c r="O130" i="59" s="1"/>
  <c r="O131" i="59" s="1"/>
  <c r="B18" i="59" s="1"/>
  <c r="H14" i="47" s="1"/>
  <c r="B35" i="50"/>
  <c r="K47" i="59" l="1"/>
  <c r="F32" i="50"/>
  <c r="G32" i="50" s="1"/>
  <c r="O47" i="59" l="1"/>
  <c r="F1784" i="32"/>
  <c r="E1784" i="32"/>
  <c r="O50" i="59" l="1"/>
  <c r="B13" i="59" s="1"/>
  <c r="H12" i="47" s="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54" i="59"/>
  <c r="C13" i="59" s="1"/>
  <c r="H50" i="47" s="1"/>
  <c r="B50" i="4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2" i="50" l="1"/>
  <c r="D23" i="50" s="1"/>
  <c r="D34" i="50"/>
  <c r="E34" i="50" s="1"/>
  <c r="D24" i="50" l="1"/>
  <c r="D25" i="50" s="1"/>
  <c r="D26" i="50" s="1"/>
  <c r="D27" i="50" s="1"/>
  <c r="D28" i="50" s="1"/>
  <c r="F34" i="50"/>
  <c r="G34" i="50"/>
  <c r="D35" i="50" l="1"/>
  <c r="I56" i="50" s="1"/>
  <c r="I53" i="50" l="1"/>
  <c r="F18" i="62"/>
  <c r="E18" i="62"/>
  <c r="I55" i="50"/>
  <c r="I69" i="50" s="1"/>
  <c r="C35" i="61" s="1"/>
  <c r="C102" i="61" s="1"/>
  <c r="C111" i="61" s="1"/>
  <c r="I54" i="50"/>
  <c r="E35" i="50"/>
  <c r="C74" i="61" l="1"/>
  <c r="C84" i="61" s="1"/>
  <c r="I67" i="50"/>
  <c r="C30" i="61" s="1"/>
  <c r="C98" i="61" s="1"/>
  <c r="I60" i="50"/>
  <c r="C54" i="61"/>
  <c r="C44" i="61"/>
  <c r="I68" i="50"/>
  <c r="C13" i="47" s="1"/>
  <c r="I51" i="47" s="1"/>
  <c r="C33" i="61"/>
  <c r="I57" i="50"/>
  <c r="C8" i="47" s="1"/>
  <c r="J54" i="50"/>
  <c r="J56" i="50"/>
  <c r="I62" i="50"/>
  <c r="I61" i="50"/>
  <c r="I59" i="50"/>
  <c r="J55" i="50"/>
  <c r="J69" i="50" s="1"/>
  <c r="D35" i="61" s="1"/>
  <c r="D102" i="61" s="1"/>
  <c r="J53" i="50"/>
  <c r="J60" i="50" s="1"/>
  <c r="F35" i="50"/>
  <c r="B67" i="62"/>
  <c r="B71" i="62"/>
  <c r="H71" i="62" s="1"/>
  <c r="B70" i="62"/>
  <c r="H70" i="62" s="1"/>
  <c r="B69" i="62"/>
  <c r="H69" i="62" s="1"/>
  <c r="B68" i="62"/>
  <c r="H68" i="62" s="1"/>
  <c r="B63" i="62"/>
  <c r="H63" i="62" s="1"/>
  <c r="B61" i="62"/>
  <c r="H61" i="62" s="1"/>
  <c r="B59" i="62"/>
  <c r="B62" i="62"/>
  <c r="H62" i="62" s="1"/>
  <c r="B60" i="62"/>
  <c r="H60" i="62" s="1"/>
  <c r="C131" i="61" l="1"/>
  <c r="C121" i="61"/>
  <c r="C100" i="61"/>
  <c r="C109" i="61" s="1"/>
  <c r="C72" i="61"/>
  <c r="C82" i="61" s="1"/>
  <c r="C107" i="61"/>
  <c r="C64" i="61"/>
  <c r="C69" i="61"/>
  <c r="C79" i="61" s="1"/>
  <c r="C49" i="61"/>
  <c r="C59" i="61" s="1"/>
  <c r="C39" i="61"/>
  <c r="C116" i="61" s="1"/>
  <c r="C12" i="47"/>
  <c r="I63" i="50"/>
  <c r="I73" i="50"/>
  <c r="I70" i="50"/>
  <c r="C31" i="61" s="1"/>
  <c r="C99" i="61" s="1"/>
  <c r="C108" i="61" s="1"/>
  <c r="I72" i="50"/>
  <c r="C34" i="61" s="1"/>
  <c r="J67" i="50"/>
  <c r="D30" i="61" s="1"/>
  <c r="D98" i="61" s="1"/>
  <c r="D74" i="61"/>
  <c r="D84" i="61" s="1"/>
  <c r="C42" i="61"/>
  <c r="C119" i="61" s="1"/>
  <c r="C52" i="61"/>
  <c r="D54" i="61"/>
  <c r="D44" i="61"/>
  <c r="D121" i="61" s="1"/>
  <c r="I12" i="47"/>
  <c r="I13" i="47"/>
  <c r="C51" i="47"/>
  <c r="J68" i="50"/>
  <c r="D13" i="47" s="1"/>
  <c r="J51" i="47" s="1"/>
  <c r="D33" i="61"/>
  <c r="J61" i="50"/>
  <c r="J57" i="50"/>
  <c r="D8" i="47" s="1"/>
  <c r="G35" i="50"/>
  <c r="L56" i="50" s="1"/>
  <c r="K56" i="50"/>
  <c r="C14" i="47"/>
  <c r="I52" i="47" s="1"/>
  <c r="J59" i="50"/>
  <c r="D14" i="47"/>
  <c r="J52" i="47" s="1"/>
  <c r="J62" i="50"/>
  <c r="E19" i="62"/>
  <c r="C63" i="62" s="1"/>
  <c r="I63" i="62" s="1"/>
  <c r="K55" i="50"/>
  <c r="K69" i="50" s="1"/>
  <c r="E35" i="61" s="1"/>
  <c r="E102" i="61" s="1"/>
  <c r="F19" i="62"/>
  <c r="C71" i="62" s="1"/>
  <c r="I71" i="62" s="1"/>
  <c r="K54" i="50"/>
  <c r="K53" i="50"/>
  <c r="B18" i="62"/>
  <c r="B64" i="62"/>
  <c r="H59" i="62"/>
  <c r="H64" i="62" s="1"/>
  <c r="F20" i="62"/>
  <c r="H67" i="62"/>
  <c r="H72" i="62" s="1"/>
  <c r="B72" i="62"/>
  <c r="E20" i="62"/>
  <c r="D107" i="61" l="1"/>
  <c r="C101" i="61"/>
  <c r="C110" i="61" s="1"/>
  <c r="C73" i="61"/>
  <c r="C83" i="61" s="1"/>
  <c r="D72" i="61"/>
  <c r="D82" i="61" s="1"/>
  <c r="D100" i="61"/>
  <c r="D109" i="61" s="1"/>
  <c r="C50" i="61"/>
  <c r="C60" i="61" s="1"/>
  <c r="C62" i="61"/>
  <c r="C43" i="61"/>
  <c r="C90" i="61"/>
  <c r="C50" i="47"/>
  <c r="I50" i="47"/>
  <c r="C126" i="61"/>
  <c r="K67" i="50"/>
  <c r="E30" i="61" s="1"/>
  <c r="E98" i="61" s="1"/>
  <c r="K60" i="50"/>
  <c r="C17" i="47"/>
  <c r="I17" i="47" s="1"/>
  <c r="J63" i="50"/>
  <c r="C18" i="47"/>
  <c r="C36" i="61"/>
  <c r="C40" i="61"/>
  <c r="C117" i="61" s="1"/>
  <c r="J72" i="50"/>
  <c r="D34" i="61" s="1"/>
  <c r="C70" i="61"/>
  <c r="C80" i="61" s="1"/>
  <c r="J73" i="50"/>
  <c r="D36" i="61" s="1"/>
  <c r="J70" i="50"/>
  <c r="D31" i="61" s="1"/>
  <c r="C53" i="61"/>
  <c r="C15" i="47"/>
  <c r="E74" i="61"/>
  <c r="E84" i="61" s="1"/>
  <c r="D39" i="61"/>
  <c r="D49" i="61"/>
  <c r="D69" i="61"/>
  <c r="D79" i="61" s="1"/>
  <c r="D131" i="61"/>
  <c r="D52" i="61"/>
  <c r="C129" i="61"/>
  <c r="E44" i="61"/>
  <c r="E121" i="61" s="1"/>
  <c r="E54" i="61"/>
  <c r="D42" i="61"/>
  <c r="D119" i="61" s="1"/>
  <c r="D64" i="61"/>
  <c r="J14" i="47"/>
  <c r="D52" i="47"/>
  <c r="J13" i="47"/>
  <c r="D51" i="47"/>
  <c r="I14" i="47"/>
  <c r="C52" i="47"/>
  <c r="K68" i="50"/>
  <c r="E13" i="47" s="1"/>
  <c r="K51" i="47" s="1"/>
  <c r="E33" i="61"/>
  <c r="B19" i="62"/>
  <c r="C38" i="62" s="1"/>
  <c r="L53" i="50"/>
  <c r="L55" i="50"/>
  <c r="L69" i="50" s="1"/>
  <c r="F35" i="61" s="1"/>
  <c r="F102" i="61" s="1"/>
  <c r="L54" i="50"/>
  <c r="D12" i="47"/>
  <c r="J50" i="47" s="1"/>
  <c r="K57" i="50"/>
  <c r="E8" i="47" s="1"/>
  <c r="C62" i="62"/>
  <c r="I62" i="62" s="1"/>
  <c r="C61" i="62"/>
  <c r="I61" i="62" s="1"/>
  <c r="C60" i="62"/>
  <c r="I60" i="62" s="1"/>
  <c r="C59" i="62"/>
  <c r="C64" i="62" s="1"/>
  <c r="I74" i="50"/>
  <c r="D18" i="62"/>
  <c r="B53" i="62" s="1"/>
  <c r="H53" i="62" s="1"/>
  <c r="K59" i="50"/>
  <c r="K61" i="50"/>
  <c r="D19" i="62"/>
  <c r="C53" i="62" s="1"/>
  <c r="I53" i="62" s="1"/>
  <c r="K62" i="50"/>
  <c r="C70" i="62"/>
  <c r="I70" i="62" s="1"/>
  <c r="C68" i="62"/>
  <c r="I68" i="62" s="1"/>
  <c r="C69" i="62"/>
  <c r="I69" i="62" s="1"/>
  <c r="C67" i="62"/>
  <c r="C72" i="62" s="1"/>
  <c r="B38" i="62"/>
  <c r="B37" i="62"/>
  <c r="B36" i="62"/>
  <c r="B35" i="62"/>
  <c r="B39" i="62"/>
  <c r="F21" i="62"/>
  <c r="D63" i="62"/>
  <c r="J63" i="62" s="1"/>
  <c r="D59" i="62"/>
  <c r="D62" i="62"/>
  <c r="J62" i="62" s="1"/>
  <c r="D61" i="62"/>
  <c r="J61" i="62" s="1"/>
  <c r="D60" i="62"/>
  <c r="J60" i="62" s="1"/>
  <c r="E21" i="62"/>
  <c r="E12" i="47"/>
  <c r="D67" i="62"/>
  <c r="D71" i="62"/>
  <c r="J71" i="62" s="1"/>
  <c r="D70" i="62"/>
  <c r="J70" i="62" s="1"/>
  <c r="D69" i="62"/>
  <c r="J69" i="62" s="1"/>
  <c r="D68" i="62"/>
  <c r="J68" i="62" s="1"/>
  <c r="C130" i="61" l="1"/>
  <c r="C120" i="61"/>
  <c r="D126" i="61"/>
  <c r="D116" i="61"/>
  <c r="D73" i="61"/>
  <c r="D83" i="61" s="1"/>
  <c r="D101" i="61"/>
  <c r="D110" i="61" s="1"/>
  <c r="D75" i="61"/>
  <c r="D85" i="61" s="1"/>
  <c r="D103" i="61"/>
  <c r="D112" i="61" s="1"/>
  <c r="E107" i="61"/>
  <c r="C75" i="61"/>
  <c r="C85" i="61" s="1"/>
  <c r="C103" i="61"/>
  <c r="E72" i="61"/>
  <c r="E82" i="61" s="1"/>
  <c r="E100" i="61"/>
  <c r="E109" i="61" s="1"/>
  <c r="D50" i="61"/>
  <c r="D60" i="61" s="1"/>
  <c r="D99" i="61"/>
  <c r="D62" i="61"/>
  <c r="C63" i="61"/>
  <c r="F54" i="61"/>
  <c r="D90" i="61"/>
  <c r="E69" i="61"/>
  <c r="E79" i="61" s="1"/>
  <c r="C56" i="47"/>
  <c r="I56" i="47"/>
  <c r="E50" i="47"/>
  <c r="K50" i="47"/>
  <c r="C55" i="47"/>
  <c r="I55" i="47"/>
  <c r="I15" i="47"/>
  <c r="I53" i="47"/>
  <c r="E49" i="61"/>
  <c r="E59" i="61" s="1"/>
  <c r="E39" i="61"/>
  <c r="I18" i="47"/>
  <c r="D17" i="47"/>
  <c r="J17" i="47" s="1"/>
  <c r="L67" i="50"/>
  <c r="F30" i="61" s="1"/>
  <c r="F98" i="61" s="1"/>
  <c r="L60" i="50"/>
  <c r="K63" i="50"/>
  <c r="C45" i="61"/>
  <c r="C55" i="61"/>
  <c r="D18" i="47"/>
  <c r="C35" i="62"/>
  <c r="C19" i="62"/>
  <c r="C44" i="62" s="1"/>
  <c r="I44" i="62" s="1"/>
  <c r="C127" i="61"/>
  <c r="K72" i="50"/>
  <c r="E34" i="61" s="1"/>
  <c r="D40" i="61"/>
  <c r="K70" i="50"/>
  <c r="E31" i="61" s="1"/>
  <c r="E99" i="61" s="1"/>
  <c r="E108" i="61" s="1"/>
  <c r="K73" i="50"/>
  <c r="I59" i="62"/>
  <c r="I64" i="62" s="1"/>
  <c r="C53" i="47"/>
  <c r="D70" i="61"/>
  <c r="D80" i="61" s="1"/>
  <c r="B20" i="62"/>
  <c r="D39" i="62" s="1"/>
  <c r="C36" i="62"/>
  <c r="I36" i="62" s="1"/>
  <c r="C18" i="62"/>
  <c r="B44" i="62" s="1"/>
  <c r="H44" i="62" s="1"/>
  <c r="F14" i="47"/>
  <c r="D15" i="47"/>
  <c r="F74" i="61"/>
  <c r="F84" i="61" s="1"/>
  <c r="L62" i="50"/>
  <c r="D59" i="61"/>
  <c r="F44" i="61"/>
  <c r="E52" i="61"/>
  <c r="E131" i="61"/>
  <c r="E42" i="61"/>
  <c r="E119" i="61" s="1"/>
  <c r="D129" i="61"/>
  <c r="D55" i="61"/>
  <c r="D45" i="61"/>
  <c r="D122" i="61" s="1"/>
  <c r="D43" i="61"/>
  <c r="D120" i="61" s="1"/>
  <c r="D53" i="61"/>
  <c r="E64" i="61"/>
  <c r="K13" i="47"/>
  <c r="E51" i="47"/>
  <c r="J12" i="47"/>
  <c r="D50" i="47"/>
  <c r="L57" i="50"/>
  <c r="F8" i="47" s="1"/>
  <c r="C37" i="62"/>
  <c r="I37" i="62" s="1"/>
  <c r="L68" i="50"/>
  <c r="F13" i="47" s="1"/>
  <c r="L51" i="47" s="1"/>
  <c r="F33" i="61"/>
  <c r="C39" i="62"/>
  <c r="I39" i="62" s="1"/>
  <c r="E17" i="47"/>
  <c r="J74" i="50"/>
  <c r="L59" i="50"/>
  <c r="L61" i="50"/>
  <c r="E14" i="47"/>
  <c r="I67" i="62"/>
  <c r="I72" i="62" s="1"/>
  <c r="B55" i="62"/>
  <c r="H55" i="62" s="1"/>
  <c r="B51" i="62"/>
  <c r="H51" i="62" s="1"/>
  <c r="C55" i="62"/>
  <c r="I55" i="62" s="1"/>
  <c r="B52" i="62"/>
  <c r="H52" i="62" s="1"/>
  <c r="C51" i="62"/>
  <c r="I51" i="62" s="1"/>
  <c r="B54" i="62"/>
  <c r="H54" i="62" s="1"/>
  <c r="C52" i="62"/>
  <c r="I52" i="62" s="1"/>
  <c r="C54" i="62"/>
  <c r="I54" i="62" s="1"/>
  <c r="D20" i="62"/>
  <c r="H39" i="62"/>
  <c r="H36" i="62"/>
  <c r="H35" i="62"/>
  <c r="H37" i="62"/>
  <c r="H38" i="62"/>
  <c r="B40" i="62"/>
  <c r="F12" i="47"/>
  <c r="D72" i="62"/>
  <c r="J67" i="62"/>
  <c r="J72" i="62" s="1"/>
  <c r="K12" i="47"/>
  <c r="D64" i="62"/>
  <c r="J59" i="62"/>
  <c r="J64" i="62" s="1"/>
  <c r="E59" i="62"/>
  <c r="E63" i="62"/>
  <c r="K63" i="62" s="1"/>
  <c r="E61" i="62"/>
  <c r="K61" i="62" s="1"/>
  <c r="E60" i="62"/>
  <c r="K60" i="62" s="1"/>
  <c r="E62" i="62"/>
  <c r="K62" i="62" s="1"/>
  <c r="I35" i="62"/>
  <c r="I38" i="62"/>
  <c r="E68" i="62"/>
  <c r="K68" i="62" s="1"/>
  <c r="E70" i="62"/>
  <c r="K70" i="62" s="1"/>
  <c r="E67" i="62"/>
  <c r="E71" i="62"/>
  <c r="K71" i="62" s="1"/>
  <c r="E69" i="62"/>
  <c r="K69" i="62" s="1"/>
  <c r="I19" i="47" l="1"/>
  <c r="C122" i="61"/>
  <c r="E126" i="61"/>
  <c r="E116" i="61"/>
  <c r="D127" i="61"/>
  <c r="D117" i="61"/>
  <c r="C104" i="61"/>
  <c r="C112" i="61"/>
  <c r="F131" i="61"/>
  <c r="F121" i="61"/>
  <c r="E101" i="61"/>
  <c r="E110" i="61" s="1"/>
  <c r="E73" i="61"/>
  <c r="E83" i="61" s="1"/>
  <c r="F107" i="61"/>
  <c r="D108" i="61"/>
  <c r="D104" i="61"/>
  <c r="F72" i="61"/>
  <c r="F82" i="61" s="1"/>
  <c r="F100" i="61"/>
  <c r="F109" i="61" s="1"/>
  <c r="C56" i="61"/>
  <c r="C26" i="47" s="1"/>
  <c r="I26" i="47" s="1"/>
  <c r="D63" i="61"/>
  <c r="E62" i="61"/>
  <c r="F64" i="61"/>
  <c r="E90" i="61"/>
  <c r="F49" i="61"/>
  <c r="F59" i="61" s="1"/>
  <c r="E55" i="47"/>
  <c r="K55" i="47"/>
  <c r="F50" i="47"/>
  <c r="L50" i="47"/>
  <c r="D55" i="47"/>
  <c r="J55" i="47"/>
  <c r="E52" i="47"/>
  <c r="K52" i="47"/>
  <c r="J15" i="47"/>
  <c r="J19" i="47" s="1"/>
  <c r="J20" i="47" s="1"/>
  <c r="J21" i="47" s="1"/>
  <c r="J53" i="47"/>
  <c r="D56" i="47"/>
  <c r="J56" i="47"/>
  <c r="F52" i="47"/>
  <c r="L52" i="47"/>
  <c r="C65" i="61"/>
  <c r="C66" i="61" s="1"/>
  <c r="C40" i="47" s="1"/>
  <c r="F39" i="61"/>
  <c r="F116" i="61" s="1"/>
  <c r="C123" i="61"/>
  <c r="C44" i="47" s="1"/>
  <c r="C46" i="61"/>
  <c r="F69" i="61"/>
  <c r="F79" i="61" s="1"/>
  <c r="L63" i="50"/>
  <c r="C46" i="62"/>
  <c r="I46" i="62" s="1"/>
  <c r="I29" i="62" s="1"/>
  <c r="C45" i="62"/>
  <c r="I45" i="62" s="1"/>
  <c r="I28" i="62" s="1"/>
  <c r="D53" i="47"/>
  <c r="D57" i="47" s="1"/>
  <c r="D25" i="47" s="1"/>
  <c r="L14" i="47"/>
  <c r="C43" i="62"/>
  <c r="I43" i="62" s="1"/>
  <c r="J18" i="47"/>
  <c r="D35" i="62"/>
  <c r="C47" i="62"/>
  <c r="I47" i="62" s="1"/>
  <c r="I30" i="62" s="1"/>
  <c r="G19" i="62"/>
  <c r="E18" i="47"/>
  <c r="E36" i="61"/>
  <c r="C133" i="61"/>
  <c r="C45" i="47" s="1"/>
  <c r="C57" i="47"/>
  <c r="C25" i="47" s="1"/>
  <c r="L72" i="50"/>
  <c r="F34" i="61" s="1"/>
  <c r="L70" i="50"/>
  <c r="F31" i="61" s="1"/>
  <c r="F99" i="61" s="1"/>
  <c r="F108" i="61" s="1"/>
  <c r="D36" i="62"/>
  <c r="J36" i="62" s="1"/>
  <c r="D37" i="62"/>
  <c r="J37" i="62" s="1"/>
  <c r="D38" i="62"/>
  <c r="J38" i="62" s="1"/>
  <c r="L73" i="50"/>
  <c r="F36" i="61" s="1"/>
  <c r="B47" i="62"/>
  <c r="H47" i="62" s="1"/>
  <c r="H30" i="62" s="1"/>
  <c r="G18" i="62"/>
  <c r="B43" i="62"/>
  <c r="B45" i="62"/>
  <c r="B21" i="62"/>
  <c r="E38" i="62" s="1"/>
  <c r="B46" i="62"/>
  <c r="H46" i="62" s="1"/>
  <c r="H29" i="62" s="1"/>
  <c r="C40" i="62"/>
  <c r="K74" i="50"/>
  <c r="D56" i="61"/>
  <c r="F52" i="61"/>
  <c r="I57" i="47"/>
  <c r="I25" i="47" s="1"/>
  <c r="D76" i="61"/>
  <c r="D27" i="47" s="1"/>
  <c r="J27" i="47" s="1"/>
  <c r="C76" i="61"/>
  <c r="C27" i="47" s="1"/>
  <c r="I27" i="47" s="1"/>
  <c r="F42" i="61"/>
  <c r="D65" i="61"/>
  <c r="E53" i="61"/>
  <c r="E43" i="61"/>
  <c r="E120" i="61" s="1"/>
  <c r="D130" i="61"/>
  <c r="E129" i="61"/>
  <c r="D46" i="61"/>
  <c r="L13" i="47"/>
  <c r="F51" i="47"/>
  <c r="K17" i="47"/>
  <c r="C20" i="62"/>
  <c r="D47" i="62" s="1"/>
  <c r="J47" i="62" s="1"/>
  <c r="E15" i="47"/>
  <c r="K53" i="47" s="1"/>
  <c r="C28" i="62"/>
  <c r="I56" i="62"/>
  <c r="H27" i="62"/>
  <c r="B26" i="62"/>
  <c r="B31" i="62" s="1"/>
  <c r="K14" i="47"/>
  <c r="C27" i="62"/>
  <c r="I27" i="62"/>
  <c r="B27" i="62"/>
  <c r="H56" i="62"/>
  <c r="B56" i="62"/>
  <c r="C56" i="62"/>
  <c r="D21" i="62"/>
  <c r="D53" i="62"/>
  <c r="J53" i="62" s="1"/>
  <c r="D54" i="62"/>
  <c r="J54" i="62" s="1"/>
  <c r="D55" i="62"/>
  <c r="J55" i="62" s="1"/>
  <c r="D52" i="62"/>
  <c r="J52" i="62" s="1"/>
  <c r="D51" i="62"/>
  <c r="I40" i="62"/>
  <c r="H40" i="62"/>
  <c r="L12" i="47"/>
  <c r="K59" i="62"/>
  <c r="K64" i="62" s="1"/>
  <c r="E64" i="62"/>
  <c r="J39" i="62"/>
  <c r="K67" i="62"/>
  <c r="K72" i="62" s="1"/>
  <c r="E72" i="62"/>
  <c r="D66" i="61" l="1"/>
  <c r="D40" i="47" s="1"/>
  <c r="J57" i="47"/>
  <c r="J25" i="47" s="1"/>
  <c r="F129" i="61"/>
  <c r="F119" i="61"/>
  <c r="F55" i="61"/>
  <c r="F65" i="61" s="1"/>
  <c r="F103" i="61"/>
  <c r="F112" i="61" s="1"/>
  <c r="E75" i="61"/>
  <c r="E85" i="61" s="1"/>
  <c r="E103" i="61"/>
  <c r="E112" i="61" s="1"/>
  <c r="F101" i="61"/>
  <c r="F110" i="61" s="1"/>
  <c r="F73" i="61"/>
  <c r="F83" i="61" s="1"/>
  <c r="F62" i="61"/>
  <c r="C113" i="61"/>
  <c r="D113" i="61"/>
  <c r="F126" i="61"/>
  <c r="F90" i="61"/>
  <c r="E56" i="47"/>
  <c r="K56" i="47"/>
  <c r="C26" i="62"/>
  <c r="C31" i="62" s="1"/>
  <c r="F15" i="47"/>
  <c r="I48" i="62"/>
  <c r="I26" i="62"/>
  <c r="I31" i="62" s="1"/>
  <c r="C48" i="62"/>
  <c r="C29" i="62"/>
  <c r="E36" i="62"/>
  <c r="D40" i="62"/>
  <c r="C30" i="62"/>
  <c r="F75" i="61"/>
  <c r="F85" i="61" s="1"/>
  <c r="F45" i="61"/>
  <c r="F17" i="47"/>
  <c r="E39" i="62"/>
  <c r="K39" i="62" s="1"/>
  <c r="E35" i="62"/>
  <c r="E37" i="62"/>
  <c r="K37" i="62" s="1"/>
  <c r="J35" i="62"/>
  <c r="E55" i="61"/>
  <c r="E45" i="61"/>
  <c r="K18" i="47"/>
  <c r="B29" i="62"/>
  <c r="B30" i="62"/>
  <c r="G20" i="62"/>
  <c r="E40" i="61"/>
  <c r="E117" i="61" s="1"/>
  <c r="E50" i="61"/>
  <c r="E60" i="61" s="1"/>
  <c r="E70" i="61"/>
  <c r="E80" i="61" s="1"/>
  <c r="H45" i="62"/>
  <c r="H28" i="62" s="1"/>
  <c r="B28" i="62"/>
  <c r="B48" i="62"/>
  <c r="H43" i="62"/>
  <c r="F18" i="47"/>
  <c r="L56" i="47" s="1"/>
  <c r="D43" i="62"/>
  <c r="J43" i="62" s="1"/>
  <c r="D44" i="62"/>
  <c r="J44" i="62" s="1"/>
  <c r="J27" i="62" s="1"/>
  <c r="D46" i="62"/>
  <c r="J46" i="62" s="1"/>
  <c r="J29" i="62" s="1"/>
  <c r="D123" i="61"/>
  <c r="D44" i="47" s="1"/>
  <c r="D133" i="61"/>
  <c r="D45" i="47" s="1"/>
  <c r="I28" i="47"/>
  <c r="I33" i="47" s="1"/>
  <c r="C86" i="61"/>
  <c r="D26" i="47"/>
  <c r="D86" i="61"/>
  <c r="E130" i="61"/>
  <c r="F53" i="61"/>
  <c r="F43" i="61"/>
  <c r="F120" i="61" s="1"/>
  <c r="E63" i="61"/>
  <c r="L17" i="47"/>
  <c r="K15" i="47"/>
  <c r="E53" i="47"/>
  <c r="C21" i="62"/>
  <c r="E45" i="62" s="1"/>
  <c r="K45" i="62" s="1"/>
  <c r="D45" i="62"/>
  <c r="J45" i="62" s="1"/>
  <c r="D30" i="62"/>
  <c r="J30" i="62"/>
  <c r="D56" i="62"/>
  <c r="J51" i="62"/>
  <c r="J56" i="62" s="1"/>
  <c r="E53" i="62"/>
  <c r="K53" i="62" s="1"/>
  <c r="E54" i="62"/>
  <c r="K54" i="62" s="1"/>
  <c r="E51" i="62"/>
  <c r="E52" i="62"/>
  <c r="K52" i="62" s="1"/>
  <c r="E55" i="62"/>
  <c r="K55" i="62" s="1"/>
  <c r="K35" i="62"/>
  <c r="E40" i="62"/>
  <c r="J40" i="62"/>
  <c r="K36" i="62"/>
  <c r="K38" i="62"/>
  <c r="E122" i="61" l="1"/>
  <c r="F104" i="61"/>
  <c r="F122" i="61"/>
  <c r="E104" i="61"/>
  <c r="E65" i="61"/>
  <c r="E66" i="61" s="1"/>
  <c r="E40" i="47" s="1"/>
  <c r="F113" i="61"/>
  <c r="F55" i="47"/>
  <c r="L55" i="47"/>
  <c r="L15" i="47"/>
  <c r="L53" i="47"/>
  <c r="F53" i="47"/>
  <c r="D26" i="62"/>
  <c r="D31" i="62" s="1"/>
  <c r="D27" i="62"/>
  <c r="E46" i="61"/>
  <c r="J48" i="62"/>
  <c r="K19" i="47"/>
  <c r="K20" i="47" s="1"/>
  <c r="K21" i="47" s="1"/>
  <c r="E56" i="61"/>
  <c r="D29" i="62"/>
  <c r="F56" i="47"/>
  <c r="L18" i="47"/>
  <c r="H48" i="62"/>
  <c r="H26" i="62"/>
  <c r="H31" i="62" s="1"/>
  <c r="L74" i="50"/>
  <c r="F40" i="61"/>
  <c r="F117" i="61" s="1"/>
  <c r="F50" i="61"/>
  <c r="F60" i="61" s="1"/>
  <c r="F70" i="61"/>
  <c r="F80" i="61" s="1"/>
  <c r="E123" i="61"/>
  <c r="E44" i="47" s="1"/>
  <c r="E127" i="61"/>
  <c r="E43" i="62"/>
  <c r="K43" i="62" s="1"/>
  <c r="E44" i="62"/>
  <c r="K44" i="62" s="1"/>
  <c r="K27" i="62" s="1"/>
  <c r="J28" i="62"/>
  <c r="E46" i="62"/>
  <c r="K46" i="62" s="1"/>
  <c r="K29" i="62" s="1"/>
  <c r="G21" i="62"/>
  <c r="E47" i="62"/>
  <c r="K47" i="62" s="1"/>
  <c r="K30" i="62" s="1"/>
  <c r="D48" i="62"/>
  <c r="D28" i="62"/>
  <c r="J26" i="47"/>
  <c r="J28" i="47" s="1"/>
  <c r="J33" i="47" s="1"/>
  <c r="K57" i="47"/>
  <c r="K25" i="47" s="1"/>
  <c r="E57" i="47"/>
  <c r="E25" i="47" s="1"/>
  <c r="F63" i="61"/>
  <c r="F130" i="61"/>
  <c r="K28" i="62"/>
  <c r="J26" i="62"/>
  <c r="J31" i="62" s="1"/>
  <c r="E28" i="62"/>
  <c r="E56" i="62"/>
  <c r="K51" i="62"/>
  <c r="K56" i="62" s="1"/>
  <c r="K40" i="62"/>
  <c r="L19" i="47" l="1"/>
  <c r="L20" i="47" s="1"/>
  <c r="L21" i="47" s="1"/>
  <c r="E113" i="61"/>
  <c r="E26" i="62"/>
  <c r="E31" i="62" s="1"/>
  <c r="E133" i="61"/>
  <c r="E45" i="47" s="1"/>
  <c r="E27" i="62"/>
  <c r="F127" i="61"/>
  <c r="F133" i="61" s="1"/>
  <c r="F45" i="47" s="1"/>
  <c r="F123" i="61"/>
  <c r="F44" i="47" s="1"/>
  <c r="F46" i="61"/>
  <c r="F66" i="61"/>
  <c r="F40" i="47" s="1"/>
  <c r="F56" i="61"/>
  <c r="F26" i="47" s="1"/>
  <c r="L26" i="47" s="1"/>
  <c r="F57" i="47"/>
  <c r="F25" i="47" s="1"/>
  <c r="L57" i="47"/>
  <c r="L25" i="47" s="1"/>
  <c r="K48" i="62"/>
  <c r="E30" i="62"/>
  <c r="E48" i="62"/>
  <c r="E29" i="62"/>
  <c r="J34" i="47"/>
  <c r="J35" i="47"/>
  <c r="J29" i="47"/>
  <c r="J30" i="47" s="1"/>
  <c r="F76" i="61"/>
  <c r="F27" i="47" s="1"/>
  <c r="L27" i="47" s="1"/>
  <c r="E76" i="61"/>
  <c r="E27" i="47" s="1"/>
  <c r="K27" i="47" s="1"/>
  <c r="F86" i="61"/>
  <c r="E26" i="47"/>
  <c r="K26" i="47" s="1"/>
  <c r="K26" i="62"/>
  <c r="K31" i="62" s="1"/>
  <c r="L28" i="47" l="1"/>
  <c r="L29" i="47" s="1"/>
  <c r="K28" i="47"/>
  <c r="K29" i="47" s="1"/>
  <c r="K30" i="47" s="1"/>
  <c r="E86" i="61"/>
  <c r="K33" i="47" l="1"/>
  <c r="K34" i="47" s="1"/>
  <c r="L33" i="47"/>
  <c r="L34" i="47" s="1"/>
  <c r="L30" i="47"/>
  <c r="K35" i="47" l="1"/>
  <c r="L35"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<sst xmlns="http://schemas.openxmlformats.org/spreadsheetml/2006/main" count="4612" uniqueCount="2285">
  <si>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</si>
  <si>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</si>
  <si>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</si>
  <si>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</si>
  <si>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</si>
  <si>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</si>
  <si>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</si>
  <si>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</si>
  <si>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</si>
  <si>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</si>
  <si>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</si>
  <si>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</si>
  <si>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</si>
  <si>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</si>
  <si>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</si>
  <si>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</si>
  <si>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</si>
  <si>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</si>
  <si>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</si>
  <si>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</si>
  <si>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</si>
  <si>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</si>
  <si>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</si>
  <si>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</si>
  <si>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</si>
  <si>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</si>
  <si>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</si>
  <si>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</si>
  <si>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</si>
  <si>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</si>
  <si>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</si>
  <si>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</si>
  <si>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</si>
  <si>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</si>
  <si>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</si>
  <si>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</si>
  <si>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</si>
  <si>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</si>
  <si>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</si>
  <si>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</si>
  <si>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</si>
  <si>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</si>
  <si>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</si>
  <si>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</si>
  <si>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</si>
  <si>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</si>
  <si>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</si>
  <si>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</si>
  <si>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</si>
  <si>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</si>
  <si>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</si>
  <si>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</si>
  <si>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</si>
  <si>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</si>
  <si>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</si>
  <si>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</si>
  <si>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</si>
  <si>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</si>
  <si>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</si>
  <si>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</si>
  <si>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</si>
  <si>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</si>
  <si>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</si>
  <si>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</si>
  <si>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</si>
  <si>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</si>
  <si>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</si>
  <si>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</si>
  <si>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</si>
  <si>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</si>
  <si>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</si>
  <si>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</si>
  <si>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</si>
  <si>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</si>
  <si>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</si>
  <si>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</si>
  <si>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</si>
  <si>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</si>
  <si>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</si>
  <si>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</si>
  <si>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</si>
  <si>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</si>
  <si>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</si>
  <si>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</si>
  <si>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</si>
  <si>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</si>
  <si>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</si>
  <si>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</si>
  <si>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</si>
  <si>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</si>
  <si>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</si>
  <si>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</si>
  <si>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</si>
  <si>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</si>
  <si>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</si>
  <si>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</si>
  <si>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</si>
  <si>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</si>
  <si>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</si>
  <si>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</si>
  <si>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</si>
  <si>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</si>
  <si>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</si>
  <si>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</si>
  <si>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</si>
  <si>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</si>
  <si>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</si>
  <si>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</si>
  <si>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</si>
  <si>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</si>
  <si>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</si>
  <si>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</si>
  <si>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</si>
  <si>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</si>
  <si>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</si>
  <si>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</si>
  <si>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</si>
  <si>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</si>
  <si>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</si>
  <si>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</si>
  <si>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</si>
  <si>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</si>
  <si>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</si>
  <si>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</si>
  <si>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</si>
  <si>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</si>
  <si>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</si>
  <si>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</si>
  <si>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</si>
  <si>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</si>
  <si>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</si>
  <si>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</si>
  <si>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</si>
  <si>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</si>
  <si>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</si>
  <si>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</si>
  <si>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</si>
  <si>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</si>
  <si>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</si>
  <si>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</si>
  <si>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</si>
  <si>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</si>
  <si>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</si>
  <si>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</si>
  <si>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</si>
  <si>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</si>
  <si>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</si>
  <si>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</si>
  <si>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</si>
  <si>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</si>
  <si>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</si>
  <si>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</si>
  <si>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</si>
  <si>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</si>
  <si>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</si>
  <si>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</si>
  <si>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</si>
  <si>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</si>
  <si>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</si>
  <si>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</si>
  <si>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</si>
  <si>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</si>
  <si>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</si>
  <si>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</si>
  <si>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</si>
  <si>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</si>
  <si>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</si>
  <si>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</si>
  <si>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</si>
  <si>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</si>
  <si>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</si>
  <si>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</si>
  <si>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</si>
  <si>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</si>
  <si>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</si>
  <si>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</si>
  <si>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</si>
  <si>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</si>
  <si>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</si>
  <si>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</si>
  <si>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</si>
  <si>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</si>
  <si>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</si>
  <si>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</si>
  <si>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</si>
  <si>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</si>
  <si>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</si>
  <si>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</si>
  <si>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</si>
  <si>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</si>
  <si>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</si>
  <si>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</si>
  <si>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</si>
  <si>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</si>
  <si>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</si>
  <si>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</si>
  <si>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</si>
  <si>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</si>
  <si>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</si>
  <si>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</si>
  <si>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</si>
  <si>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</si>
  <si>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</si>
  <si>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</si>
  <si>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</si>
  <si>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</si>
  <si>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</si>
  <si>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</si>
  <si>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</si>
  <si>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</si>
  <si>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</si>
  <si>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</si>
  <si>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</si>
  <si>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</si>
  <si>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</si>
  <si>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</si>
  <si>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</si>
  <si>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</si>
  <si>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</si>
  <si>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</si>
  <si>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</si>
  <si>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</si>
  <si>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</si>
  <si>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</si>
  <si>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</si>
  <si>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</si>
  <si>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</si>
  <si>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</si>
  <si>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</si>
  <si>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</si>
  <si>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</si>
  <si>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</si>
  <si>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</si>
  <si>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</si>
  <si>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</si>
  <si>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</si>
  <si>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</si>
  <si>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</si>
  <si>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</si>
  <si>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</si>
  <si>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</si>
  <si>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</si>
  <si>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</si>
  <si>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</si>
  <si>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</si>
  <si>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</si>
  <si>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</si>
  <si>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</si>
  <si>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</si>
  <si>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</si>
  <si>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</si>
  <si>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</si>
  <si>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</si>
  <si>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</si>
  <si>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</si>
  <si>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</si>
  <si>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</si>
  <si>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</si>
  <si>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</si>
  <si>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</si>
  <si>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</si>
  <si>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</si>
  <si>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</si>
  <si>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</si>
  <si>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</si>
  <si>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</si>
  <si>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</si>
  <si>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</si>
  <si>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</si>
  <si>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</si>
  <si>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</si>
  <si>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</si>
  <si>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</si>
  <si>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</si>
  <si>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</si>
  <si>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</si>
  <si>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</si>
  <si>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</si>
  <si>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</si>
  <si>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</si>
  <si>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</si>
  <si>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</si>
  <si>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</si>
  <si>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</si>
  <si>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</si>
  <si>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</si>
  <si>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</si>
  <si>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</si>
  <si>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</si>
  <si>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</si>
  <si>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</si>
  <si>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</si>
  <si>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</si>
  <si>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</si>
  <si>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</si>
  <si>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</si>
  <si>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</si>
  <si>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</si>
  <si>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</si>
  <si>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</si>
  <si>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</si>
  <si>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</si>
  <si>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</si>
  <si>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</si>
  <si>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</si>
  <si>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</si>
  <si>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</si>
  <si>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</si>
  <si>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</si>
  <si>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</si>
  <si>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</si>
  <si>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</si>
  <si>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</si>
  <si>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</si>
  <si>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</si>
  <si>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</si>
  <si>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</si>
  <si>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</si>
  <si>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</si>
  <si>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</si>
  <si>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</si>
  <si>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</si>
  <si>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</si>
  <si>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</si>
  <si>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</si>
  <si>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</si>
  <si>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</si>
  <si>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</si>
  <si>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</si>
  <si>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</si>
  <si>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</si>
  <si>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</si>
  <si>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</si>
  <si>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</si>
  <si>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</si>
  <si>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</si>
  <si>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</si>
  <si>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</si>
  <si>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</si>
  <si>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</si>
  <si>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</si>
  <si>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</si>
  <si>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</si>
  <si>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</si>
  <si>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</si>
  <si>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</si>
  <si>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</si>
  <si>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</si>
  <si>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</si>
  <si>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</si>
  <si>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</si>
  <si>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</si>
  <si>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</si>
  <si>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</si>
  <si>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</si>
  <si>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</si>
  <si>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</si>
  <si>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</si>
  <si>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</si>
  <si>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</si>
  <si>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</si>
  <si>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</si>
  <si>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</si>
  <si>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</si>
  <si>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</si>
  <si>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</si>
  <si>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</si>
  <si>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</si>
  <si>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</si>
  <si>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</si>
  <si>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</si>
  <si>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</si>
  <si>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</si>
  <si>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</si>
  <si>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</si>
  <si>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</si>
  <si>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</si>
  <si>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</si>
  <si>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</si>
  <si>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</si>
  <si>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</si>
  <si>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</si>
  <si>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</si>
  <si>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</si>
  <si>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</si>
  <si>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</si>
  <si>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</si>
  <si>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</si>
  <si>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</si>
  <si>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</si>
  <si>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</si>
  <si>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</si>
  <si>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</si>
  <si>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</si>
  <si>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</si>
  <si>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</si>
  <si>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</si>
  <si>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</si>
  <si>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</si>
  <si>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</si>
  <si>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</si>
  <si>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</si>
  <si>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</si>
  <si>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</si>
  <si>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</si>
  <si>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</si>
  <si>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</si>
  <si>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</si>
  <si>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</si>
  <si>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</si>
  <si>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</si>
  <si>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</si>
  <si>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</si>
  <si>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</si>
  <si>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</si>
  <si>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</si>
  <si>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</si>
  <si>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</si>
  <si>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</si>
  <si>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</si>
  <si>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</si>
  <si>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</si>
  <si>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</si>
  <si>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</si>
  <si>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</si>
  <si>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</si>
  <si>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</si>
  <si>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</si>
  <si>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</si>
  <si>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</si>
  <si>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</si>
  <si>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</si>
  <si>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</si>
  <si>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</si>
  <si>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</si>
  <si>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</si>
  <si>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</si>
  <si>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</si>
  <si>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</si>
  <si>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</si>
  <si>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</si>
  <si>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</si>
  <si>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</si>
  <si>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</si>
  <si>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</si>
  <si>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</si>
  <si>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</si>
  <si>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</si>
  <si>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</si>
  <si>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</si>
  <si>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</si>
  <si>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</si>
  <si>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</si>
  <si>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</si>
  <si>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</si>
  <si>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</si>
  <si>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</si>
  <si>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</si>
  <si>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</si>
  <si>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</si>
  <si>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</si>
  <si>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</si>
  <si>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</si>
  <si>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</si>
  <si>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</si>
  <si>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</si>
  <si>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</si>
  <si>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</si>
  <si>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</si>
  <si>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</si>
  <si>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</si>
  <si>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</si>
  <si>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</si>
  <si>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</si>
  <si>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</si>
  <si>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</si>
  <si>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</si>
  <si>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</si>
  <si>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</si>
  <si>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</si>
  <si>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</si>
  <si>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</si>
  <si>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</si>
  <si>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</si>
  <si>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</si>
  <si>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</si>
  <si>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</si>
  <si>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</si>
  <si>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</si>
  <si>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</si>
  <si>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</si>
  <si>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</si>
  <si>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</si>
  <si>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</si>
  <si>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</si>
  <si>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</si>
  <si>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</si>
  <si>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</si>
  <si>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</si>
  <si>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</si>
  <si>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</si>
  <si>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</si>
  <si>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</si>
  <si>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</si>
  <si>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</si>
  <si>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</si>
  <si>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</si>
  <si>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</si>
  <si>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</si>
  <si>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</si>
  <si>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</si>
  <si>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</si>
  <si>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</si>
  <si>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</si>
  <si>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</si>
  <si>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</si>
  <si>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</si>
  <si>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</si>
  <si>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</si>
  <si>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</si>
  <si>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</si>
  <si>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</si>
  <si>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</si>
  <si>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</si>
  <si>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</si>
  <si>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</si>
  <si>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</si>
  <si>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</si>
  <si>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</si>
  <si>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</si>
  <si>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</si>
  <si>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</si>
  <si>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</si>
  <si>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</si>
  <si>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</si>
  <si>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</si>
  <si>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</si>
  <si>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</si>
  <si>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</si>
  <si>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</si>
  <si>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</si>
  <si>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</si>
  <si>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</si>
  <si>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</si>
  <si>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</si>
  <si>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</si>
  <si>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</si>
  <si>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</si>
  <si>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</si>
  <si>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</si>
  <si>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</si>
  <si>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</si>
  <si>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</si>
  <si>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</si>
  <si>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</si>
  <si>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</si>
  <si>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</si>
  <si>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</si>
  <si>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</si>
  <si>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</si>
  <si>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</si>
  <si>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</si>
  <si>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</si>
  <si>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</si>
  <si>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</si>
  <si>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</si>
  <si>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</si>
  <si>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</si>
  <si>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</si>
  <si>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</si>
  <si>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</si>
  <si>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</si>
  <si>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</si>
  <si>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</si>
  <si>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</si>
  <si>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</si>
  <si>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</si>
  <si>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</si>
  <si>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</si>
  <si>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</si>
  <si>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</si>
  <si>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</si>
  <si>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</si>
  <si>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</si>
  <si>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</si>
  <si>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</si>
  <si>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</si>
  <si>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</si>
  <si>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</si>
  <si>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</si>
  <si>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</si>
  <si>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</si>
  <si>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</si>
  <si>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</si>
  <si>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</si>
  <si>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</si>
  <si>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</si>
  <si>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</si>
  <si>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</si>
  <si>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</si>
  <si>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</si>
  <si>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</si>
  <si>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</si>
  <si>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</si>
  <si>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</si>
  <si>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</si>
  <si>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</si>
  <si>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</si>
  <si>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</si>
  <si>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</si>
  <si>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</si>
  <si>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</si>
  <si>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</si>
  <si>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</si>
  <si>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</si>
  <si>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</si>
  <si>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</si>
  <si>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</si>
  <si>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</si>
  <si>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</si>
  <si>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</si>
  <si>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</si>
  <si>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</si>
  <si>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</si>
  <si>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</si>
  <si>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</si>
  <si>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</si>
  <si>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</si>
  <si>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</si>
  <si>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</si>
  <si>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</si>
  <si>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</si>
  <si>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</si>
  <si>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</si>
  <si>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</si>
  <si>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</si>
  <si>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</si>
  <si>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</si>
  <si>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</si>
  <si>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</si>
  <si>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</si>
  <si>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</si>
  <si>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</si>
  <si>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</si>
  <si>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</si>
  <si>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</si>
  <si>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</si>
  <si>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</si>
  <si>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</si>
  <si>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</si>
  <si>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</si>
  <si>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</si>
  <si>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</si>
  <si>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</si>
  <si>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</si>
  <si>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</si>
  <si>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</si>
  <si>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</si>
  <si>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</si>
  <si>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</si>
  <si>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</si>
  <si>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</si>
  <si>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</si>
  <si>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</si>
  <si>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</si>
  <si>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</si>
  <si>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</si>
  <si>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</si>
  <si>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</si>
  <si>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</si>
  <si>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</si>
  <si>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</si>
  <si>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</si>
  <si>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</si>
  <si>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</si>
  <si>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</si>
  <si>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</si>
  <si>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</si>
  <si>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</si>
  <si>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</si>
  <si>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</si>
  <si>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</si>
  <si>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</si>
  <si>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</si>
  <si>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</si>
  <si>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</si>
  <si>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</si>
  <si>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</si>
  <si>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</si>
  <si>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</si>
  <si>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</si>
  <si>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</si>
  <si>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</si>
  <si>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</si>
  <si>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</si>
  <si>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</si>
  <si>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</si>
  <si>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</si>
  <si>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</si>
  <si>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</si>
  <si>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</si>
  <si>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</si>
  <si>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</si>
  <si>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</si>
  <si>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</si>
  <si>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</si>
  <si>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</si>
  <si>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</si>
  <si>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</si>
  <si>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</si>
  <si>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</si>
  <si>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</si>
  <si>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</si>
  <si>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</si>
  <si>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</si>
  <si>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</si>
  <si>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</si>
  <si>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</si>
  <si>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</si>
  <si>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</si>
  <si>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</si>
  <si>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</si>
  <si>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</si>
  <si>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</si>
  <si>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</si>
  <si>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</si>
  <si>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</si>
  <si>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</si>
  <si>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</si>
  <si>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</si>
  <si>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</si>
  <si>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</si>
  <si>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</si>
  <si>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</si>
  <si>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</si>
  <si>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</si>
  <si>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</si>
  <si>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</si>
  <si>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</si>
  <si>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</si>
  <si>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</si>
  <si>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</si>
  <si>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</si>
  <si>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</si>
  <si>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</si>
  <si>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</si>
  <si>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</si>
  <si>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</si>
  <si>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</si>
  <si>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</si>
  <si>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</si>
  <si>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</si>
  <si>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</si>
  <si>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</si>
  <si>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</si>
  <si>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</si>
  <si>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</si>
  <si>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</si>
  <si>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</si>
  <si>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</si>
  <si>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</si>
  <si>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</si>
  <si>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</si>
  <si>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</si>
  <si>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</si>
  <si>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</si>
  <si>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</si>
  <si>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</si>
  <si>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</si>
  <si>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</si>
  <si>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</si>
  <si>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</si>
  <si>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</si>
  <si>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</si>
  <si>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</si>
  <si>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</si>
  <si>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</si>
  <si>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</si>
  <si>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</si>
  <si>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</si>
  <si>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</si>
  <si>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</si>
  <si>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</si>
  <si>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</si>
  <si>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</si>
  <si>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</si>
  <si>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</si>
  <si>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</si>
  <si>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</si>
  <si>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</si>
  <si>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</si>
  <si>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</si>
  <si>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</si>
  <si>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</si>
  <si>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</si>
  <si>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</si>
  <si>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</si>
  <si>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</si>
  <si>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</si>
  <si>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</si>
  <si>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</si>
  <si>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</si>
  <si>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</si>
  <si>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</si>
  <si>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</si>
  <si>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</si>
  <si>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</si>
  <si>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</si>
  <si>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</si>
  <si>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</si>
  <si>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</si>
  <si>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</si>
  <si>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</si>
  <si>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</si>
  <si>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</si>
  <si>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</si>
  <si>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</si>
  <si>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</si>
  <si>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</si>
  <si>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</si>
  <si>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</si>
  <si>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</si>
  <si>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</si>
  <si>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</si>
  <si>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</si>
  <si>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</si>
  <si>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</si>
  <si>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</si>
  <si>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</si>
  <si>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</si>
  <si>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</si>
  <si>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</si>
  <si>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</si>
  <si>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</si>
  <si>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</si>
  <si>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</si>
  <si>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</si>
  <si>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</si>
  <si>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</si>
  <si>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</si>
  <si>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</si>
  <si>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</si>
  <si>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</si>
  <si>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</si>
  <si>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</si>
  <si>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</si>
  <si>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</si>
  <si>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</si>
  <si>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</si>
  <si>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</si>
  <si>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</si>
  <si>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</si>
  <si>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</si>
  <si>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</si>
  <si>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</si>
  <si>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</si>
  <si>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</si>
  <si>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</si>
  <si>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</si>
  <si>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</si>
  <si>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</si>
  <si>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</si>
  <si>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</si>
  <si>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</si>
  <si>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</si>
  <si>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</si>
  <si>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</si>
  <si>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</si>
  <si>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</si>
  <si>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</si>
  <si>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</si>
  <si>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</si>
  <si>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</si>
  <si>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</si>
  <si>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</si>
  <si>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</si>
  <si>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</si>
  <si>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</si>
  <si>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</si>
  <si>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</si>
  <si>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</si>
  <si>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</si>
  <si>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</si>
  <si>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</si>
  <si>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</si>
  <si>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</si>
  <si>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</si>
  <si>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</si>
  <si>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</si>
  <si>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</si>
  <si>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</si>
  <si>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</si>
  <si>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</si>
  <si>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</si>
  <si>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</si>
  <si>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</si>
  <si>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</si>
  <si>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</si>
  <si>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</si>
  <si>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</si>
  <si>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</si>
  <si>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</si>
  <si>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</si>
  <si>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</si>
  <si>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</si>
  <si>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</si>
  <si>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</si>
  <si>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</si>
  <si>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</si>
  <si>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</si>
  <si>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</si>
  <si>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</si>
  <si>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</si>
  <si>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</si>
  <si>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</si>
  <si>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</si>
  <si>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</si>
  <si>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</si>
  <si>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</si>
  <si>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</si>
  <si>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</si>
  <si>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</si>
  <si>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</si>
  <si>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</si>
  <si>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</si>
  <si>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</si>
  <si>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</si>
  <si>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</si>
  <si>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</si>
  <si>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</si>
  <si>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</si>
  <si>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</si>
  <si>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</si>
  <si>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</si>
  <si>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</si>
  <si>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</si>
  <si>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</si>
  <si>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</si>
  <si>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</si>
  <si>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</si>
  <si>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</si>
  <si>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</si>
  <si>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</si>
  <si>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</si>
  <si>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</si>
  <si>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</si>
  <si>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</si>
  <si>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</si>
  <si>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</si>
  <si>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</si>
  <si>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</si>
  <si>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</si>
  <si>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</si>
  <si>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</si>
  <si>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</si>
  <si>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</si>
  <si>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</si>
  <si>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</si>
  <si>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</si>
  <si>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</si>
  <si>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</si>
  <si>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</si>
  <si>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</si>
  <si>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</si>
  <si>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</si>
  <si>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</si>
  <si>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</si>
  <si>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</si>
  <si>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</si>
  <si>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</si>
  <si>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</si>
  <si>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</si>
  <si>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</si>
  <si>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</si>
  <si>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</si>
  <si>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</si>
  <si>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</si>
  <si>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</si>
  <si>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</si>
  <si>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</si>
  <si>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</si>
  <si>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</si>
  <si>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</si>
  <si>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</si>
  <si>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</si>
  <si>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</si>
  <si>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</si>
  <si>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</si>
  <si>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</si>
  <si>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</si>
  <si>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</si>
  <si>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</si>
  <si>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</si>
  <si>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</si>
  <si>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</si>
  <si>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</si>
  <si>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</si>
  <si>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</si>
  <si>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</si>
  <si>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</si>
  <si>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</si>
  <si>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</si>
  <si>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</si>
  <si>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</si>
  <si>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</si>
  <si>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</si>
  <si>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</si>
  <si>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</si>
  <si>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</si>
  <si>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</si>
  <si>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</si>
  <si>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</si>
  <si>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</si>
  <si>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</si>
  <si>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</si>
  <si>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</si>
  <si>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</si>
  <si>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</si>
  <si>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</si>
  <si>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</si>
  <si>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</si>
  <si>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</si>
  <si>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</si>
  <si>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</si>
  <si>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</si>
  <si>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</si>
  <si>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</si>
  <si>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</si>
  <si>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</si>
  <si>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</si>
  <si>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</si>
  <si>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</si>
  <si>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</si>
  <si>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</si>
  <si>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</si>
  <si>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</si>
  <si>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</si>
  <si>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</si>
  <si>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</si>
  <si>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</si>
  <si>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</si>
  <si>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</si>
  <si>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</si>
  <si>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</si>
  <si>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</si>
  <si>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</si>
  <si>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</si>
  <si>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</si>
  <si>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</si>
  <si>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</si>
  <si>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</si>
  <si>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</si>
  <si>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</si>
  <si>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</si>
  <si>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</si>
  <si>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</si>
  <si>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</si>
  <si>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</si>
  <si>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</si>
  <si>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</si>
  <si>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</si>
  <si>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</si>
  <si>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</si>
  <si>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</si>
  <si>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</si>
  <si>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</si>
  <si>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</si>
  <si>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</si>
  <si>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</si>
  <si>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</si>
  <si>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</si>
  <si>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</si>
  <si>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</si>
  <si>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</si>
  <si>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</si>
  <si>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</si>
  <si>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</si>
  <si>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</si>
  <si>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</si>
  <si>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</si>
  <si>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</si>
  <si>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</si>
  <si>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</si>
  <si>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</si>
  <si>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</si>
  <si>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</si>
  <si>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</si>
  <si>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</si>
  <si>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</si>
  <si>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</si>
  <si>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</si>
  <si>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</si>
  <si>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</si>
  <si>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</si>
  <si>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</si>
  <si>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</si>
  <si>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</si>
  <si>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</si>
  <si>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</si>
  <si>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</si>
  <si>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</si>
  <si>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</si>
  <si>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</si>
  <si>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</si>
  <si>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</si>
  <si>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</si>
  <si>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</si>
  <si>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</si>
  <si>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</si>
  <si>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</si>
  <si>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</si>
  <si>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</si>
  <si>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</si>
  <si>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</si>
  <si>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</si>
  <si>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</si>
  <si>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</si>
  <si>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</si>
  <si>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</si>
  <si>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</si>
  <si>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</si>
  <si>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</si>
  <si>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</si>
  <si>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</si>
  <si>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</si>
  <si>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</si>
  <si>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</si>
  <si>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</si>
  <si>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</si>
  <si>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</si>
  <si>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</si>
  <si>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</si>
  <si>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</si>
  <si>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</si>
  <si>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</si>
  <si>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</si>
  <si>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</si>
  <si>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</si>
  <si>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</si>
  <si>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</si>
  <si>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</si>
  <si>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</si>
  <si>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</si>
  <si>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</si>
  <si>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</si>
  <si>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</si>
  <si>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</si>
  <si>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</si>
  <si>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</si>
  <si>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</si>
  <si>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</si>
  <si>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</si>
  <si>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</si>
  <si>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</si>
  <si>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</si>
  <si>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</si>
  <si>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</si>
  <si>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</si>
  <si>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</si>
  <si>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</si>
  <si>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</si>
  <si>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</si>
  <si>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</si>
  <si>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</si>
  <si>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</si>
  <si>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</si>
  <si>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</si>
  <si>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</si>
  <si>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</si>
  <si>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</si>
  <si>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</si>
  <si>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</si>
  <si>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</si>
  <si>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</si>
  <si>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</si>
  <si>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</si>
  <si>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</si>
  <si>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</si>
  <si>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</si>
  <si>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</si>
  <si>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</si>
  <si>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</si>
  <si>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</si>
  <si>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</si>
  <si>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</si>
  <si>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</si>
  <si>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</si>
  <si>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</si>
  <si>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</si>
  <si>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</si>
  <si>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</si>
  <si>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</si>
  <si>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</si>
  <si>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</si>
  <si>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</si>
  <si>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</si>
  <si>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</si>
  <si>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</si>
  <si>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</si>
  <si>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</si>
  <si>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</si>
  <si>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</si>
  <si>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</si>
  <si>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</si>
  <si>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</si>
  <si>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</si>
  <si>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</si>
  <si>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</si>
  <si>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</si>
  <si>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</si>
  <si>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</si>
  <si>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</si>
  <si>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</si>
  <si>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</si>
  <si>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</si>
  <si>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</si>
  <si>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</si>
  <si>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</si>
  <si>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</si>
  <si>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</si>
  <si>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</si>
  <si>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</si>
  <si>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</si>
  <si>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</si>
  <si>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</si>
  <si>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</si>
  <si>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</si>
  <si>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</si>
  <si>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</si>
  <si>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</si>
  <si>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</si>
  <si>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</si>
  <si>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</si>
  <si>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</si>
  <si>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</si>
  <si>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</si>
  <si>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</si>
  <si>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</si>
  <si>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</si>
  <si>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</si>
  <si>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</si>
  <si>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</si>
  <si>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</si>
  <si>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</si>
  <si>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</si>
  <si>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</si>
  <si>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</si>
  <si>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</si>
  <si>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</si>
  <si>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</si>
  <si>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</si>
  <si>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</si>
  <si>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</si>
  <si>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</si>
  <si>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</si>
  <si>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</si>
  <si>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</si>
  <si>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</si>
  <si>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</si>
  <si>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</si>
  <si>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</si>
  <si>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</si>
  <si>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</si>
  <si>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</si>
  <si>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</si>
  <si>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</si>
  <si>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</si>
  <si>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</si>
  <si>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</si>
  <si>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</si>
  <si>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</si>
  <si>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</si>
  <si>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</si>
  <si>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</si>
  <si>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</si>
  <si>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</si>
  <si>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</si>
  <si>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</si>
  <si>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</si>
  <si>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</si>
  <si>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</si>
  <si>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</si>
  <si>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</si>
  <si>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</si>
  <si>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</si>
  <si>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</si>
  <si>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</si>
  <si>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</si>
  <si>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</si>
  <si>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</si>
  <si>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</si>
  <si>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</si>
  <si>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</si>
  <si>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</si>
  <si>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</si>
  <si>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</si>
  <si>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</si>
  <si>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</si>
  <si>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</si>
  <si>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</si>
  <si>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</si>
  <si>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</si>
  <si>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</si>
  <si>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</si>
  <si>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</si>
  <si>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</si>
  <si>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</si>
  <si>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</si>
  <si>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</si>
  <si>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</si>
  <si>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</si>
  <si>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</si>
  <si>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</si>
  <si>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</si>
  <si>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</si>
  <si>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</si>
  <si>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</si>
  <si>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</si>
  <si>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</si>
  <si>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</si>
  <si>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</si>
  <si>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</si>
  <si>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</si>
  <si>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</si>
  <si>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</si>
  <si>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</si>
  <si>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</si>
  <si>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</si>
  <si>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</si>
  <si>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</si>
  <si>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</si>
  <si>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</si>
  <si>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</si>
  <si>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</si>
  <si>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</si>
  <si>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</si>
  <si>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</si>
  <si>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</si>
  <si>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</si>
  <si>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</si>
  <si>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</si>
  <si>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</si>
  <si>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</si>
  <si>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</si>
  <si>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</si>
  <si>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</si>
  <si>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</si>
  <si>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</si>
  <si>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</si>
  <si>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</si>
  <si>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</si>
  <si>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</si>
  <si>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</si>
  <si>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</si>
  <si>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</si>
  <si>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</si>
  <si>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</si>
  <si>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</si>
  <si>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</si>
  <si>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</si>
  <si>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</si>
  <si>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</si>
  <si>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</si>
  <si>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</si>
  <si>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</si>
  <si>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</si>
  <si>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</si>
  <si>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</si>
  <si>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</si>
  <si>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</si>
  <si>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</si>
  <si>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</si>
  <si>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</si>
  <si>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</si>
  <si>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</si>
  <si>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</si>
  <si>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</si>
  <si>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</si>
  <si>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</si>
  <si>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</si>
  <si>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</si>
  <si>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</si>
  <si>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</si>
  <si>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</si>
  <si>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</si>
  <si>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</si>
  <si>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</si>
  <si>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</si>
  <si>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</si>
  <si>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</si>
  <si>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</si>
  <si>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</si>
  <si>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</si>
  <si>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</si>
  <si>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</si>
  <si>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</si>
  <si>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</si>
  <si>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</si>
  <si>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</si>
  <si>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</si>
  <si>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</si>
  <si>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</si>
  <si>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</si>
  <si>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</si>
  <si>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</si>
  <si>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</si>
  <si>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</si>
  <si>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</si>
  <si>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</si>
  <si>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</si>
  <si>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</si>
  <si>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</si>
  <si>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</si>
  <si>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</si>
  <si>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</si>
  <si>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</si>
  <si>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</si>
  <si>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</si>
  <si>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</si>
  <si>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</si>
  <si>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</si>
  <si>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</si>
  <si>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</si>
  <si>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</si>
  <si>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</si>
  <si>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</si>
  <si>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</si>
  <si>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</si>
  <si>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</si>
  <si>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</si>
  <si>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</si>
  <si>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</si>
  <si>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</si>
  <si>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</si>
  <si>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</si>
  <si>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</si>
  <si>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</si>
  <si>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</si>
  <si>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</si>
  <si>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</si>
  <si>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</si>
  <si>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</si>
  <si>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</si>
  <si>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</si>
  <si>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</si>
  <si>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</si>
  <si>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</si>
  <si>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</si>
  <si>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</si>
  <si>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</si>
  <si>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</si>
  <si>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</si>
  <si>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</si>
  <si>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</si>
  <si>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</si>
  <si>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</si>
  <si>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</si>
  <si>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</si>
  <si>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</si>
  <si>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</si>
  <si>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</si>
  <si>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</si>
  <si>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</si>
  <si>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</si>
  <si>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</si>
  <si>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</si>
  <si>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</si>
  <si>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</si>
  <si>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</si>
  <si>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</si>
  <si>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</si>
  <si>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</si>
  <si>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</si>
  <si>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</si>
  <si>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</si>
  <si>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</si>
  <si>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</si>
  <si>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</si>
  <si>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</si>
  <si>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</si>
  <si>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</si>
  <si>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</si>
  <si>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</si>
  <si>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</si>
  <si>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</si>
  <si>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</si>
  <si>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</si>
  <si>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</si>
  <si>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</si>
  <si>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</si>
  <si>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</si>
  <si>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</si>
  <si>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</si>
  <si>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</si>
  <si>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</si>
  <si>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</si>
  <si>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</si>
  <si>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</si>
  <si>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</si>
  <si>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</si>
  <si>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</si>
  <si>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</si>
  <si>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</si>
  <si>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</si>
  <si>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</si>
  <si>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</si>
  <si>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</si>
  <si>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</si>
  <si>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</si>
  <si>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</si>
  <si>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</si>
  <si>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</si>
  <si>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</si>
  <si>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</si>
  <si>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</si>
  <si>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</si>
  <si>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</si>
  <si>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</si>
  <si>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</si>
  <si>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</si>
  <si>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</si>
  <si>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</si>
  <si>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</si>
  <si>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</si>
  <si>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</si>
  <si>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</si>
  <si>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</si>
  <si>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</si>
  <si>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</si>
  <si>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</si>
  <si>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</si>
  <si>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</si>
  <si>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</si>
  <si>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</si>
  <si>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</si>
  <si>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</si>
  <si>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</si>
  <si>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</si>
  <si>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</si>
  <si>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</si>
  <si>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</si>
  <si>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</si>
  <si>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</si>
  <si>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</si>
  <si>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</si>
  <si>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</si>
  <si>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</si>
  <si>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</si>
  <si>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</si>
  <si>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</si>
  <si>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</si>
  <si>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</si>
  <si>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</si>
  <si>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</si>
  <si>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</si>
  <si>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</si>
  <si>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</si>
  <si>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</si>
  <si>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</si>
  <si>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</si>
  <si>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</si>
  <si>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</si>
  <si>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</si>
  <si>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</si>
  <si>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</si>
  <si>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</si>
  <si>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</si>
  <si>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</si>
  <si>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</si>
  <si>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</si>
  <si>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</si>
  <si>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</si>
  <si>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</si>
  <si>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</si>
  <si>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</si>
  <si>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</si>
  <si>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</si>
  <si>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</si>
  <si>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</si>
  <si>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</si>
  <si>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</si>
  <si>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</si>
  <si>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</si>
  <si>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</si>
  <si>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</si>
  <si>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</si>
  <si>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</si>
  <si>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</si>
  <si>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</si>
  <si>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</si>
  <si>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</si>
  <si>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</si>
  <si>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</si>
  <si>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</si>
  <si>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</si>
  <si>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</si>
  <si>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</si>
  <si>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</si>
  <si>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</si>
  <si>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</si>
  <si>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</si>
  <si>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</si>
  <si>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</si>
  <si>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</si>
  <si>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</si>
  <si>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</si>
  <si>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</si>
  <si>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</si>
  <si>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</si>
  <si>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</si>
  <si>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</si>
  <si>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</si>
  <si>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</si>
  <si>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</si>
  <si>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</si>
  <si>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</si>
  <si>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</si>
  <si>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</si>
  <si>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</si>
  <si>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</si>
  <si>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</si>
  <si>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</si>
  <si>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</si>
  <si>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</si>
  <si>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</si>
  <si>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</si>
  <si>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</si>
  <si>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</si>
  <si>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</si>
  <si>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</si>
  <si>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</si>
  <si>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</si>
  <si>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</si>
  <si>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</si>
  <si>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</si>
  <si>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</si>
  <si>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</si>
  <si>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</si>
  <si>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</si>
  <si>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</si>
  <si>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</si>
  <si>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</si>
  <si>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</si>
  <si>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</si>
  <si>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</si>
  <si>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</si>
  <si>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</si>
  <si>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</si>
  <si>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</si>
  <si>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</si>
  <si>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</si>
  <si>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</si>
  <si>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</si>
  <si>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</si>
  <si>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</si>
  <si>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</si>
  <si>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</si>
  <si>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</si>
  <si>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</si>
  <si>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</si>
  <si>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</si>
  <si>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</si>
  <si>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</si>
  <si>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</si>
  <si>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</si>
  <si>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</si>
  <si>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</si>
  <si>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</si>
  <si>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</si>
  <si>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</si>
  <si>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</si>
  <si>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</si>
  <si>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</si>
  <si>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</si>
  <si>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</si>
  <si>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</si>
  <si>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</si>
  <si>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</si>
  <si>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</si>
  <si>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</si>
  <si>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</si>
  <si>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</si>
  <si>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</si>
  <si>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</si>
  <si>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</si>
  <si>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</si>
  <si>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</si>
  <si>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</si>
  <si>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</si>
  <si>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</si>
  <si>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</si>
  <si>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</si>
  <si>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</si>
  <si>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</si>
  <si>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</si>
  <si>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</si>
  <si>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</si>
  <si>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</si>
  <si>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</si>
  <si>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</si>
  <si>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</si>
  <si>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</si>
  <si>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</si>
  <si>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</si>
  <si>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</si>
  <si>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</si>
  <si>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</si>
  <si>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</si>
  <si>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</si>
  <si>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</si>
  <si>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</si>
  <si>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</si>
  <si>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</si>
  <si>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</si>
  <si>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</si>
  <si>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</si>
  <si>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</si>
  <si>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</si>
  <si>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</si>
  <si>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</si>
  <si>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</si>
  <si>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</si>
  <si>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</si>
  <si>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</si>
  <si>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</si>
  <si>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</si>
  <si>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</si>
  <si>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</si>
  <si>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</si>
  <si>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</si>
  <si>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</si>
  <si>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</si>
  <si>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</si>
  <si>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</si>
  <si>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</si>
  <si>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</si>
  <si>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</si>
  <si>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</si>
  <si>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</si>
  <si>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</si>
  <si>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</si>
  <si>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</si>
  <si>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</si>
  <si>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</si>
  <si>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</si>
  <si>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</si>
  <si>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</si>
  <si>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</si>
  <si>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</si>
  <si>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</si>
  <si>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</si>
  <si>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</si>
  <si>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</si>
  <si>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</si>
  <si>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</si>
  <si>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</si>
  <si>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</si>
  <si>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</si>
  <si>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</si>
  <si>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</si>
  <si>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</si>
  <si>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</si>
  <si>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</si>
  <si>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</si>
  <si>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</si>
  <si>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</si>
  <si>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</si>
  <si>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</si>
  <si>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</si>
  <si>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</si>
  <si>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</si>
  <si>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</si>
  <si>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</si>
  <si>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</si>
  <si>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</si>
  <si>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</si>
  <si>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</si>
  <si>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</si>
  <si>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</si>
  <si>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</si>
  <si>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</si>
  <si>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</si>
  <si>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</si>
  <si>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</si>
  <si>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</si>
  <si>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</si>
  <si>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</si>
  <si>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</si>
  <si>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</si>
  <si>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</si>
  <si>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</si>
  <si>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</si>
  <si>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</si>
  <si>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</si>
  <si>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</si>
  <si>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</si>
  <si>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</si>
  <si>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</si>
  <si>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</si>
  <si>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</si>
  <si>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</si>
  <si>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</si>
  <si>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</si>
  <si>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</si>
  <si>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</si>
  <si>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</si>
  <si>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</si>
  <si>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</si>
  <si>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</si>
  <si>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</si>
  <si>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</si>
  <si>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</si>
  <si>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</si>
  <si>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</si>
  <si>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</si>
  <si>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</si>
  <si>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</si>
  <si>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</si>
  <si>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</si>
  <si>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</si>
  <si>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</si>
  <si>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</si>
  <si>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</si>
  <si>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</si>
  <si>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</si>
  <si>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</si>
  <si>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</si>
  <si>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</si>
  <si>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</si>
  <si>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</si>
  <si>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</si>
  <si>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</si>
  <si>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</si>
  <si>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</si>
  <si>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</si>
  <si>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</si>
  <si>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</si>
  <si>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</si>
  <si>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</si>
  <si>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</si>
  <si>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</si>
  <si>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</si>
  <si>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</si>
  <si>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</si>
  <si>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</si>
  <si>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</si>
  <si>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</si>
  <si>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</si>
  <si>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</si>
  <si>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</si>
  <si>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</si>
  <si>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</si>
  <si>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</si>
  <si>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Disease change in incidence/prevalence (100% represents no growth)</t>
  </si>
  <si>
    <t>-</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</si>
  <si>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</si>
  <si>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</si>
  <si>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</si>
  <si>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</si>
  <si>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</si>
  <si>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</si>
  <si>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</si>
  <si>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</si>
  <si>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</si>
  <si>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</si>
  <si>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</si>
  <si>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</si>
  <si>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</si>
  <si>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</si>
  <si>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</si>
  <si>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</si>
  <si>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</si>
  <si>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</si>
  <si>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</si>
  <si>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</si>
  <si>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</si>
  <si>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</si>
  <si>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</si>
  <si>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</si>
  <si>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</si>
  <si>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Appointments with specialist assumed to take place quarterly and be a 20 minute follow up outpatient attendance</t>
  </si>
  <si>
    <t>Adverse events, annual costs and rates</t>
  </si>
  <si>
    <t>Annual rate of events</t>
  </si>
  <si>
    <t>Event</t>
  </si>
  <si>
    <t>Cost of event</t>
  </si>
  <si>
    <t>Alanine aminotransferase increased</t>
  </si>
  <si>
    <t>Diarrhoea</t>
  </si>
  <si>
    <t>Leukopenia</t>
  </si>
  <si>
    <t>Lymphopenia</t>
  </si>
  <si>
    <t>Neutropenia</t>
  </si>
  <si>
    <t>The cost of the event is based on an oncology follow-up attendance WF01A 370 Medical Oncology Service, WF01A Follow Up Attendance - Single Professional</t>
  </si>
  <si>
    <t>Drug cost</t>
  </si>
  <si>
    <t>Drug name</t>
  </si>
  <si>
    <t>Dose per admin</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</si>
  <si>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</si>
  <si>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</si>
  <si>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</si>
  <si>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</si>
  <si>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</si>
  <si>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</si>
  <si>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</si>
  <si>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</si>
  <si>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</si>
  <si>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</si>
  <si>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</si>
  <si>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</si>
  <si>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Appointments with specialist</t>
  </si>
  <si>
    <t>WF01A</t>
  </si>
  <si>
    <t>370 Medical Oncology Service, Follow Up Attendance - Single Professional</t>
  </si>
  <si>
    <t>Eligible population and uptake</t>
  </si>
  <si>
    <t>Future practice -year 3</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</si>
  <si>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</si>
  <si>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</si>
  <si>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</si>
  <si>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</si>
  <si>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</si>
  <si>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</si>
  <si>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</si>
  <si>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</si>
  <si>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</si>
  <si>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</si>
  <si>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</si>
  <si>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</si>
  <si>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</si>
  <si>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</si>
  <si>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</si>
  <si>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</si>
  <si>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</si>
  <si>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</si>
  <si>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</si>
  <si>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</si>
  <si>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</si>
  <si>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</si>
  <si>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</si>
  <si>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</si>
  <si>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</si>
  <si>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</si>
  <si>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</si>
  <si>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</si>
  <si>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</si>
  <si>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</si>
  <si>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</si>
  <si>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</si>
  <si>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</si>
  <si>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</si>
  <si>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</si>
  <si>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</si>
  <si>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</si>
  <si>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</si>
  <si>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</si>
  <si>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</si>
  <si>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</si>
  <si>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</si>
  <si>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</si>
  <si>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</si>
  <si>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</si>
  <si>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</si>
  <si>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</si>
  <si>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</si>
  <si>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</si>
  <si>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</si>
  <si>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</si>
  <si>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</si>
  <si>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</si>
  <si>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</si>
  <si>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</si>
  <si>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</si>
  <si>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</si>
  <si>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</si>
  <si>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</si>
  <si>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</si>
  <si>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</si>
  <si>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</si>
  <si>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</si>
  <si>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</si>
  <si>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</si>
  <si>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</si>
  <si>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</si>
  <si>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</si>
  <si>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</si>
  <si>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</si>
  <si>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</si>
  <si>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</si>
  <si>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</si>
  <si>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Drugs - people having treatment options (includes discontinuations in year) - from inputs and population tab</t>
  </si>
  <si>
    <t>Year 0</t>
  </si>
  <si>
    <t>Total</t>
  </si>
  <si>
    <t>Cost of each event</t>
  </si>
  <si>
    <t>Number of follow up attendances (per year)</t>
  </si>
  <si>
    <t>Oncologist appointments</t>
  </si>
  <si>
    <t>Drug</t>
  </si>
  <si>
    <t>Source for price</t>
  </si>
  <si>
    <t>Drugs costs and financial impact of capacity items</t>
  </si>
  <si>
    <t>Number of days of treatment per cycle</t>
  </si>
  <si>
    <t>Number of cycles per year</t>
  </si>
  <si>
    <t>Pharmacy time in minutes</t>
  </si>
  <si>
    <t>Pharmacy time required per patient per cycle</t>
  </si>
  <si>
    <t>Oncologist time per appointment</t>
  </si>
  <si>
    <t>Oncologist time required per appointment</t>
  </si>
  <si>
    <t>Specialty follow up appointment hours required (number of appointments x time per appointment)</t>
  </si>
  <si>
    <t>Oncologist follow ups - number of hours</t>
  </si>
  <si>
    <t>Nurse time to support delivery of treatment - number of hours</t>
  </si>
  <si>
    <t>Pharmacy time to support delivery of treatment - number of hours</t>
  </si>
  <si>
    <t>Capacity impact, activity and financial</t>
  </si>
  <si>
    <t>Total capacity impact</t>
  </si>
  <si>
    <t>Number of oncologist appointments and cost</t>
  </si>
  <si>
    <t xml:space="preserve">Population % growth per year </t>
  </si>
  <si>
    <t>Total events per year for all treatments</t>
  </si>
  <si>
    <t>Number of people having treatment</t>
  </si>
  <si>
    <t>Resource</t>
  </si>
  <si>
    <t>Delivery of treatment - number per year and cost</t>
  </si>
  <si>
    <t>Unit cost (from unit costs tab)</t>
  </si>
  <si>
    <t>Total number of cycles</t>
  </si>
  <si>
    <t>Total number of follow up appointments</t>
  </si>
  <si>
    <t>Total hours required for follow up appointments</t>
  </si>
  <si>
    <t>Total hours required for delivery of treatments</t>
  </si>
  <si>
    <t>Price per pack</t>
  </si>
  <si>
    <t>Strength mg</t>
  </si>
  <si>
    <t>IV</t>
  </si>
  <si>
    <t>Total pack contents</t>
  </si>
  <si>
    <t>Administration</t>
  </si>
  <si>
    <t>Administration and pack details</t>
  </si>
  <si>
    <t>Nursing time in hours for delivery of treatment (number of cycles for patients treated x time per cycle)</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</si>
  <si>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</si>
  <si>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</si>
  <si>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</si>
  <si>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</si>
  <si>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</si>
  <si>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</si>
  <si>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</si>
  <si>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</si>
  <si>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</si>
  <si>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</si>
  <si>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Capacity</t>
  </si>
  <si>
    <t>See population data notes below</t>
  </si>
  <si>
    <t>Market shares and treatment option usage</t>
  </si>
  <si>
    <t>Eligible population current, year 0</t>
  </si>
  <si>
    <t>Market shares</t>
  </si>
  <si>
    <t>Treatment options</t>
  </si>
  <si>
    <t>Number of people treated in each year</t>
  </si>
  <si>
    <t>Current  - 
year 0</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</si>
  <si>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</si>
  <si>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</si>
  <si>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</si>
  <si>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</si>
  <si>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Dose and cost</t>
  </si>
  <si>
    <t>Dose intensity</t>
  </si>
  <si>
    <t>GP Top</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</si>
  <si>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</si>
  <si>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</si>
  <si>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</si>
  <si>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</si>
  <si>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</si>
  <si>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</si>
  <si>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</si>
  <si>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</si>
  <si>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</si>
  <si>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</si>
  <si>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</si>
  <si>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</si>
  <si>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</si>
  <si>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</si>
  <si>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Total treatment cycles</t>
  </si>
  <si>
    <t>This worksheet calculates the capacity impacts used in this template. Blue cells can be amended to include local data if required.</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</si>
  <si>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</si>
  <si>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</si>
  <si>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</si>
  <si>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This worksheet calculates the number of adverse events used in this template. Blue cells can be amended to include local data if required.</t>
  </si>
  <si>
    <t>Rates are based on company submission</t>
  </si>
  <si>
    <t>Total events for all treatment options</t>
  </si>
  <si>
    <t>Total costs per year for all treatments</t>
  </si>
  <si>
    <t>Number of deliveries and cost (see details below)</t>
  </si>
  <si>
    <t>Capacity type</t>
  </si>
  <si>
    <t>sheet cell f15</t>
  </si>
  <si>
    <t>3 year rates</t>
  </si>
  <si>
    <t>columns of data</t>
  </si>
  <si>
    <t>in population</t>
  </si>
  <si>
    <t>RIA to amend all rows of data.  Examples shown on left</t>
  </si>
  <si>
    <t>30 days</t>
  </si>
  <si>
    <t>2D Cancers &amp; Tumours - Lung</t>
  </si>
  <si>
    <t>NHS England</t>
  </si>
  <si>
    <t>NHS Hospital Trusts</t>
  </si>
  <si>
    <t xml:space="preserve">Pre-operative (neoadjuvant) resectable NSCLC and adjuvant (post operative) NSCLC </t>
  </si>
  <si>
    <t>Cancer</t>
  </si>
  <si>
    <t>Lung cancer</t>
  </si>
  <si>
    <t>(neoadjuvant) then alone after surgery (adjuvant)</t>
  </si>
  <si>
    <t>Cancer registrations statistics, England 2023- NHS England Digital</t>
  </si>
  <si>
    <t>NLCA State of the Nation 2024 Version 2 - National Lung Cancer Audit</t>
  </si>
  <si>
    <t>Incidence of NSCLC</t>
  </si>
  <si>
    <t>As per page 7</t>
  </si>
  <si>
    <t xml:space="preserve">Table 3 Calculated.  Stage I as a proportion of I, II, IIIA. 22.5/(22.5 + 7.5 + 10.7) = 55.2%. Estimate 55% of all resections were stage 1 and would not be eligible for neoadjuvant treatment. </t>
  </si>
  <si>
    <t>Proportion who are suitable for neoadjuvant treatment</t>
  </si>
  <si>
    <t>Clinical expert opinion, resource impact template, Nivolumab with chemotherapy for neoadjuvant treatment of resectable non-small-cell lung cancer (2023) TA876</t>
  </si>
  <si>
    <t>Eligible population for neoadjuvant treatment - adjust locally if required</t>
  </si>
  <si>
    <t>Adult population</t>
  </si>
  <si>
    <t xml:space="preserve">Neoadjuvant setting </t>
  </si>
  <si>
    <t>Adjuvant setting</t>
  </si>
  <si>
    <t>Proportion suitable for adjuvant treatment with durvalumab (proportion of those who receive neoadjuvant durvalumab)</t>
  </si>
  <si>
    <t>Proportion suitable for adjuvant treatment with pembrolizumab (proportion of those who receive neoadjuvant pembrolizumab)</t>
  </si>
  <si>
    <t>Nil neoadjuvant immunotherapy treatment</t>
  </si>
  <si>
    <t>Market shares for neoadjuvant setting based on NHSE estimates.  The numbers not receiving neoadjuvant treatment will likely have regional variations and should be reviewed locally.</t>
  </si>
  <si>
    <t>Only people who receive pembrolizumab as a neoadjuvant treatment can then receive pembrolizumab as an adjuvant treatment after surgery. Therefore the eligible population for adjuvant treatment is dependent on the uptake of pembrolizumab as a neoadjuvant treatment.</t>
  </si>
  <si>
    <t>Only people who receive durvalumab as a neoadjuvant treatment can then receive durvalumab as an adjuvant treatment after surgery. Therefore the eligible population for adjuvant treatment is dependent on the uptake of durvalumab as a neoadjuvant treatment.</t>
  </si>
  <si>
    <t>Only people who receive nivolumab as a neoadjuvant treatment can then receive durvalumab as an adjuvant treatment after surgery. Therefore the eligible population for adjuvant treatment is dependent on the uptake of nivolumab as a neoadjuvant treatment.</t>
  </si>
  <si>
    <t>71.2% of people who receive pembrolizumab as a neoadjuvant treatment are expected to be eligible for adjuvant treatment with pembrolizumab.</t>
  </si>
  <si>
    <t>Perioperative Pembrolizumab for Early-Stage Non–Small-Cell Lung Cancer | New England Journal of Medicine (nejm.org)</t>
  </si>
  <si>
    <t>Discontinuations are not included in the template.</t>
  </si>
  <si>
    <t xml:space="preserve">People receiving treatment each year </t>
  </si>
  <si>
    <t>Durvalumab</t>
  </si>
  <si>
    <t>Nivolumab</t>
  </si>
  <si>
    <t>Pembrolizumab</t>
  </si>
  <si>
    <t>Carboplatin</t>
  </si>
  <si>
    <t>Cisplatin</t>
  </si>
  <si>
    <t>Docetaxel</t>
  </si>
  <si>
    <t>Gemcitabine</t>
  </si>
  <si>
    <t>Paclitaxel</t>
  </si>
  <si>
    <t>Pemetrexed</t>
  </si>
  <si>
    <t xml:space="preserve">vial </t>
  </si>
  <si>
    <t>Vinorelbine</t>
  </si>
  <si>
    <t>Local input</t>
  </si>
  <si>
    <t>Nivolumab (neoadjuvant)</t>
  </si>
  <si>
    <t xml:space="preserve">IV, over 30 minutes every 3 weeks </t>
  </si>
  <si>
    <t>Drug costs from Gov.UK electronic market information tool (eMIT): online [accessed 24.11.25]</t>
  </si>
  <si>
    <t>eMIT</t>
  </si>
  <si>
    <t>Nivolumab (adjuvant)</t>
  </si>
  <si>
    <t>Cisplatin + Pemetrexed.  Cisplatin</t>
  </si>
  <si>
    <t>Cisplatin + Pemetrexed.  Pemetrexed</t>
  </si>
  <si>
    <t>Cisplatin + Gemcitabine.  Cisplatin</t>
  </si>
  <si>
    <t>Cisplatin + Gemcitabine.  Gemcitabine</t>
  </si>
  <si>
    <t>Carboplatin + Paclitaxel.  Carboplatin</t>
  </si>
  <si>
    <t>Carboplatin + Paclitaxel.  Paclitaxel</t>
  </si>
  <si>
    <t>Cisplatin + Vinorelbine</t>
  </si>
  <si>
    <t>Cisplatin + Vinorelbine, Cisplatin</t>
  </si>
  <si>
    <t>Cisplatin + Vinorelbine, Vinorelbine</t>
  </si>
  <si>
    <t>Cisplatin + Docetaxel</t>
  </si>
  <si>
    <t>Cisplatin + Docetaxel, Cisplatin</t>
  </si>
  <si>
    <t>Cisplatin + Docetaxel, Docetaxel</t>
  </si>
  <si>
    <t>Carboplatin + Pemetrexed</t>
  </si>
  <si>
    <t xml:space="preserve">Carboplatin + Pemetrexed, Carboplatin </t>
  </si>
  <si>
    <t>Carboplatin + Pemetrexed, Pemetrexed</t>
  </si>
  <si>
    <t>Carboplatin + Gemcitabine</t>
  </si>
  <si>
    <t>Carboplatin + Gemcitabine, Carboplatin</t>
  </si>
  <si>
    <t>Carboplatin + Gemcitabine, Gemcitabine</t>
  </si>
  <si>
    <t>Carboplatin + Vinorelbine</t>
  </si>
  <si>
    <t xml:space="preserve">Carboplatin + Vinorelbine, Carboplatin </t>
  </si>
  <si>
    <t>Carboplatin + Vinorelbine, Vinorelbine</t>
  </si>
  <si>
    <t>Carboplatin + Docetaxel</t>
  </si>
  <si>
    <t xml:space="preserve">Carboplatin + Docetaxel, Carboplatin </t>
  </si>
  <si>
    <t xml:space="preserve">Carboplatin + Docetaxel, Docetaxel </t>
  </si>
  <si>
    <t>BSA (m2)</t>
  </si>
  <si>
    <t>Weight (kg)</t>
  </si>
  <si>
    <t>n/a</t>
  </si>
  <si>
    <t xml:space="preserve">Dose </t>
  </si>
  <si>
    <t>Number of vials per cycle</t>
  </si>
  <si>
    <t>Cost per cycle</t>
  </si>
  <si>
    <t xml:space="preserve">Regimen </t>
  </si>
  <si>
    <t xml:space="preserve">Cost </t>
  </si>
  <si>
    <t>Platinum based chemotherapy regimens for neoadjuvant treatment</t>
  </si>
  <si>
    <t xml:space="preserve">Weighted distribution </t>
  </si>
  <si>
    <t>Cisplatin + Pemetrexed</t>
  </si>
  <si>
    <t>Cisplatin + Gemcitabine</t>
  </si>
  <si>
    <t>Carboplatin + Paclitaxel</t>
  </si>
  <si>
    <t>Neoadjuvant treatments</t>
  </si>
  <si>
    <t xml:space="preserve">Nivolumab </t>
  </si>
  <si>
    <t xml:space="preserve">Durvalumab </t>
  </si>
  <si>
    <t>Health Survey for England, 2022. NHS Digital</t>
  </si>
  <si>
    <t>Sacco JJ, Botten J, Macbeth F, Bagust A, Clark P. The average body surface area of adult cancer patients in the UK: a multicentre retrospective study. PLoS One. 2010 Jan 28;5(1):e8933. doi: 10.1371/journal.pone.0008933. PMID: 20126669; PMCID: PMC2812484.</t>
  </si>
  <si>
    <t xml:space="preserve">Platinum-based chemotherapy </t>
  </si>
  <si>
    <t xml:space="preserve">Cost per cycle </t>
  </si>
  <si>
    <t xml:space="preserve">Number of cycles </t>
  </si>
  <si>
    <t>SB13Z</t>
  </si>
  <si>
    <t>Deliver more Complex Parenteral Chemotherapy at First Attendance</t>
  </si>
  <si>
    <t>Administration cost as per NHS England, National Tariff Payment System. 2025/26 with pay award [accessed online 24.11.25]</t>
  </si>
  <si>
    <t>Treatment duration based on MHRA guidance.</t>
  </si>
  <si>
    <t>Dosing as per company submission.</t>
  </si>
  <si>
    <t>Total cost</t>
  </si>
  <si>
    <t>SB12Z</t>
  </si>
  <si>
    <t>Deliver simple parenteral chemotherapy at first Attendance</t>
  </si>
  <si>
    <t>Durvalumab (neoadjuvant)</t>
  </si>
  <si>
    <t>Durvalumab (adjuvant)</t>
  </si>
  <si>
    <t xml:space="preserve">IV, 1,500 mg every 3 weeks </t>
  </si>
  <si>
    <t xml:space="preserve">IV, 480 mg every 4 weeks </t>
  </si>
  <si>
    <t xml:space="preserve">IV, 1,500 mg every 4 weeks </t>
  </si>
  <si>
    <t>Pembrolizumab (neoadjuvant)</t>
  </si>
  <si>
    <t xml:space="preserve">IV, 200 mg every 3 weeks </t>
  </si>
  <si>
    <t>Pembrolizumab (adjuvant)</t>
  </si>
  <si>
    <t xml:space="preserve">IV, 200 mg initial dose </t>
  </si>
  <si>
    <t>IV, 400 mg every 6 weeks</t>
  </si>
  <si>
    <t xml:space="preserve">Drug cost </t>
  </si>
  <si>
    <t xml:space="preserve">Admin cost </t>
  </si>
  <si>
    <t>Number of first attendances (per year)</t>
  </si>
  <si>
    <t>Number of people treated</t>
  </si>
  <si>
    <t xml:space="preserve">People having nivolumab as neoadjuvant  </t>
  </si>
  <si>
    <t>People having durvalumab as neoadjuvant</t>
  </si>
  <si>
    <t xml:space="preserve">People having pembrolizumab as neoadjuvant </t>
  </si>
  <si>
    <t xml:space="preserve">People having durvalumab as adjuvant </t>
  </si>
  <si>
    <t xml:space="preserve">People having pembrolizumab as adjuvant </t>
  </si>
  <si>
    <t>Total drug cost</t>
  </si>
  <si>
    <t>Number per person  (from unit costs tab)</t>
  </si>
  <si>
    <t>Specialty first attendances - number of appointments</t>
  </si>
  <si>
    <t>Specialty follow up attendances - number of appointments</t>
  </si>
  <si>
    <t>Specialty first appointment hours required (number of appointments x time per appointment)</t>
  </si>
  <si>
    <t>Total number of first attendance appointments</t>
  </si>
  <si>
    <t>Total hours required for first attendance appointments</t>
  </si>
  <si>
    <t>Number of follow up oncologist appointments and cost</t>
  </si>
  <si>
    <t>WF01B</t>
  </si>
  <si>
    <t xml:space="preserve">First attendance - single professional </t>
  </si>
  <si>
    <t>Follow up attendance - single professional</t>
  </si>
  <si>
    <t>370 Medical Oncology Service, First Attendance - Single Professional</t>
  </si>
  <si>
    <t>Appointments with specialist assumed to be the same for all groups. Please amend locally.</t>
  </si>
  <si>
    <t>Administration time of durvalumab based on company submission: durvalumab is administered as an intravenous infusion over 1 hour.</t>
  </si>
  <si>
    <t>Duration of administrations as per SmPC available through the European Medicines Compendium</t>
  </si>
  <si>
    <t>Adverse events are not assumed to have additional resource impact from current practice. Company submission.</t>
  </si>
  <si>
    <t xml:space="preserve">Per NHSE: Clinical pathways for treatment of patients in the neoadjuvant and adjuvant setting are established in practice. </t>
  </si>
  <si>
    <t>Administration time of pembrolizumab and nivolumab per SmPC:</t>
  </si>
  <si>
    <t>Proportion of people who undergo surgical resection</t>
  </si>
  <si>
    <t>Less: Proportion of people who are stage I and whose tumours are easily operable and would not require neoadjuvant treatment</t>
  </si>
  <si>
    <t>Sub total: people receiving surgical resection who are not stage I</t>
  </si>
  <si>
    <t>Uptake for nivolumab + chemotherapy</t>
  </si>
  <si>
    <t>Uptake for durvalumab + chemotherapy</t>
  </si>
  <si>
    <t>Uptake for pembrolizumab + chemotherapy</t>
  </si>
  <si>
    <t>NHS England, National Tariff Payment System. 2025/26 with pay award [accessed online 24.11.25]</t>
  </si>
  <si>
    <t>Dosing as per economic evaluation and informed by clinical input.</t>
  </si>
  <si>
    <t>Proportion who are not epidermal growth factor receptor (EGFR) or anaplastic lymphoma kinase (ALK) mutation positive</t>
  </si>
  <si>
    <t>Guidance published: February 2026</t>
  </si>
  <si>
    <t>For local input.</t>
  </si>
  <si>
    <t>Durvalumab (adjuvant) IV</t>
  </si>
  <si>
    <t>Frequency per cycle (days)</t>
  </si>
  <si>
    <t>Nivolumab (adjuvant) IV</t>
  </si>
  <si>
    <t>Nivolumab (adjuvant) Subcutaneous</t>
  </si>
  <si>
    <t>subcutaneous injection</t>
  </si>
  <si>
    <t>solution for injection</t>
  </si>
  <si>
    <t>Proportion suitable for adjuvant treatment with nivolumab via IV (proportion of those who receive neoadjuvant nivolumab)</t>
  </si>
  <si>
    <t>Proportion suitable for adjuvant treatment with nivolumab via subcutaneous injection (proportion of those who receive neoadjuvant nivolumab)</t>
  </si>
  <si>
    <t xml:space="preserve">People having IV nivolumab as adjuvant </t>
  </si>
  <si>
    <t xml:space="preserve">People having subcutaneous nivolumab as adjuvant </t>
  </si>
  <si>
    <t>66% of people who receive durvalumab as a neoadjuvant treatment are expected to be eligible for adjuvant treatment with durvalumab. This is based on the AEGEAN trial.  50/50 split between IV and subcutaneous admins assumed - please amend to reflect local practice.</t>
  </si>
  <si>
    <t>IV time in minutes</t>
  </si>
  <si>
    <t xml:space="preserve">Subcut attendances </t>
  </si>
  <si>
    <t>subcut administration time in minutes</t>
  </si>
  <si>
    <t xml:space="preserve">IV attendances </t>
  </si>
  <si>
    <t xml:space="preserve">Number of subcut attendances per year </t>
  </si>
  <si>
    <t>Number of IV attendances</t>
  </si>
  <si>
    <t xml:space="preserve">Subcut Administrations  </t>
  </si>
  <si>
    <t>subcut time (time per cycle x number of cycles)</t>
  </si>
  <si>
    <t>It is expected that the subcutaneous injections for nivolumab will take place in hospital and an appointment will be needed-  users should input the time for this appointment in row 22.</t>
  </si>
  <si>
    <t xml:space="preserve">IV Administrations  </t>
  </si>
  <si>
    <t xml:space="preserve">Current  practice </t>
  </si>
  <si>
    <t>Future practice 
year 1</t>
  </si>
  <si>
    <t>Future practice 
year 2</t>
  </si>
  <si>
    <t>Future practice  year 3</t>
  </si>
  <si>
    <t>Total number of administrations</t>
  </si>
  <si>
    <t>IV administration time (time per cycle x number of cycles)</t>
  </si>
  <si>
    <t>Total number of hours</t>
  </si>
  <si>
    <t xml:space="preserve">Nursing time in minutes </t>
  </si>
  <si>
    <t xml:space="preserve">Treatments with chemotherapy before surgery </t>
  </si>
  <si>
    <t>Treatments with chemotherapy before surgery (neoadjuvant) then alone after surgery (adjuvant) for treating resectable non-small-cell lung cancer</t>
  </si>
  <si>
    <t>Oncologist first attendance appointments - number of hours</t>
  </si>
  <si>
    <t>Subcut administration time to support delivery of treatment - hours</t>
  </si>
  <si>
    <t>IV administration time to support delivery of treatment- hours</t>
  </si>
  <si>
    <t>This is based on a study by Wakelee et al 2023 where 290 patients received adjuvant treatment out of 325 having surgery (89.2%). Shown in figure S2. This is further adjusted for 18% of people who drop out or experience adverse effects.</t>
  </si>
  <si>
    <t>Covering TA1127 and TA1030</t>
  </si>
  <si>
    <t>Staffing hours required to deliver treatments below.  The outpatient and delivery tariffs reimburse for staff hours shown below</t>
  </si>
  <si>
    <t>Current practice</t>
  </si>
  <si>
    <t>Future practice - 
year 1</t>
  </si>
  <si>
    <t>Future practice - 
year 2</t>
  </si>
  <si>
    <t>Future practice - 
year 3</t>
  </si>
  <si>
    <t>Current  practice £'000</t>
  </si>
  <si>
    <t>Future practice  
year 1 £'000</t>
  </si>
  <si>
    <t>Future practice  
year 2 £'000</t>
  </si>
  <si>
    <t>Future practice  
year 3 £'000</t>
  </si>
  <si>
    <t>All tabs that are light blue in colour, users can amend assumptions</t>
  </si>
  <si>
    <t>resourceimpactassessment@nice.org.uk</t>
  </si>
  <si>
    <t>If users require training on how to use this template or require amendments please contact the email address below</t>
  </si>
  <si>
    <t>Nursing time per patient per cycle</t>
  </si>
  <si>
    <t>Nursing time for IV required per patient per cycle</t>
  </si>
  <si>
    <t>Nursing time in minutes per patient per cycle (pre and post IV )</t>
  </si>
  <si>
    <t xml:space="preserve">     This results in a greater number of people having adjuvant treatment.</t>
  </si>
  <si>
    <t>1) The number and cost of deliveries and other capacity areas shown below have increased due to all neoadjuvant treatments showing an increase in uptake in future practice</t>
  </si>
  <si>
    <t>1) Nivolumab, durvalumab and pembrolizumab are all administered with platinum-based chemotherapy in neoadjuvant phase.  Platinum based regimens are assumed to be equally distributed as per modelling for nivolumab appraisal but can be amended locally.</t>
  </si>
  <si>
    <t xml:space="preserve">2) Mean weight assumed to be 79.3 kg as per </t>
  </si>
  <si>
    <t xml:space="preserve">3) Mean body surface area assumed to be 1.79 m2 as per </t>
  </si>
  <si>
    <t>Market share estimates for the adjuvant populations are based on trial data.</t>
  </si>
  <si>
    <t xml:space="preserve">62% of people who receive nivolumab as a neoadjuvant treatment are expected to have adjuvant treatment with nivolumab.  This is based on the CheckMate 77T trial.  It is assumed IV and subcutaneous </t>
  </si>
  <si>
    <t>for resectable non-small-cell lung cancer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</si>
</sst>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quot;£&quot;* #,##0_-;\-&quot;£&quot;* #,##0_-;_-&quot;£&quot;* &quot;-&quot;??_-;_-@_-"/>
  </numFmts>
  <fonts count="7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color rgb="FF000000"/>
      <name val="Calibri"/>
      <family val="2"/>
      <scheme val="minor"/>
    </font>
    <font>
      <sz val="11"/>
      <name val="Calibri"/>
      <family val="2"/>
    </font>
    <font>
      <sz val="11"/>
      <color theme="1"/>
      <name val="Arial"/>
    </font>
    <font>
      <b/>
      <sz val="20"/>
      <color rgb="FF000000"/>
      <name val="Calibri"/>
      <family val="2"/>
      <scheme val="minor"/>
    </font>
    <font>
      <u/>
      <sz val="11"/>
      <color theme="10"/>
      <name val="Calibri"/>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rgb="FF000000"/>
      </bottom>
      <diagonal/>
    </border>
    <border>
      <left/>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style="thin">
        <color rgb="FF000000"/>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rgb="FF000000"/>
      </bottom>
      <diagonal/>
    </border>
    <border>
      <left/>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30">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1"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1" borderId="11" xfId="0" applyNumberFormat="1" applyFont="1" applyFill="1" applyBorder="1" applyAlignment="1">
      <alignment horizontal="center"/>
    </xf>
    <xf numFmtId="0" fontId="29" fillId="41" borderId="0" xfId="0" applyFont="1" applyFill="1" applyAlignment="1">
      <alignment horizontal="left"/>
    </xf>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1"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2" borderId="0" xfId="0" applyFont="1" applyFill="1" applyAlignment="1">
      <alignment horizontal="left" vertical="center"/>
    </xf>
    <xf numFmtId="0" fontId="39" fillId="42" borderId="0" xfId="0" applyFont="1" applyFill="1" applyAlignment="1">
      <alignment horizontal="left" vertical="center"/>
    </xf>
    <xf numFmtId="0" fontId="62" fillId="42"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3"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3"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3"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4" borderId="0" xfId="0" applyFont="1" applyFill="1" applyAlignment="1">
      <alignment horizontal="left"/>
    </xf>
    <xf numFmtId="0" fontId="29" fillId="44"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1"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5" borderId="0" xfId="0" applyFont="1" applyFill="1" applyAlignment="1">
      <alignment horizontal="center"/>
    </xf>
    <xf numFmtId="0" fontId="29" fillId="45" borderId="11" xfId="0" applyFont="1" applyFill="1" applyBorder="1" applyAlignment="1">
      <alignment horizontal="center" wrapText="1"/>
    </xf>
    <xf numFmtId="169" fontId="29" fillId="45"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1" borderId="0" xfId="0" applyFont="1" applyFill="1"/>
    <xf numFmtId="3" fontId="42" fillId="46" borderId="0" xfId="0" applyNumberFormat="1" applyFont="1" applyFill="1"/>
    <xf numFmtId="0" fontId="64" fillId="46" borderId="0" xfId="0" applyFont="1" applyFill="1"/>
    <xf numFmtId="0" fontId="42" fillId="46" borderId="0" xfId="0" applyFont="1" applyFill="1"/>
    <xf numFmtId="0" fontId="42" fillId="46" borderId="0" xfId="0" applyFont="1" applyFill="1" applyAlignment="1">
      <alignment horizontal="left"/>
    </xf>
    <xf numFmtId="10" fontId="0" fillId="0" borderId="44" xfId="92" applyNumberFormat="1" applyFont="1" applyFill="1" applyBorder="1"/>
    <xf numFmtId="0" fontId="0" fillId="0" borderId="45" xfId="0" applyBorder="1" applyAlignment="1">
      <alignment horizontal="right"/>
    </xf>
    <xf numFmtId="0" fontId="0" fillId="0" borderId="45"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5" xfId="82" applyFont="1" applyBorder="1"/>
    <xf numFmtId="0" fontId="66" fillId="24" borderId="12" xfId="82" applyFont="1" applyFill="1" applyBorder="1"/>
    <xf numFmtId="0" fontId="7" fillId="24" borderId="20" xfId="82" applyFont="1" applyFill="1" applyBorder="1"/>
    <xf numFmtId="0" fontId="6" fillId="24" borderId="17"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0" xfId="82" applyFont="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0" fontId="44" fillId="0" borderId="45" xfId="0" applyFont="1" applyBorder="1" applyAlignment="1">
      <alignment horizontal="right"/>
    </xf>
    <xf numFmtId="0" fontId="29" fillId="41"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1" borderId="11" xfId="92" applyNumberFormat="1" applyFont="1" applyFill="1" applyBorder="1"/>
    <xf numFmtId="9" fontId="0" fillId="39" borderId="46"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174" fontId="46" fillId="39" borderId="11" xfId="56" applyNumberFormat="1" applyFont="1" applyFill="1" applyBorder="1" applyAlignment="1" applyProtection="1">
      <alignment horizontal="right"/>
      <protection locked="0"/>
    </xf>
    <xf numFmtId="0" fontId="57" fillId="0" borderId="0" xfId="0" applyFont="1"/>
    <xf numFmtId="9" fontId="0" fillId="39" borderId="11" xfId="0" applyNumberForma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26" borderId="12" xfId="82" applyFont="1" applyFill="1" applyBorder="1" applyProtection="1">
      <protection locked="0"/>
    </xf>
    <xf numFmtId="0" fontId="0" fillId="26" borderId="17" xfId="0" applyFill="1" applyBorder="1"/>
    <xf numFmtId="0" fontId="48" fillId="41" borderId="12" xfId="82" applyFont="1" applyFill="1" applyBorder="1" applyProtection="1">
      <protection locked="0"/>
    </xf>
    <xf numFmtId="0" fontId="0" fillId="41" borderId="17" xfId="0" applyFill="1" applyBorder="1"/>
    <xf numFmtId="0" fontId="27" fillId="0" borderId="0" xfId="82" applyFont="1"/>
    <xf numFmtId="174" fontId="46" fillId="39" borderId="11" xfId="82" applyNumberFormat="1" applyFont="1" applyFill="1" applyBorder="1" applyAlignment="1" applyProtection="1">
      <alignment horizontal="right" wrapText="1"/>
      <protection locked="0"/>
    </xf>
    <xf numFmtId="0" fontId="67" fillId="47" borderId="11" xfId="0" applyFont="1" applyFill="1" applyBorder="1" applyAlignment="1">
      <alignment horizontal="center" vertical="center"/>
    </xf>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50" xfId="82" applyFont="1" applyBorder="1"/>
    <xf numFmtId="0" fontId="44" fillId="0" borderId="10" xfId="0" applyFont="1" applyBorder="1" applyAlignment="1">
      <alignment horizontal="left"/>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0" fillId="0" borderId="14" xfId="0" applyBorder="1" applyAlignment="1">
      <alignment horizontal="left"/>
    </xf>
    <xf numFmtId="0" fontId="0" fillId="0" borderId="14" xfId="82" applyFont="1" applyBorder="1" applyAlignment="1">
      <alignment vertical="top"/>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1" fillId="24" borderId="45" xfId="0" applyFont="1" applyFill="1" applyBorder="1"/>
    <xf numFmtId="0" fontId="45" fillId="24" borderId="45" xfId="82" applyFont="1" applyFill="1" applyBorder="1"/>
    <xf numFmtId="0" fontId="45" fillId="24" borderId="50" xfId="82" applyFont="1" applyFill="1" applyBorder="1"/>
    <xf numFmtId="0" fontId="45" fillId="24" borderId="0" xfId="82" applyFont="1" applyFill="1"/>
    <xf numFmtId="0" fontId="45" fillId="24" borderId="18" xfId="82" applyFont="1" applyFill="1" applyBorder="1"/>
    <xf numFmtId="0" fontId="45" fillId="24" borderId="10" xfId="82" applyFont="1" applyFill="1" applyBorder="1"/>
    <xf numFmtId="0" fontId="45" fillId="24" borderId="21" xfId="82" applyFont="1" applyFill="1" applyBorder="1"/>
    <xf numFmtId="0" fontId="63" fillId="26" borderId="0" xfId="82" applyFont="1" applyFill="1"/>
    <xf numFmtId="0" fontId="48" fillId="24" borderId="13" xfId="82" applyFont="1" applyFill="1" applyBorder="1"/>
    <xf numFmtId="0" fontId="48" fillId="24" borderId="14" xfId="82" applyFont="1" applyFill="1" applyBorder="1"/>
    <xf numFmtId="0" fontId="48" fillId="24" borderId="22"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8"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173" fontId="46" fillId="25" borderId="11" xfId="82" applyNumberFormat="1" applyFont="1" applyFill="1" applyBorder="1"/>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0" borderId="0" xfId="82" applyFont="1" applyAlignment="1" applyProtection="1">
      <alignment horizontal="left" vertical="center"/>
      <protection locked="0"/>
    </xf>
    <xf numFmtId="174"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24" borderId="17" xfId="82" applyFont="1" applyFill="1" applyBorder="1"/>
    <xf numFmtId="0" fontId="63" fillId="0" borderId="0" xfId="82" applyFont="1"/>
    <xf numFmtId="0" fontId="46" fillId="24" borderId="45" xfId="82" applyFont="1" applyFill="1" applyBorder="1"/>
    <xf numFmtId="0" fontId="46" fillId="24" borderId="50"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1" fontId="46" fillId="39" borderId="11" xfId="56" applyNumberFormat="1" applyFont="1" applyFill="1" applyBorder="1" applyAlignment="1" applyProtection="1">
      <alignment horizontal="right"/>
      <protection locked="0"/>
    </xf>
    <xf numFmtId="3" fontId="46" fillId="39" borderId="11" xfId="56" applyNumberFormat="1" applyFont="1" applyFill="1" applyBorder="1" applyAlignment="1" applyProtection="1">
      <alignment horizontal="right"/>
      <protection locked="0"/>
    </xf>
    <xf numFmtId="3" fontId="46" fillId="39" borderId="11" xfId="82" applyNumberFormat="1" applyFont="1" applyFill="1" applyBorder="1" applyAlignment="1">
      <alignment horizontal="right" wrapText="1"/>
    </xf>
    <xf numFmtId="165" fontId="46" fillId="39" borderId="11" xfId="82" applyNumberFormat="1" applyFont="1" applyFill="1" applyBorder="1" applyAlignment="1">
      <alignment horizontal="right" wrapText="1"/>
    </xf>
    <xf numFmtId="164" fontId="46" fillId="39" borderId="11" xfId="82" applyNumberFormat="1" applyFont="1" applyFill="1" applyBorder="1" applyAlignment="1">
      <alignment horizontal="right" wrapText="1"/>
    </xf>
    <xf numFmtId="9" fontId="46" fillId="39" borderId="11" xfId="92" applyFont="1" applyFill="1" applyBorder="1" applyAlignment="1">
      <alignment horizontal="right" wrapText="1"/>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39" fillId="0" borderId="45" xfId="0" applyFont="1" applyBorder="1"/>
    <xf numFmtId="0" fontId="39" fillId="24" borderId="20" xfId="82" applyFont="1" applyFill="1" applyBorder="1"/>
    <xf numFmtId="0" fontId="39" fillId="0" borderId="45" xfId="82" applyFont="1" applyBorder="1"/>
    <xf numFmtId="0" fontId="46" fillId="39" borderId="17" xfId="82" applyFont="1" applyFill="1" applyBorder="1" applyAlignment="1" applyProtection="1">
      <alignment horizontal="right" wrapText="1"/>
      <protection locked="0"/>
    </xf>
    <xf numFmtId="0" fontId="39" fillId="0" borderId="50" xfId="82" applyFont="1" applyBorder="1"/>
    <xf numFmtId="2" fontId="46" fillId="39" borderId="11" xfId="82" applyNumberFormat="1" applyFont="1" applyFill="1" applyBorder="1" applyAlignment="1">
      <alignment horizontal="right" wrapText="1"/>
    </xf>
    <xf numFmtId="166" fontId="46" fillId="39" borderId="11" xfId="56" applyNumberFormat="1" applyFont="1" applyFill="1" applyBorder="1" applyAlignment="1" applyProtection="1">
      <alignment horizontal="left"/>
      <protection locked="0"/>
    </xf>
    <xf numFmtId="0" fontId="48" fillId="24" borderId="45" xfId="82" applyFont="1" applyFill="1" applyBorder="1"/>
    <xf numFmtId="0" fontId="48" fillId="0" borderId="19" xfId="82" applyFont="1" applyBorder="1" applyProtection="1">
      <protection locked="0"/>
    </xf>
    <xf numFmtId="175" fontId="2" fillId="0" borderId="0" xfId="82" applyNumberFormat="1"/>
    <xf numFmtId="0" fontId="46" fillId="0" borderId="11" xfId="82" applyFont="1" applyBorder="1"/>
    <xf numFmtId="164" fontId="46" fillId="0" borderId="11" xfId="82" applyNumberFormat="1" applyFont="1" applyBorder="1"/>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9"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1"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6"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0" fontId="0" fillId="41"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66" fillId="24" borderId="20"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4" fillId="24" borderId="17" xfId="82" applyFont="1" applyFill="1" applyBorder="1"/>
    <xf numFmtId="0" fontId="27" fillId="0" borderId="17" xfId="82" applyFont="1" applyBorder="1"/>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12" xfId="72" applyBorder="1" applyAlignment="1" applyProtection="1"/>
    <xf numFmtId="0" fontId="44" fillId="0" borderId="12" xfId="0" applyFont="1" applyBorder="1"/>
    <xf numFmtId="0" fontId="44" fillId="25" borderId="12" xfId="0" applyFont="1" applyFill="1" applyBorder="1"/>
    <xf numFmtId="3" fontId="0" fillId="29" borderId="17" xfId="0" applyNumberFormat="1" applyFill="1" applyBorder="1" applyProtection="1">
      <protection locked="0"/>
    </xf>
    <xf numFmtId="10" fontId="0" fillId="39" borderId="15" xfId="92" applyNumberFormat="1" applyFont="1" applyFill="1" applyBorder="1" applyProtection="1">
      <protection locked="0"/>
    </xf>
    <xf numFmtId="10" fontId="0" fillId="25" borderId="17" xfId="92" applyNumberFormat="1" applyFont="1" applyFill="1" applyBorder="1" applyProtection="1">
      <protection locked="0"/>
    </xf>
    <xf numFmtId="0" fontId="0" fillId="25" borderId="0" xfId="0" applyFill="1"/>
    <xf numFmtId="0" fontId="0" fillId="0" borderId="16" xfId="0" applyBorder="1" applyAlignment="1">
      <alignment wrapText="1"/>
    </xf>
    <xf numFmtId="0" fontId="44" fillId="0" borderId="10" xfId="0" applyFont="1" applyBorder="1" applyAlignment="1">
      <alignment wrapText="1"/>
    </xf>
    <xf numFmtId="9" fontId="0" fillId="0" borderId="58" xfId="0" applyNumberFormat="1" applyBorder="1" applyAlignment="1" applyProtection="1">
      <alignment horizontal="right"/>
      <protection locked="0"/>
    </xf>
    <xf numFmtId="3" fontId="0" fillId="0" borderId="58" xfId="0" applyNumberFormat="1" applyBorder="1" applyAlignment="1">
      <alignment horizontal="right"/>
    </xf>
    <xf numFmtId="0" fontId="44" fillId="0" borderId="12" xfId="0" applyFont="1" applyBorder="1" applyAlignment="1">
      <alignment wrapText="1"/>
    </xf>
    <xf numFmtId="9" fontId="0" fillId="0" borderId="0" xfId="0" applyNumberFormat="1" applyAlignment="1" applyProtection="1">
      <alignment horizontal="right"/>
      <protection locked="0"/>
    </xf>
    <xf numFmtId="9" fontId="0" fillId="0" borderId="59" xfId="0" applyNumberFormat="1" applyBorder="1" applyAlignment="1" applyProtection="1">
      <alignment horizontal="right"/>
      <protection locked="0"/>
    </xf>
    <xf numFmtId="1" fontId="0" fillId="0" borderId="60" xfId="0" applyNumberFormat="1" applyBorder="1"/>
    <xf numFmtId="3" fontId="46" fillId="25" borderId="11" xfId="0" applyNumberFormat="1" applyFont="1" applyFill="1" applyBorder="1" applyProtection="1">
      <protection locked="0"/>
    </xf>
    <xf numFmtId="10" fontId="46" fillId="39" borderId="19" xfId="92" applyNumberFormat="1" applyFont="1" applyFill="1" applyBorder="1" applyProtection="1">
      <protection locked="0"/>
    </xf>
    <xf numFmtId="0" fontId="0" fillId="0" borderId="61" xfId="0" applyBorder="1"/>
    <xf numFmtId="9" fontId="0" fillId="39" borderId="61" xfId="0" applyNumberFormat="1" applyFill="1" applyBorder="1" applyAlignment="1" applyProtection="1">
      <alignment horizontal="right"/>
      <protection locked="0"/>
    </xf>
    <xf numFmtId="9" fontId="0" fillId="39" borderId="47" xfId="0" applyNumberFormat="1" applyFill="1" applyBorder="1" applyAlignment="1" applyProtection="1">
      <alignment horizontal="right"/>
      <protection locked="0"/>
    </xf>
    <xf numFmtId="3" fontId="0" fillId="0" borderId="62" xfId="0" applyNumberFormat="1" applyBorder="1" applyAlignment="1" applyProtection="1">
      <alignment horizontal="right"/>
      <protection locked="0"/>
    </xf>
    <xf numFmtId="3" fontId="0" fillId="0" borderId="11" xfId="0" applyNumberFormat="1" applyBorder="1" applyAlignment="1" applyProtection="1">
      <alignment horizontal="right"/>
      <protection locked="0"/>
    </xf>
    <xf numFmtId="3" fontId="0" fillId="25" borderId="0" xfId="0" applyNumberFormat="1" applyFill="1" applyAlignment="1">
      <alignment horizontal="right"/>
    </xf>
    <xf numFmtId="0" fontId="44" fillId="0" borderId="20" xfId="0" applyFont="1" applyBorder="1" applyAlignment="1">
      <alignment wrapText="1"/>
    </xf>
    <xf numFmtId="9" fontId="44" fillId="0" borderId="20" xfId="0" applyNumberFormat="1" applyFont="1" applyBorder="1" applyAlignment="1">
      <alignment horizontal="right"/>
    </xf>
    <xf numFmtId="9" fontId="44" fillId="0" borderId="17" xfId="0" applyNumberFormat="1" applyFont="1" applyBorder="1" applyAlignment="1">
      <alignment horizontal="right"/>
    </xf>
    <xf numFmtId="1" fontId="46" fillId="39" borderId="11" xfId="82" applyNumberFormat="1" applyFont="1" applyFill="1" applyBorder="1" applyProtection="1">
      <protection locked="0"/>
    </xf>
    <xf numFmtId="0" fontId="63" fillId="25" borderId="0" xfId="82" applyFont="1" applyFill="1"/>
    <xf numFmtId="0" fontId="46" fillId="25" borderId="0" xfId="82" applyFont="1" applyFill="1"/>
    <xf numFmtId="166" fontId="6" fillId="25" borderId="0" xfId="56" applyNumberFormat="1" applyFont="1" applyFill="1" applyBorder="1"/>
    <xf numFmtId="0" fontId="6" fillId="25" borderId="0" xfId="82" applyFont="1" applyFill="1" applyAlignment="1">
      <alignment horizontal="center"/>
    </xf>
    <xf numFmtId="0" fontId="48" fillId="24" borderId="15" xfId="82" applyFont="1" applyFill="1" applyBorder="1" applyAlignment="1">
      <alignment horizontal="center"/>
    </xf>
    <xf numFmtId="174" fontId="46" fillId="39" borderId="19" xfId="82" applyNumberFormat="1" applyFont="1" applyFill="1" applyBorder="1" applyAlignment="1" applyProtection="1">
      <alignment horizontal="right" wrapText="1"/>
      <protection locked="0"/>
    </xf>
    <xf numFmtId="0" fontId="46" fillId="39" borderId="21" xfId="82" applyFont="1" applyFill="1" applyBorder="1" applyAlignment="1" applyProtection="1">
      <alignment horizontal="right" wrapText="1"/>
      <protection locked="0"/>
    </xf>
    <xf numFmtId="9" fontId="46" fillId="39" borderId="19" xfId="92" applyFont="1" applyFill="1" applyBorder="1" applyAlignment="1" applyProtection="1">
      <alignment horizontal="right" wrapText="1"/>
      <protection locked="0"/>
    </xf>
    <xf numFmtId="174" fontId="46" fillId="39" borderId="48" xfId="82" applyNumberFormat="1" applyFont="1" applyFill="1" applyBorder="1" applyAlignment="1" applyProtection="1">
      <alignment horizontal="right" wrapText="1"/>
      <protection locked="0"/>
    </xf>
    <xf numFmtId="0" fontId="46" fillId="39" borderId="48" xfId="82" applyFont="1" applyFill="1" applyBorder="1" applyAlignment="1" applyProtection="1">
      <alignment horizontal="right" wrapText="1"/>
      <protection locked="0"/>
    </xf>
    <xf numFmtId="0" fontId="46" fillId="39" borderId="64" xfId="82" applyFont="1" applyFill="1" applyBorder="1" applyAlignment="1" applyProtection="1">
      <alignment horizontal="right" wrapText="1"/>
      <protection locked="0"/>
    </xf>
    <xf numFmtId="9" fontId="46" fillId="39" borderId="48" xfId="92" applyFont="1" applyFill="1" applyBorder="1" applyAlignment="1" applyProtection="1">
      <alignment horizontal="right" wrapText="1"/>
      <protection locked="0"/>
    </xf>
    <xf numFmtId="174" fontId="46" fillId="39" borderId="28" xfId="82" applyNumberFormat="1" applyFont="1" applyFill="1" applyBorder="1" applyAlignment="1" applyProtection="1">
      <alignment horizontal="right" wrapText="1"/>
      <protection locked="0"/>
    </xf>
    <xf numFmtId="0" fontId="46" fillId="39" borderId="28" xfId="82" applyFont="1" applyFill="1" applyBorder="1" applyAlignment="1" applyProtection="1">
      <alignment horizontal="right" wrapText="1"/>
      <protection locked="0"/>
    </xf>
    <xf numFmtId="0" fontId="46" fillId="39" borderId="66" xfId="82" applyFont="1" applyFill="1" applyBorder="1" applyAlignment="1" applyProtection="1">
      <alignment horizontal="right" wrapText="1"/>
      <protection locked="0"/>
    </xf>
    <xf numFmtId="9" fontId="46" fillId="39" borderId="28" xfId="92" applyFont="1" applyFill="1" applyBorder="1" applyAlignment="1" applyProtection="1">
      <alignment horizontal="right" wrapText="1"/>
      <protection locked="0"/>
    </xf>
    <xf numFmtId="174" fontId="46" fillId="39" borderId="15" xfId="82" applyNumberFormat="1" applyFont="1" applyFill="1" applyBorder="1" applyAlignment="1" applyProtection="1">
      <alignment horizontal="right" wrapText="1"/>
      <protection locked="0"/>
    </xf>
    <xf numFmtId="0" fontId="46" fillId="39" borderId="61" xfId="82" applyFont="1" applyFill="1" applyBorder="1" applyAlignment="1" applyProtection="1">
      <alignment horizontal="right" wrapText="1"/>
      <protection locked="0"/>
    </xf>
    <xf numFmtId="9" fontId="46" fillId="39" borderId="15" xfId="92" applyFont="1" applyFill="1" applyBorder="1" applyAlignment="1" applyProtection="1">
      <alignment horizontal="right" wrapText="1"/>
      <protection locked="0"/>
    </xf>
    <xf numFmtId="0" fontId="27" fillId="28" borderId="52" xfId="82" applyFont="1" applyFill="1" applyBorder="1" applyAlignment="1">
      <alignment vertical="top"/>
    </xf>
    <xf numFmtId="0" fontId="46" fillId="28" borderId="53" xfId="82" applyFont="1" applyFill="1" applyBorder="1" applyAlignment="1" applyProtection="1">
      <alignment horizontal="left"/>
      <protection locked="0"/>
    </xf>
    <xf numFmtId="0" fontId="46" fillId="28" borderId="53" xfId="82" applyFont="1" applyFill="1" applyBorder="1" applyAlignment="1">
      <alignment horizontal="left" wrapText="1"/>
    </xf>
    <xf numFmtId="174" fontId="46" fillId="28" borderId="53" xfId="82" applyNumberFormat="1" applyFont="1" applyFill="1" applyBorder="1" applyAlignment="1" applyProtection="1">
      <alignment horizontal="right" wrapText="1"/>
      <protection locked="0"/>
    </xf>
    <xf numFmtId="0" fontId="46" fillId="28" borderId="53" xfId="82" applyFont="1" applyFill="1" applyBorder="1" applyAlignment="1" applyProtection="1">
      <alignment horizontal="right" wrapText="1"/>
      <protection locked="0"/>
    </xf>
    <xf numFmtId="164" fontId="46" fillId="28" borderId="53" xfId="82" applyNumberFormat="1" applyFont="1" applyFill="1" applyBorder="1" applyAlignment="1">
      <alignment horizontal="right" wrapText="1"/>
    </xf>
    <xf numFmtId="9" fontId="46" fillId="28" borderId="53" xfId="92" applyFont="1" applyFill="1" applyBorder="1" applyAlignment="1">
      <alignment horizontal="right" wrapText="1"/>
    </xf>
    <xf numFmtId="9" fontId="48" fillId="28" borderId="54" xfId="92" applyFont="1" applyFill="1" applyBorder="1" applyAlignment="1" applyProtection="1">
      <alignment horizontal="right" wrapText="1"/>
      <protection locked="0"/>
    </xf>
    <xf numFmtId="166" fontId="46" fillId="39" borderId="64" xfId="56" applyNumberFormat="1" applyFont="1" applyFill="1" applyBorder="1" applyAlignment="1" applyProtection="1">
      <alignment horizontal="right" wrapText="1"/>
      <protection locked="0"/>
    </xf>
    <xf numFmtId="166" fontId="46" fillId="39" borderId="66" xfId="56" applyNumberFormat="1" applyFont="1" applyFill="1" applyBorder="1" applyAlignment="1" applyProtection="1">
      <alignment horizontal="right" wrapText="1"/>
      <protection locked="0"/>
    </xf>
    <xf numFmtId="166" fontId="46" fillId="28" borderId="53" xfId="56" applyNumberFormat="1" applyFont="1" applyFill="1" applyBorder="1" applyAlignment="1" applyProtection="1">
      <alignment horizontal="right" wrapText="1"/>
      <protection locked="0"/>
    </xf>
    <xf numFmtId="166" fontId="46" fillId="39" borderId="61" xfId="56" applyNumberFormat="1" applyFont="1" applyFill="1" applyBorder="1" applyAlignment="1" applyProtection="1">
      <alignment horizontal="right" wrapText="1"/>
      <protection locked="0"/>
    </xf>
    <xf numFmtId="0" fontId="27" fillId="25" borderId="57" xfId="82" applyFont="1" applyFill="1" applyBorder="1" applyAlignment="1">
      <alignment vertical="top"/>
    </xf>
    <xf numFmtId="0" fontId="48" fillId="28" borderId="11" xfId="82" applyFont="1" applyFill="1" applyBorder="1"/>
    <xf numFmtId="165" fontId="46" fillId="0" borderId="11" xfId="82" applyNumberFormat="1" applyFont="1" applyBorder="1"/>
    <xf numFmtId="3" fontId="46" fillId="39" borderId="28" xfId="82" applyNumberFormat="1" applyFont="1" applyFill="1" applyBorder="1" applyAlignment="1" applyProtection="1">
      <alignment horizontal="right" wrapText="1"/>
      <protection locked="0"/>
    </xf>
    <xf numFmtId="9" fontId="46" fillId="0" borderId="11" xfId="82" applyNumberFormat="1" applyFont="1" applyBorder="1"/>
    <xf numFmtId="0" fontId="48" fillId="28" borderId="11" xfId="82" applyFont="1" applyFill="1" applyBorder="1" applyAlignment="1">
      <alignment wrapText="1"/>
    </xf>
    <xf numFmtId="164" fontId="48" fillId="0" borderId="11" xfId="82" applyNumberFormat="1" applyFont="1" applyBorder="1"/>
    <xf numFmtId="0" fontId="48" fillId="24" borderId="15" xfId="82" applyFont="1" applyFill="1" applyBorder="1"/>
    <xf numFmtId="0" fontId="46" fillId="25" borderId="45" xfId="82" applyFont="1" applyFill="1" applyBorder="1" applyProtection="1">
      <protection locked="0"/>
    </xf>
    <xf numFmtId="166" fontId="46" fillId="25" borderId="0" xfId="56" applyNumberFormat="1" applyFont="1" applyFill="1" applyBorder="1" applyAlignment="1" applyProtection="1">
      <alignment horizontal="left"/>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2" fontId="46" fillId="25" borderId="0" xfId="82" applyNumberFormat="1" applyFont="1" applyFill="1" applyProtection="1">
      <protection locked="0"/>
    </xf>
    <xf numFmtId="165" fontId="46" fillId="25" borderId="0" xfId="82" applyNumberFormat="1" applyFont="1" applyFill="1" applyProtection="1">
      <protection locked="0"/>
    </xf>
    <xf numFmtId="165" fontId="48" fillId="25" borderId="0" xfId="82" applyNumberFormat="1" applyFont="1" applyFill="1" applyProtection="1">
      <protection locked="0"/>
    </xf>
    <xf numFmtId="0" fontId="0" fillId="39" borderId="20" xfId="0" applyFill="1" applyBorder="1"/>
    <xf numFmtId="0" fontId="74" fillId="0" borderId="0" xfId="72" applyFont="1" applyBorder="1" applyAlignment="1" applyProtection="1">
      <protection locked="0"/>
    </xf>
    <xf numFmtId="166" fontId="46" fillId="39" borderId="11" xfId="56" applyNumberFormat="1" applyFont="1" applyFill="1" applyBorder="1" applyAlignment="1" applyProtection="1">
      <alignment horizontal="right"/>
      <protection locked="0"/>
    </xf>
    <xf numFmtId="174" fontId="46" fillId="39" borderId="11" xfId="82" applyNumberFormat="1" applyFont="1" applyFill="1" applyBorder="1" applyAlignment="1" applyProtection="1">
      <alignment horizontal="left"/>
      <protection locked="0"/>
    </xf>
    <xf numFmtId="0" fontId="0" fillId="25" borderId="0" xfId="0" applyFill="1" applyAlignment="1">
      <alignment horizontal="center" wrapText="1"/>
    </xf>
    <xf numFmtId="0" fontId="28" fillId="24" borderId="10" xfId="72" applyFill="1" applyBorder="1" applyAlignment="1" applyProtection="1"/>
    <xf numFmtId="0" fontId="39" fillId="24" borderId="68" xfId="0" applyFont="1" applyFill="1" applyBorder="1"/>
    <xf numFmtId="0" fontId="0" fillId="39" borderId="11" xfId="0" applyFill="1" applyBorder="1"/>
    <xf numFmtId="0" fontId="44" fillId="24" borderId="19" xfId="82" applyFont="1" applyFill="1" applyBorder="1" applyAlignment="1">
      <alignment wrapText="1"/>
    </xf>
    <xf numFmtId="0" fontId="44" fillId="25" borderId="10" xfId="82" applyFont="1" applyFill="1" applyBorder="1" applyAlignment="1">
      <alignment wrapText="1"/>
    </xf>
    <xf numFmtId="0" fontId="44" fillId="24" borderId="47" xfId="0" applyFont="1" applyFill="1" applyBorder="1" applyAlignment="1">
      <alignment horizontal="center" wrapText="1"/>
    </xf>
    <xf numFmtId="0" fontId="0" fillId="0" borderId="13" xfId="0" applyBorder="1" applyAlignment="1">
      <alignment horizontal="left" vertical="center"/>
    </xf>
    <xf numFmtId="0" fontId="0" fillId="0" borderId="61" xfId="0" applyBorder="1" applyAlignment="1">
      <alignment horizontal="left" vertical="center"/>
    </xf>
    <xf numFmtId="3" fontId="27" fillId="0" borderId="15" xfId="0" applyNumberFormat="1" applyFont="1" applyBorder="1"/>
    <xf numFmtId="0" fontId="48" fillId="24" borderId="20" xfId="0" applyFont="1" applyFill="1" applyBorder="1" applyAlignment="1">
      <alignment horizontal="left" vertical="center" wrapText="1"/>
    </xf>
    <xf numFmtId="3" fontId="44" fillId="24" borderId="20" xfId="0" applyNumberFormat="1" applyFont="1" applyFill="1" applyBorder="1"/>
    <xf numFmtId="3" fontId="44" fillId="24" borderId="17" xfId="0" applyNumberFormat="1" applyFont="1" applyFill="1" applyBorder="1"/>
    <xf numFmtId="0" fontId="0" fillId="25" borderId="0" xfId="0" applyFill="1" applyAlignment="1">
      <alignment vertical="top"/>
    </xf>
    <xf numFmtId="0" fontId="39" fillId="25" borderId="0" xfId="0" applyFont="1" applyFill="1"/>
    <xf numFmtId="3" fontId="69" fillId="0" borderId="19" xfId="0" applyNumberFormat="1" applyFont="1" applyBorder="1"/>
    <xf numFmtId="0" fontId="0" fillId="25" borderId="18" xfId="0" applyFill="1" applyBorder="1"/>
    <xf numFmtId="3" fontId="44" fillId="0" borderId="20" xfId="0" applyNumberFormat="1" applyFont="1" applyBorder="1"/>
    <xf numFmtId="165" fontId="46" fillId="39" borderId="17" xfId="82" applyNumberFormat="1" applyFont="1" applyFill="1" applyBorder="1" applyProtection="1">
      <protection locked="0"/>
    </xf>
    <xf numFmtId="0" fontId="46" fillId="39" borderId="13" xfId="82" applyFont="1" applyFill="1" applyBorder="1" applyAlignment="1" applyProtection="1">
      <alignment horizontal="left"/>
      <protection locked="0"/>
    </xf>
    <xf numFmtId="0" fontId="6" fillId="39" borderId="45" xfId="82" applyFont="1" applyFill="1" applyBorder="1" applyAlignment="1" applyProtection="1">
      <alignment horizontal="left"/>
      <protection locked="0"/>
    </xf>
    <xf numFmtId="0" fontId="6" fillId="39" borderId="45" xfId="82" applyFont="1" applyFill="1" applyBorder="1" applyAlignment="1" applyProtection="1">
      <alignment horizontal="right"/>
      <protection locked="0"/>
    </xf>
    <xf numFmtId="166" fontId="6" fillId="39" borderId="45" xfId="56" applyNumberFormat="1" applyFont="1" applyFill="1" applyBorder="1" applyProtection="1">
      <protection locked="0"/>
    </xf>
    <xf numFmtId="0" fontId="6" fillId="39" borderId="45" xfId="82" applyFont="1" applyFill="1" applyBorder="1" applyProtection="1">
      <protection locked="0"/>
    </xf>
    <xf numFmtId="166" fontId="6" fillId="39" borderId="61" xfId="56" applyNumberFormat="1" applyFont="1" applyFill="1" applyBorder="1" applyProtection="1">
      <protection locked="0"/>
    </xf>
    <xf numFmtId="0" fontId="74" fillId="0" borderId="14" xfId="72" applyFont="1" applyBorder="1" applyAlignment="1" applyProtection="1">
      <alignment horizontal="left"/>
    </xf>
    <xf numFmtId="1" fontId="46" fillId="25" borderId="11" xfId="82" applyNumberFormat="1" applyFont="1" applyFill="1" applyBorder="1" applyProtection="1">
      <protection locked="0"/>
    </xf>
    <xf numFmtId="0" fontId="28" fillId="0" borderId="22" xfId="72" applyBorder="1" applyAlignment="1" applyProtection="1"/>
    <xf numFmtId="0" fontId="65" fillId="0" borderId="0" xfId="0" applyFont="1" applyAlignment="1">
      <alignment vertical="center"/>
    </xf>
    <xf numFmtId="3" fontId="46" fillId="25" borderId="11" xfId="92" applyNumberFormat="1" applyFont="1" applyFill="1" applyBorder="1"/>
    <xf numFmtId="3" fontId="0" fillId="25" borderId="11" xfId="0" applyNumberFormat="1" applyFill="1" applyBorder="1"/>
    <xf numFmtId="3" fontId="44" fillId="25" borderId="11" xfId="0" applyNumberFormat="1" applyFont="1" applyFill="1" applyBorder="1"/>
    <xf numFmtId="3" fontId="0" fillId="0" borderId="14" xfId="0" applyNumberFormat="1" applyBorder="1" applyAlignment="1">
      <alignment horizontal="right"/>
    </xf>
    <xf numFmtId="0" fontId="0" fillId="0" borderId="20" xfId="0" applyBorder="1" applyAlignment="1">
      <alignment wrapText="1"/>
    </xf>
    <xf numFmtId="0" fontId="0" fillId="25" borderId="12" xfId="0" applyFill="1" applyBorder="1"/>
    <xf numFmtId="0" fontId="73" fillId="25" borderId="12" xfId="0" applyFont="1" applyFill="1" applyBorder="1"/>
    <xf numFmtId="0" fontId="48" fillId="0" borderId="13" xfId="82" applyFont="1" applyBorder="1" applyProtection="1">
      <protection locked="0"/>
    </xf>
    <xf numFmtId="0" fontId="41" fillId="0" borderId="45" xfId="0" applyFont="1" applyBorder="1"/>
    <xf numFmtId="0" fontId="45" fillId="0" borderId="45" xfId="82" applyFont="1" applyBorder="1"/>
    <xf numFmtId="0" fontId="45" fillId="0" borderId="61" xfId="82" applyFont="1" applyBorder="1"/>
    <xf numFmtId="0" fontId="48" fillId="0" borderId="0" xfId="82" applyFont="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173"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0" fontId="46" fillId="0" borderId="22" xfId="82" applyFont="1" applyBorder="1"/>
    <xf numFmtId="0" fontId="46" fillId="0" borderId="10" xfId="82" applyFont="1" applyBorder="1"/>
    <xf numFmtId="0" fontId="46" fillId="25" borderId="10" xfId="82" applyFont="1" applyFill="1" applyBorder="1"/>
    <xf numFmtId="0" fontId="46" fillId="25" borderId="14" xfId="82" applyFont="1" applyFill="1" applyBorder="1"/>
    <xf numFmtId="0" fontId="48" fillId="24" borderId="22" xfId="82" applyFont="1" applyFill="1" applyBorder="1" applyAlignment="1">
      <alignment horizontal="center"/>
    </xf>
    <xf numFmtId="0" fontId="48" fillId="24" borderId="22" xfId="82" applyFont="1" applyFill="1" applyBorder="1" applyAlignment="1">
      <alignment horizontal="left"/>
    </xf>
    <xf numFmtId="0" fontId="6" fillId="24" borderId="10" xfId="82" applyFont="1" applyFill="1" applyBorder="1" applyAlignment="1">
      <alignment horizontal="right"/>
    </xf>
    <xf numFmtId="166" fontId="6" fillId="24" borderId="10" xfId="56" applyNumberFormat="1" applyFont="1" applyFill="1" applyBorder="1"/>
    <xf numFmtId="0" fontId="6" fillId="24" borderId="10" xfId="82" applyFont="1" applyFill="1" applyBorder="1"/>
    <xf numFmtId="0" fontId="48" fillId="24" borderId="19" xfId="82" applyFont="1" applyFill="1" applyBorder="1" applyAlignment="1">
      <alignment horizontal="center" wrapText="1"/>
    </xf>
    <xf numFmtId="165" fontId="48" fillId="25" borderId="10" xfId="82" applyNumberFormat="1" applyFont="1" applyFill="1" applyBorder="1" applyProtection="1">
      <protection locked="0"/>
    </xf>
    <xf numFmtId="0" fontId="46" fillId="0" borderId="13" xfId="82" applyFont="1" applyBorder="1" applyAlignment="1">
      <alignment horizontal="left" wrapText="1"/>
    </xf>
    <xf numFmtId="2" fontId="46" fillId="0" borderId="22" xfId="82" applyNumberFormat="1" applyFont="1" applyBorder="1" applyAlignment="1">
      <alignment horizontal="left" wrapText="1"/>
    </xf>
    <xf numFmtId="0" fontId="48" fillId="0" borderId="22" xfId="82" applyFont="1" applyBorder="1" applyProtection="1">
      <protection locked="0"/>
    </xf>
    <xf numFmtId="0" fontId="0" fillId="0" borderId="69" xfId="0" applyBorder="1"/>
    <xf numFmtId="3" fontId="44" fillId="0" borderId="69" xfId="0" applyNumberFormat="1" applyFont="1" applyBorder="1"/>
    <xf numFmtId="0" fontId="48" fillId="0" borderId="20" xfId="82" applyFont="1" applyBorder="1" applyProtection="1">
      <protection locked="0"/>
    </xf>
    <xf numFmtId="0" fontId="69" fillId="25" borderId="17" xfId="0" applyFont="1" applyFill="1" applyBorder="1"/>
    <xf numFmtId="0" fontId="49" fillId="25" borderId="12" xfId="0" applyFont="1" applyFill="1" applyBorder="1"/>
    <xf numFmtId="3" fontId="46" fillId="25" borderId="11" xfId="0" applyNumberFormat="1" applyFont="1" applyFill="1" applyBorder="1" applyAlignment="1">
      <alignment horizontal="right" wrapText="1"/>
    </xf>
    <xf numFmtId="0" fontId="76" fillId="0" borderId="14" xfId="0" applyFont="1" applyBorder="1" applyAlignment="1">
      <alignment vertical="center"/>
    </xf>
    <xf numFmtId="0" fontId="77" fillId="0" borderId="14" xfId="72" applyFont="1" applyBorder="1" applyAlignment="1" applyProtection="1"/>
    <xf numFmtId="0" fontId="46" fillId="39" borderId="11" xfId="82" applyFont="1" applyFill="1" applyBorder="1" applyAlignment="1" applyProtection="1">
      <alignment horizontal="left" vertical="center" wrapText="1"/>
      <protection locked="0"/>
    </xf>
    <xf numFmtId="0" fontId="75" fillId="0" borderId="0" xfId="0" applyFont="1" applyAlignment="1">
      <alignment horizontal="center" wrapText="1"/>
    </xf>
    <xf numFmtId="172" fontId="0" fillId="39" borderId="11" xfId="92" applyNumberFormat="1" applyFont="1" applyFill="1" applyBorder="1" applyProtection="1">
      <protection locked="0"/>
    </xf>
    <xf numFmtId="164" fontId="46" fillId="39" borderId="11" xfId="82" applyNumberFormat="1"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0" fontId="48" fillId="39" borderId="11" xfId="82" applyFont="1" applyFill="1" applyBorder="1" applyAlignment="1" applyProtection="1">
      <alignment wrapText="1"/>
      <protection locked="0"/>
    </xf>
    <xf numFmtId="0" fontId="0" fillId="39" borderId="20" xfId="0" applyFill="1" applyBorder="1" applyProtection="1">
      <protection locked="0"/>
    </xf>
    <xf numFmtId="1" fontId="46" fillId="39" borderId="11" xfId="82" applyNumberFormat="1" applyFont="1" applyFill="1" applyBorder="1" applyAlignment="1" applyProtection="1">
      <alignment horizontal="right" wrapText="1"/>
      <protection locked="0"/>
    </xf>
    <xf numFmtId="0" fontId="0" fillId="39" borderId="11" xfId="82" applyFont="1" applyFill="1" applyBorder="1" applyAlignment="1" applyProtection="1">
      <alignment vertical="top"/>
      <protection locked="0"/>
    </xf>
    <xf numFmtId="9" fontId="46" fillId="39" borderId="11" xfId="92" applyFont="1" applyFill="1" applyBorder="1" applyProtection="1">
      <protection locked="0"/>
    </xf>
    <xf numFmtId="165" fontId="48" fillId="25" borderId="69" xfId="82" applyNumberFormat="1" applyFont="1" applyFill="1" applyBorder="1" applyProtection="1">
      <protection locked="0"/>
    </xf>
    <xf numFmtId="0" fontId="46" fillId="0" borderId="17" xfId="82" applyFont="1" applyBorder="1"/>
    <xf numFmtId="0" fontId="27" fillId="39" borderId="57" xfId="82" applyFont="1" applyFill="1" applyBorder="1" applyAlignment="1" applyProtection="1">
      <alignment vertical="top"/>
      <protection locked="0"/>
    </xf>
    <xf numFmtId="0" fontId="46" fillId="39" borderId="48" xfId="82" applyFont="1" applyFill="1" applyBorder="1" applyAlignment="1" applyProtection="1">
      <alignment horizontal="left" wrapText="1"/>
      <protection locked="0"/>
    </xf>
    <xf numFmtId="164" fontId="46" fillId="39" borderId="65" xfId="82" applyNumberFormat="1" applyFont="1" applyFill="1" applyBorder="1" applyAlignment="1" applyProtection="1">
      <alignment horizontal="right" wrapText="1"/>
      <protection locked="0"/>
    </xf>
    <xf numFmtId="9" fontId="46" fillId="39" borderId="65" xfId="92" applyFont="1" applyFill="1" applyBorder="1" applyAlignment="1" applyProtection="1">
      <alignment horizontal="right" wrapText="1"/>
      <protection locked="0"/>
    </xf>
    <xf numFmtId="165" fontId="46" fillId="39" borderId="49" xfId="82" applyNumberFormat="1" applyFont="1" applyFill="1" applyBorder="1" applyAlignment="1" applyProtection="1">
      <alignment horizontal="right" wrapText="1"/>
      <protection locked="0"/>
    </xf>
    <xf numFmtId="0" fontId="27" fillId="39" borderId="27" xfId="82" applyFont="1" applyFill="1" applyBorder="1" applyAlignment="1" applyProtection="1">
      <alignment vertical="top"/>
      <protection locked="0"/>
    </xf>
    <xf numFmtId="0" fontId="46" fillId="39" borderId="28" xfId="82" applyFont="1" applyFill="1" applyBorder="1" applyAlignment="1" applyProtection="1">
      <alignment horizontal="left" wrapText="1"/>
      <protection locked="0"/>
    </xf>
    <xf numFmtId="164" fontId="46" fillId="39" borderId="67" xfId="82" applyNumberFormat="1" applyFont="1" applyFill="1" applyBorder="1" applyAlignment="1" applyProtection="1">
      <alignment horizontal="right" wrapText="1"/>
      <protection locked="0"/>
    </xf>
    <xf numFmtId="9" fontId="46" fillId="39" borderId="67" xfId="92" applyFont="1" applyFill="1" applyBorder="1" applyAlignment="1" applyProtection="1">
      <alignment horizontal="right" wrapText="1"/>
      <protection locked="0"/>
    </xf>
    <xf numFmtId="165" fontId="48" fillId="39" borderId="63" xfId="82" applyNumberFormat="1" applyFont="1" applyFill="1" applyBorder="1" applyAlignment="1" applyProtection="1">
      <alignment horizontal="right" wrapText="1"/>
      <protection locked="0"/>
    </xf>
    <xf numFmtId="165" fontId="46" fillId="39" borderId="63" xfId="82" applyNumberFormat="1" applyFont="1" applyFill="1" applyBorder="1" applyAlignment="1" applyProtection="1">
      <alignment horizontal="right" wrapText="1"/>
      <protection locked="0"/>
    </xf>
    <xf numFmtId="0" fontId="27" fillId="39" borderId="43" xfId="82" applyFont="1" applyFill="1" applyBorder="1" applyAlignment="1" applyProtection="1">
      <alignment vertical="top"/>
      <protection locked="0"/>
    </xf>
    <xf numFmtId="164" fontId="46" fillId="39" borderId="13" xfId="82" applyNumberFormat="1" applyFont="1" applyFill="1" applyBorder="1" applyAlignment="1" applyProtection="1">
      <alignment horizontal="right" wrapText="1"/>
      <protection locked="0"/>
    </xf>
    <xf numFmtId="9" fontId="46" fillId="39" borderId="13" xfId="92" applyFont="1" applyFill="1" applyBorder="1" applyAlignment="1" applyProtection="1">
      <alignment horizontal="right" wrapText="1"/>
      <protection locked="0"/>
    </xf>
    <xf numFmtId="0" fontId="27" fillId="39" borderId="42" xfId="82" applyFont="1" applyFill="1" applyBorder="1" applyAlignment="1" applyProtection="1">
      <alignment vertical="top"/>
      <protection locked="0"/>
    </xf>
    <xf numFmtId="0" fontId="46" fillId="39" borderId="19" xfId="82" applyFont="1" applyFill="1" applyBorder="1" applyAlignment="1" applyProtection="1">
      <alignment horizontal="left" wrapText="1"/>
      <protection locked="0"/>
    </xf>
    <xf numFmtId="0" fontId="27" fillId="39" borderId="19" xfId="82" applyFont="1" applyFill="1" applyBorder="1" applyAlignment="1" applyProtection="1">
      <alignment vertical="top"/>
      <protection locked="0"/>
    </xf>
    <xf numFmtId="164" fontId="46" fillId="39" borderId="22" xfId="82" applyNumberFormat="1" applyFont="1" applyFill="1" applyBorder="1" applyAlignment="1" applyProtection="1">
      <alignment horizontal="right" wrapText="1"/>
      <protection locked="0"/>
    </xf>
    <xf numFmtId="9" fontId="46" fillId="39" borderId="22" xfId="92" applyFont="1" applyFill="1" applyBorder="1" applyAlignment="1" applyProtection="1">
      <alignment horizontal="right" wrapText="1"/>
      <protection locked="0"/>
    </xf>
    <xf numFmtId="0" fontId="27" fillId="39" borderId="11" xfId="82" applyFont="1" applyFill="1" applyBorder="1" applyAlignment="1" applyProtection="1">
      <alignment vertical="top"/>
      <protection locked="0"/>
    </xf>
    <xf numFmtId="164" fontId="46" fillId="39" borderId="12" xfId="82" applyNumberFormat="1" applyFont="1" applyFill="1" applyBorder="1" applyAlignment="1" applyProtection="1">
      <alignment horizontal="right" wrapText="1"/>
      <protection locked="0"/>
    </xf>
    <xf numFmtId="9" fontId="46" fillId="39" borderId="12" xfId="92" applyFont="1" applyFill="1" applyBorder="1" applyAlignment="1" applyProtection="1">
      <alignment horizontal="right" wrapText="1"/>
      <protection locked="0"/>
    </xf>
    <xf numFmtId="0" fontId="0" fillId="28" borderId="11" xfId="0" applyFill="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20" xfId="0" applyBorder="1" applyAlignment="1">
      <alignment horizontal="left" wrapText="1"/>
    </xf>
    <xf numFmtId="0" fontId="0" fillId="0" borderId="17" xfId="0" applyBorder="1" applyAlignment="1">
      <alignment horizontal="left" wrapText="1"/>
    </xf>
    <xf numFmtId="0" fontId="46" fillId="25" borderId="12" xfId="0" applyFont="1" applyFill="1" applyBorder="1" applyAlignment="1">
      <alignment horizontal="left" wrapText="1"/>
    </xf>
    <xf numFmtId="0" fontId="46" fillId="25" borderId="20" xfId="0" applyFont="1" applyFill="1" applyBorder="1" applyAlignment="1">
      <alignment horizontal="left" wrapText="1"/>
    </xf>
    <xf numFmtId="0" fontId="46" fillId="25" borderId="17" xfId="0" applyFont="1" applyFill="1" applyBorder="1" applyAlignment="1">
      <alignment horizontal="left" wrapText="1"/>
    </xf>
    <xf numFmtId="0" fontId="0" fillId="0" borderId="12" xfId="0" applyBorder="1" applyAlignment="1">
      <alignment horizontal="left" wrapText="1"/>
    </xf>
    <xf numFmtId="0" fontId="71" fillId="0" borderId="10" xfId="0" applyFont="1" applyBorder="1" applyAlignment="1">
      <alignment horizontal="left" vertical="center"/>
    </xf>
    <xf numFmtId="0" fontId="48" fillId="28" borderId="12" xfId="82" applyFont="1" applyFill="1" applyBorder="1" applyAlignment="1">
      <alignment horizontal="center"/>
    </xf>
    <xf numFmtId="0" fontId="48" fillId="28" borderId="17" xfId="82" applyFont="1" applyFill="1" applyBorder="1" applyAlignment="1">
      <alignment horizontal="center"/>
    </xf>
    <xf numFmtId="0" fontId="48" fillId="28" borderId="20" xfId="82" applyFont="1" applyFill="1" applyBorder="1" applyAlignment="1">
      <alignment horizontal="center"/>
    </xf>
    <xf numFmtId="0" fontId="28" fillId="24" borderId="0" xfId="72" applyFill="1" applyBorder="1" applyAlignment="1" applyProtection="1">
      <alignment horizontal="left" wrapText="1"/>
    </xf>
    <xf numFmtId="0" fontId="0" fillId="24" borderId="0" xfId="0" applyFill="1"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CCFFFF"/>
      <color rgb="FFFF00FF"/>
      <color rgb="FF18646E"/>
      <color rgb="FFFFFF99"/>
      <color rgb="FFE4E5B5"/>
      <color rgb="FFE4ED69"/>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nejm.org/doi/full/10.1056/NEJMoa2302983" TargetMode="Externa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www.lungcanceraudit.org.uk/reports-publications/nlca-state-of-the-nation-2024/"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lungcanceraudit.org.uk/reports-publications/nlca-state-of-the-nation-2024/" TargetMode="External"/><Relationship Id="rId11" Type="http://schemas.openxmlformats.org/officeDocument/2006/relationships/comments" Target="../comments1.xml"/><Relationship Id="rId5" Type="http://schemas.openxmlformats.org/officeDocument/2006/relationships/hyperlink" Target="https://digital.nhs.uk/data-and-information/publications/statistical/cancer-registration-statistics" TargetMode="External"/><Relationship Id="rId10" Type="http://schemas.openxmlformats.org/officeDocument/2006/relationships/vmlDrawing" Target="../drawings/vmlDrawing2.v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hyperlink" Target="https://www.medicines.org.uk/emc" TargetMode="External"/><Relationship Id="rId1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medicines.org.uk/emc" TargetMode="External"/><Relationship Id="rId12" Type="http://schemas.openxmlformats.org/officeDocument/2006/relationships/hyperlink" Target="https://www.england.nhs.uk/pay-syst/national-tariff/national-tariff-payment-system/" TargetMode="External"/><Relationship Id="rId17" Type="http://schemas.openxmlformats.org/officeDocument/2006/relationships/hyperlink" Target="https://www.medicines.org.uk/emc" TargetMode="External"/><Relationship Id="rId2" Type="http://schemas.openxmlformats.org/officeDocument/2006/relationships/hyperlink" Target="https://www.england.nhs.uk/pay-syst/national-tariff/national-tariff-payment-system/" TargetMode="External"/><Relationship Id="rId16" Type="http://schemas.openxmlformats.org/officeDocument/2006/relationships/hyperlink" Target="https://www.medicines.org.uk/emc" TargetMode="External"/><Relationship Id="rId1" Type="http://schemas.openxmlformats.org/officeDocument/2006/relationships/hyperlink" Target="https://www.medicines.org.uk/emc" TargetMode="External"/><Relationship Id="rId6" Type="http://schemas.openxmlformats.org/officeDocument/2006/relationships/hyperlink" Target="https://pmc.ncbi.nlm.nih.gov/articles/PMC2812484/" TargetMode="External"/><Relationship Id="rId11" Type="http://schemas.openxmlformats.org/officeDocument/2006/relationships/hyperlink" Target="https://www.medicines.org.uk/emc" TargetMode="External"/><Relationship Id="rId5" Type="http://schemas.openxmlformats.org/officeDocument/2006/relationships/hyperlink" Target="https://digital.nhs.uk/data-and-information/publications/statistical/health-survey-for-england/2021/health-survey-for-england-2021-data-tables" TargetMode="External"/><Relationship Id="rId15" Type="http://schemas.openxmlformats.org/officeDocument/2006/relationships/hyperlink" Target="https://www.england.nhs.uk/pay-syst/national-tariff/national-tariff-payment-system/" TargetMode="External"/><Relationship Id="rId10" Type="http://schemas.openxmlformats.org/officeDocument/2006/relationships/hyperlink" Target="https://www.england.nhs.uk/pay-syst/national-tariff/national-tariff-payment-system/" TargetMode="External"/><Relationship Id="rId19" Type="http://schemas.openxmlformats.org/officeDocument/2006/relationships/printerSettings" Target="../printerSettings/printerSettings6.bin"/><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medicines.org.uk/emc" TargetMode="External"/><Relationship Id="rId14"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4414062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5546875" style="10" customWidth="1"/>
    <col min="15" max="15" width="14.44140625" style="10" customWidth="1"/>
    <col min="16" max="16" width="10.5546875" style="10" customWidth="1"/>
    <col min="17" max="17" width="15.44140625" style="11" customWidth="1"/>
    <col min="18" max="18" width="20.44140625" style="11" customWidth="1"/>
    <col min="19" max="42" width="10.5546875" style="11" customWidth="1"/>
    <col min="43" max="50" width="10.5546875" style="12" customWidth="1"/>
    <col min="51" max="106" width="10.5546875" style="1" customWidth="1"/>
    <col min="107" max="189" width="10.5546875" style="10" hidden="1" customWidth="1"/>
    <col min="190" max="193" width="10.5546875" style="10" customWidth="1"/>
    <col min="194" max="194" width="10.44140625" style="10" customWidth="1"/>
    <col min="195" max="16384" width="9.44140625" style="10"/>
  </cols>
  <sheetData>
    <row r="1" spans="2:106" x14ac:dyDescent="0.25">
      <c r="C1" s="423" t="s">
        <v>0</v>
      </c>
    </row>
    <row r="2" spans="2:106" x14ac:dyDescent="0.25">
      <c r="B2" s="9" t="s">
        <v>1</v>
      </c>
    </row>
    <row r="3" spans="2:106" x14ac:dyDescent="0.25">
      <c r="B3" s="84" t="s">
        <v>2</v>
      </c>
      <c r="C3" s="475"/>
      <c r="D3" s="476"/>
      <c r="E3" s="476"/>
      <c r="F3" s="476"/>
      <c r="G3" s="477"/>
    </row>
    <row r="4" spans="2:106" x14ac:dyDescent="0.25">
      <c r="B4" s="85"/>
      <c r="C4" s="86"/>
      <c r="D4" s="7"/>
      <c r="E4" s="7"/>
      <c r="F4" s="7"/>
      <c r="G4" s="87"/>
      <c r="L4" s="9" t="s">
        <v>3</v>
      </c>
      <c r="M4" s="9" t="s">
        <v>3</v>
      </c>
      <c r="N4" s="9" t="s">
        <v>4</v>
      </c>
      <c r="O4" s="9" t="s">
        <v>4</v>
      </c>
      <c r="P4" s="9" t="s">
        <v>5</v>
      </c>
      <c r="R4" s="150" t="s">
        <v>6</v>
      </c>
      <c r="S4" s="150" t="s">
        <v>7</v>
      </c>
      <c r="T4" s="150" t="s">
        <v>8</v>
      </c>
      <c r="V4" s="150" t="s">
        <v>9</v>
      </c>
    </row>
    <row r="5" spans="2:106" ht="27.6" x14ac:dyDescent="0.25">
      <c r="B5" s="88" t="s">
        <v>10</v>
      </c>
      <c r="C5" s="86"/>
      <c r="D5" s="7"/>
      <c r="E5" s="7"/>
      <c r="F5" s="7"/>
      <c r="G5" s="87"/>
      <c r="L5" s="15" t="s">
        <v>11</v>
      </c>
      <c r="M5" s="15" t="s">
        <v>12</v>
      </c>
      <c r="N5" s="15" t="s">
        <v>13</v>
      </c>
      <c r="O5" s="15" t="s">
        <v>14</v>
      </c>
      <c r="P5" s="18"/>
      <c r="Q5" s="16"/>
      <c r="R5" s="15" t="s">
        <v>14</v>
      </c>
      <c r="S5" s="125" t="s">
        <v>15</v>
      </c>
      <c r="V5" s="126">
        <v>4</v>
      </c>
    </row>
    <row r="6" spans="2:106" x14ac:dyDescent="0.25">
      <c r="B6" s="88" t="s">
        <v>16</v>
      </c>
      <c r="C6" s="86"/>
      <c r="D6" s="7"/>
      <c r="E6" s="7"/>
      <c r="F6" s="7"/>
      <c r="G6" s="87"/>
      <c r="J6" s="121"/>
      <c r="L6" s="20" t="s">
        <v>17</v>
      </c>
      <c r="M6" s="20" t="s">
        <v>18</v>
      </c>
      <c r="N6" s="20" t="str">
        <f>'Population and treatments'!$C$8</f>
        <v>National</v>
      </c>
      <c r="O6" s="20" t="str">
        <f>IFERROR(VLOOKUP('Population and treatments'!$C$8, $L$5:$M$14, 2, FALSE), "-")</f>
        <v>NATIONAL</v>
      </c>
      <c r="P6" s="15" t="b">
        <f>ISTEXT('Population and treatments'!$C$9)</f>
        <v>1</v>
      </c>
      <c r="R6" s="160" t="s">
        <v>19</v>
      </c>
      <c r="S6" s="125" t="s">
        <v>20</v>
      </c>
      <c r="V6" s="126">
        <v>5</v>
      </c>
    </row>
    <row r="7" spans="2:106" x14ac:dyDescent="0.25">
      <c r="B7" s="85"/>
      <c r="C7" s="86"/>
      <c r="D7" s="7"/>
      <c r="E7" s="7"/>
      <c r="F7" s="7"/>
      <c r="G7" s="87"/>
      <c r="L7" s="20" t="s">
        <v>21</v>
      </c>
      <c r="M7" s="20" t="s">
        <v>22</v>
      </c>
      <c r="N7" s="20" t="str">
        <f>'Population and treatments'!$C$8</f>
        <v>National</v>
      </c>
      <c r="O7" s="20" t="str">
        <f>IFERROR(VLOOKUP('Population and treatments'!$C$8, $L$5:$M$14, 2, FALSE), "-")</f>
        <v>NATIONAL</v>
      </c>
      <c r="P7" s="15" t="b">
        <f>ISTEXT('Population and treatments'!$C$9)</f>
        <v>1</v>
      </c>
      <c r="R7" s="160" t="s">
        <v>23</v>
      </c>
      <c r="S7" s="219"/>
      <c r="V7" s="126">
        <v>6</v>
      </c>
    </row>
    <row r="8" spans="2:106" ht="19.5" customHeight="1" x14ac:dyDescent="0.25">
      <c r="B8" s="89" t="s">
        <v>24</v>
      </c>
      <c r="C8" s="90"/>
      <c r="D8" s="91"/>
      <c r="E8" s="91"/>
      <c r="F8" s="91"/>
      <c r="G8" s="92"/>
      <c r="L8" s="20" t="s">
        <v>25</v>
      </c>
      <c r="M8" s="20" t="s">
        <v>26</v>
      </c>
      <c r="N8" s="20" t="str">
        <f>'Population and treatments'!$C$8</f>
        <v>National</v>
      </c>
      <c r="O8" s="20" t="str">
        <f>IFERROR(VLOOKUP('Population and treatments'!$C$8, $L$5:$M$14, 2, FALSE), "-")</f>
        <v>NATIONAL</v>
      </c>
      <c r="P8" s="15" t="b">
        <f>ISTEXT('Population and treatments'!$C$9)</f>
        <v>1</v>
      </c>
      <c r="V8" s="126">
        <v>7</v>
      </c>
    </row>
    <row r="9" spans="2:106" ht="19.5" customHeight="1" x14ac:dyDescent="0.3">
      <c r="B9" s="13"/>
      <c r="L9" s="20" t="s">
        <v>27</v>
      </c>
      <c r="M9" s="20" t="s">
        <v>28</v>
      </c>
      <c r="N9" s="20" t="str">
        <f>'Population and treatments'!$C$8</f>
        <v>National</v>
      </c>
      <c r="O9" s="20" t="str">
        <f>IFERROR(VLOOKUP('Population and treatments'!$C$8, $L$5:$M$14, 2, FALSE), "-")</f>
        <v>NATIONAL</v>
      </c>
      <c r="P9" s="15" t="b">
        <f>ISTEXT('Population and treatments'!$C$9)</f>
        <v>1</v>
      </c>
      <c r="V9" s="126" t="s">
        <v>29</v>
      </c>
    </row>
    <row r="10" spans="2:106" ht="14.4" x14ac:dyDescent="0.3">
      <c r="B10" s="13"/>
      <c r="K10" s="23"/>
      <c r="L10" s="20" t="s">
        <v>30</v>
      </c>
      <c r="M10" s="20" t="s">
        <v>31</v>
      </c>
      <c r="N10" s="20" t="str">
        <f>'Population and treatments'!$C$8</f>
        <v>National</v>
      </c>
      <c r="O10" s="20" t="str">
        <f>IFERROR(VLOOKUP('Population and treatments'!$C$8, $L$5:$M$14, 2, FALSE), "-")</f>
        <v>NATIONAL</v>
      </c>
      <c r="P10" s="15" t="b">
        <f>ISTEXT('Population and treatments'!$C$9)</f>
        <v>1</v>
      </c>
      <c r="V10" s="126" t="s">
        <v>32</v>
      </c>
    </row>
    <row r="11" spans="2:106" x14ac:dyDescent="0.25">
      <c r="B11" s="9" t="s">
        <v>33</v>
      </c>
      <c r="C11" s="23"/>
      <c r="D11" s="23"/>
      <c r="E11" s="23"/>
      <c r="K11" s="23"/>
      <c r="L11" s="101" t="s">
        <v>34</v>
      </c>
      <c r="M11" s="20" t="s">
        <v>35</v>
      </c>
      <c r="N11" s="20" t="str">
        <f>'Population and treatments'!$C$8</f>
        <v>National</v>
      </c>
      <c r="O11" s="20" t="str">
        <f>IFERROR(VLOOKUP('Population and treatments'!$C$8, $L$5:$M$14, 2, FALSE), "-")</f>
        <v>NATIONAL</v>
      </c>
      <c r="P11" s="15" t="b">
        <f>ISTEXT('Population and treatments'!$C$9)</f>
        <v>1</v>
      </c>
      <c r="V11" s="126" t="s">
        <v>36</v>
      </c>
    </row>
    <row r="12" spans="2:106" ht="43.5" customHeight="1" x14ac:dyDescent="0.25">
      <c r="B12" s="14"/>
      <c r="D12" s="165" t="s">
        <v>37</v>
      </c>
      <c r="E12" s="165" t="s">
        <v>37</v>
      </c>
      <c r="L12" s="20" t="s">
        <v>38</v>
      </c>
      <c r="M12" s="20" t="s">
        <v>39</v>
      </c>
      <c r="N12" s="20" t="str">
        <f>'Population and treatments'!$C$8</f>
        <v>National</v>
      </c>
      <c r="O12" s="20" t="str">
        <f>IFERROR(VLOOKUP('Population and treatments'!$C$8, $L$5:$M$14, 2, FALSE), "-")</f>
        <v>NATIONAL</v>
      </c>
      <c r="P12" s="15" t="b">
        <f>ISTEXT('Population and treatments'!$C$9)</f>
        <v>1</v>
      </c>
      <c r="V12" s="126" t="s">
        <v>40</v>
      </c>
    </row>
    <row r="13" spans="2:106" s="18" customFormat="1" ht="46.35" customHeight="1" x14ac:dyDescent="0.25">
      <c r="B13" s="166" t="s">
        <v>41</v>
      </c>
      <c r="C13" s="166" t="s">
        <v>42</v>
      </c>
      <c r="D13" s="25" t="s">
        <v>43</v>
      </c>
      <c r="E13" s="25" t="s">
        <v>44</v>
      </c>
      <c r="F13" s="166"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22">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7" t="str">
        <f>IF((OR('Population and treatments'!C8="&lt;select&gt;",'Population and treatments'!C8="")), "-", 'Population and treatments'!C9)</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treatments'!$C$8</f>
        <v>National</v>
      </c>
      <c r="O14" s="20" t="str">
        <f>IFERROR(VLOOKUP('Population and treatments'!$C$8, $L$5:$M$14, 2, FALSE), "-")</f>
        <v>NATIONAL</v>
      </c>
      <c r="P14" s="15" t="b">
        <f>ISTEXT('Population and treatments'!$C$9)</f>
        <v>1</v>
      </c>
      <c r="V14" s="126" t="s">
        <v>50</v>
      </c>
    </row>
    <row r="15" spans="2:106" x14ac:dyDescent="0.25">
      <c r="B15" s="167"/>
      <c r="C15" s="19"/>
      <c r="D15" s="83"/>
      <c r="E15" s="83"/>
      <c r="F15" s="19"/>
      <c r="L15" s="20"/>
      <c r="M15" s="20"/>
      <c r="N15" s="20"/>
      <c r="O15" s="20"/>
      <c r="P15" s="20"/>
      <c r="V15" s="126" t="s">
        <v>51</v>
      </c>
    </row>
    <row r="16" spans="2:106" x14ac:dyDescent="0.25">
      <c r="B16" s="168" t="s">
        <v>52</v>
      </c>
      <c r="C16" s="169">
        <f>IF(C15&gt;0,C14,C15)</f>
        <v>0</v>
      </c>
      <c r="D16" s="169">
        <f>IF(D15&gt;0,D14,D15)</f>
        <v>0</v>
      </c>
      <c r="E16" s="169">
        <f>IF(E15&gt;0,E14,E15)</f>
        <v>0</v>
      </c>
      <c r="F16" s="169">
        <f>SUM(F15)</f>
        <v>0</v>
      </c>
      <c r="L16" s="21"/>
      <c r="M16" s="21"/>
      <c r="P16" s="218">
        <f>COUNTIF(P6:P14, TRUE)</f>
        <v>9</v>
      </c>
    </row>
    <row r="17" spans="1:194" x14ac:dyDescent="0.25">
      <c r="Q17" s="22"/>
      <c r="R17" s="22"/>
    </row>
    <row r="18" spans="1:194" ht="45.6" customHeight="1" x14ac:dyDescent="0.25">
      <c r="B18" s="82"/>
      <c r="C18" s="130"/>
      <c r="D18" s="25" t="s">
        <v>37</v>
      </c>
      <c r="E18" s="25" t="s">
        <v>37</v>
      </c>
      <c r="F18" s="82"/>
      <c r="I18" s="82"/>
      <c r="J18" s="82"/>
      <c r="K18" s="23"/>
      <c r="N18" s="23"/>
    </row>
    <row r="19" spans="1:194" ht="23.1" customHeight="1" x14ac:dyDescent="0.25">
      <c r="D19" s="170">
        <v>2</v>
      </c>
      <c r="E19" s="170">
        <v>3</v>
      </c>
      <c r="F19" s="170">
        <v>4</v>
      </c>
      <c r="G19" s="170">
        <v>5</v>
      </c>
      <c r="H19" s="170">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c r="CT20" s="478"/>
      <c r="CU20" s="478"/>
      <c r="CV20" s="478"/>
      <c r="CW20" s="478"/>
      <c r="CX20" s="478"/>
      <c r="CY20" s="479"/>
      <c r="CZ20" s="480" t="s">
        <v>59</v>
      </c>
      <c r="DA20" s="480"/>
      <c r="DB20" s="480"/>
      <c r="DC20" s="480"/>
      <c r="DD20" s="480"/>
      <c r="DE20" s="480"/>
      <c r="DF20" s="480"/>
      <c r="DG20" s="480"/>
      <c r="DH20" s="480"/>
      <c r="DI20" s="480"/>
      <c r="DJ20" s="480"/>
      <c r="DK20" s="480"/>
      <c r="DL20" s="480"/>
      <c r="DM20" s="480"/>
      <c r="DN20" s="480"/>
      <c r="DO20" s="480"/>
      <c r="DP20" s="480"/>
      <c r="DQ20" s="480"/>
      <c r="DR20" s="480"/>
      <c r="DS20" s="480"/>
      <c r="DT20" s="480"/>
      <c r="DU20" s="480"/>
      <c r="DV20" s="480"/>
      <c r="DW20" s="480"/>
      <c r="DX20" s="480"/>
      <c r="DY20" s="480"/>
      <c r="DZ20" s="480"/>
      <c r="EA20" s="480"/>
      <c r="EB20" s="480"/>
      <c r="EC20" s="480"/>
      <c r="ED20" s="480"/>
      <c r="EE20" s="480"/>
      <c r="EF20" s="480"/>
      <c r="EG20" s="480"/>
      <c r="EH20" s="480"/>
      <c r="EI20" s="480"/>
      <c r="EJ20" s="480"/>
      <c r="EK20" s="480"/>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1"/>
    </row>
    <row r="21" spans="1:194" s="8" customFormat="1" ht="27.6"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5">
      <c r="A22" s="29"/>
      <c r="B22" s="68"/>
      <c r="C22" s="482"/>
      <c r="D22" s="483"/>
      <c r="E22" s="483"/>
      <c r="F22" s="484"/>
      <c r="G22" s="484"/>
      <c r="H22" s="483"/>
      <c r="I22" s="483"/>
      <c r="J22" s="483"/>
      <c r="K22" s="484"/>
      <c r="L22" s="483"/>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c r="AK22" s="484"/>
      <c r="AL22" s="484"/>
      <c r="AM22" s="484"/>
      <c r="AN22" s="484"/>
      <c r="AO22" s="484"/>
      <c r="AP22" s="484"/>
      <c r="AQ22" s="484"/>
      <c r="AR22" s="484"/>
      <c r="AS22" s="484"/>
      <c r="AT22" s="484"/>
      <c r="AU22" s="484"/>
      <c r="AV22" s="484"/>
      <c r="AW22" s="484"/>
      <c r="AX22" s="484"/>
      <c r="AY22" s="484"/>
      <c r="AZ22" s="484"/>
      <c r="BA22" s="484"/>
      <c r="BB22" s="484"/>
      <c r="BC22" s="484"/>
      <c r="BD22" s="484"/>
      <c r="BE22" s="484"/>
      <c r="BF22" s="484"/>
      <c r="BG22" s="484"/>
      <c r="BH22" s="484"/>
      <c r="BI22" s="484"/>
      <c r="BJ22" s="484"/>
      <c r="BK22" s="484"/>
      <c r="BL22" s="484"/>
      <c r="BM22" s="484"/>
      <c r="BN22" s="484"/>
      <c r="BO22" s="484"/>
      <c r="BP22" s="484"/>
      <c r="BQ22" s="484"/>
      <c r="BR22" s="484"/>
      <c r="BS22" s="484"/>
      <c r="BT22" s="484"/>
      <c r="BU22" s="484"/>
      <c r="BV22" s="484"/>
      <c r="BW22" s="484"/>
      <c r="BX22" s="484"/>
      <c r="BY22" s="484"/>
      <c r="BZ22" s="484"/>
      <c r="CA22" s="484"/>
      <c r="CB22" s="484"/>
      <c r="CC22" s="484"/>
      <c r="CD22" s="484"/>
      <c r="CE22" s="484"/>
      <c r="CF22" s="484"/>
      <c r="CG22" s="484"/>
      <c r="CH22" s="484"/>
      <c r="CI22" s="484"/>
      <c r="CJ22" s="484"/>
      <c r="CK22" s="484"/>
      <c r="CL22" s="484"/>
      <c r="CM22" s="484"/>
      <c r="CN22" s="484"/>
      <c r="CO22" s="484"/>
      <c r="CP22" s="484"/>
      <c r="CQ22" s="484"/>
      <c r="CR22" s="484"/>
      <c r="CS22" s="484"/>
      <c r="CT22" s="484"/>
      <c r="CU22" s="484"/>
      <c r="CV22" s="484"/>
      <c r="CW22" s="484"/>
      <c r="CX22" s="484"/>
      <c r="CY22" s="483"/>
      <c r="CZ22" s="484"/>
      <c r="DA22" s="484"/>
      <c r="DB22" s="484"/>
      <c r="DC22" s="484"/>
      <c r="DD22" s="484"/>
      <c r="DE22" s="484"/>
      <c r="DF22" s="484"/>
      <c r="DG22" s="484"/>
      <c r="DH22" s="484"/>
      <c r="DI22" s="484"/>
      <c r="DJ22" s="484"/>
      <c r="DK22" s="484"/>
      <c r="DL22" s="484"/>
      <c r="DM22" s="484"/>
      <c r="DN22" s="484"/>
      <c r="DO22" s="484"/>
      <c r="DP22" s="484"/>
      <c r="DQ22" s="484"/>
      <c r="DR22" s="484"/>
      <c r="DS22" s="484"/>
      <c r="DT22" s="484"/>
      <c r="DU22" s="484"/>
      <c r="DV22" s="484"/>
      <c r="DW22" s="484"/>
      <c r="DX22" s="484"/>
      <c r="DY22" s="484"/>
      <c r="DZ22" s="484"/>
      <c r="EA22" s="484"/>
      <c r="EB22" s="484"/>
      <c r="EC22" s="484"/>
      <c r="ED22" s="484"/>
      <c r="EE22" s="484"/>
      <c r="EF22" s="484"/>
      <c r="EG22" s="484"/>
      <c r="EH22" s="484"/>
      <c r="EI22" s="484"/>
      <c r="EJ22" s="484"/>
      <c r="EK22" s="484"/>
      <c r="EL22" s="484"/>
      <c r="EM22" s="484"/>
      <c r="EN22" s="484"/>
      <c r="EO22" s="484"/>
      <c r="EP22" s="484"/>
      <c r="EQ22" s="484"/>
      <c r="ER22" s="484"/>
      <c r="ES22" s="484"/>
      <c r="ET22" s="484"/>
      <c r="EU22" s="484"/>
      <c r="EV22" s="484"/>
      <c r="EW22" s="484"/>
      <c r="EX22" s="484"/>
      <c r="EY22" s="484"/>
      <c r="EZ22" s="484"/>
      <c r="FA22" s="484"/>
      <c r="FB22" s="484"/>
      <c r="FC22" s="484"/>
      <c r="FD22" s="484"/>
      <c r="FE22" s="484"/>
      <c r="FF22" s="484"/>
      <c r="FG22" s="484"/>
      <c r="FH22" s="484"/>
      <c r="FI22" s="484"/>
      <c r="FJ22" s="484"/>
      <c r="FK22" s="484"/>
      <c r="FL22" s="484"/>
      <c r="FM22" s="484"/>
      <c r="FN22" s="484"/>
      <c r="FO22" s="484"/>
      <c r="FP22" s="484"/>
      <c r="FQ22" s="484"/>
      <c r="FR22" s="484"/>
      <c r="FS22" s="484"/>
      <c r="FT22" s="484"/>
      <c r="FU22" s="484"/>
      <c r="FV22" s="484"/>
      <c r="FW22" s="484"/>
      <c r="FX22" s="484"/>
      <c r="FY22" s="484"/>
      <c r="FZ22" s="484"/>
      <c r="GA22" s="484"/>
      <c r="GB22" s="484"/>
      <c r="GC22" s="484"/>
      <c r="GD22" s="484"/>
      <c r="GE22" s="484"/>
      <c r="GF22" s="484"/>
      <c r="GG22" s="484"/>
      <c r="GH22" s="484"/>
      <c r="GI22" s="484"/>
      <c r="GJ22" s="484"/>
      <c r="GK22" s="484"/>
      <c r="GL22" s="483"/>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266" t="s">
        <v>62</v>
      </c>
      <c r="C25" s="485" t="s">
        <v>63</v>
      </c>
      <c r="D25" s="486">
        <f t="shared" ref="D25:E27" si="3">I25</f>
        <v>22137472</v>
      </c>
      <c r="E25" s="486">
        <f t="shared" si="3"/>
        <v>23554205</v>
      </c>
      <c r="F25" s="487">
        <f>G25+H25</f>
        <v>57690323</v>
      </c>
      <c r="G25" s="487">
        <f>SUM(M25:CY25)</f>
        <v>28283074</v>
      </c>
      <c r="H25" s="488">
        <f>SUM(CZ25:GL25)</f>
        <v>29407249</v>
      </c>
      <c r="I25" s="488">
        <f>SUM(AE25:CY25)</f>
        <v>22137472</v>
      </c>
      <c r="J25" s="488">
        <f>SUM(DR25:GL25)</f>
        <v>23554205</v>
      </c>
      <c r="K25" s="489">
        <f>SUM(M25:AD25)</f>
        <v>6145602</v>
      </c>
      <c r="L25" s="486">
        <f>SUM(CZ25:DQ25)</f>
        <v>5853044</v>
      </c>
      <c r="M25" s="487">
        <v>293933</v>
      </c>
      <c r="N25" s="487">
        <v>312995</v>
      </c>
      <c r="O25" s="487">
        <v>311501</v>
      </c>
      <c r="P25" s="487">
        <v>322067</v>
      </c>
      <c r="Q25" s="487">
        <v>328129</v>
      </c>
      <c r="R25" s="487">
        <v>331735</v>
      </c>
      <c r="S25" s="487">
        <v>339328</v>
      </c>
      <c r="T25" s="487">
        <v>348942</v>
      </c>
      <c r="U25" s="487">
        <v>345591</v>
      </c>
      <c r="V25" s="487">
        <v>347329</v>
      </c>
      <c r="W25" s="487">
        <v>356650</v>
      </c>
      <c r="X25" s="487">
        <v>365469</v>
      </c>
      <c r="Y25" s="487">
        <v>366063</v>
      </c>
      <c r="Z25" s="487">
        <v>360895</v>
      </c>
      <c r="AA25" s="487">
        <v>358117</v>
      </c>
      <c r="AB25" s="487">
        <v>361691</v>
      </c>
      <c r="AC25" s="487">
        <v>349931</v>
      </c>
      <c r="AD25" s="487">
        <v>345236</v>
      </c>
      <c r="AE25" s="487">
        <v>346661</v>
      </c>
      <c r="AF25" s="487">
        <v>349313</v>
      </c>
      <c r="AG25" s="487">
        <v>347749</v>
      </c>
      <c r="AH25" s="487">
        <v>345536</v>
      </c>
      <c r="AI25" s="487">
        <v>345643</v>
      </c>
      <c r="AJ25" s="487">
        <v>355934</v>
      </c>
      <c r="AK25" s="487">
        <v>368759</v>
      </c>
      <c r="AL25" s="487">
        <v>370911</v>
      </c>
      <c r="AM25" s="487">
        <v>376733</v>
      </c>
      <c r="AN25" s="487">
        <v>370426</v>
      </c>
      <c r="AO25" s="487">
        <v>373327</v>
      </c>
      <c r="AP25" s="487">
        <v>380776</v>
      </c>
      <c r="AQ25" s="487">
        <v>380078</v>
      </c>
      <c r="AR25" s="487">
        <v>390686</v>
      </c>
      <c r="AS25" s="487">
        <v>395074</v>
      </c>
      <c r="AT25" s="487">
        <v>392740</v>
      </c>
      <c r="AU25" s="487">
        <v>389629</v>
      </c>
      <c r="AV25" s="487">
        <v>392507</v>
      </c>
      <c r="AW25" s="487">
        <v>383002</v>
      </c>
      <c r="AX25" s="487">
        <v>382093</v>
      </c>
      <c r="AY25" s="487">
        <v>380825</v>
      </c>
      <c r="AZ25" s="487">
        <v>368755</v>
      </c>
      <c r="BA25" s="487">
        <v>368886</v>
      </c>
      <c r="BB25" s="487">
        <v>368552</v>
      </c>
      <c r="BC25" s="487">
        <v>371001</v>
      </c>
      <c r="BD25" s="487">
        <v>373542</v>
      </c>
      <c r="BE25" s="487">
        <v>358913</v>
      </c>
      <c r="BF25" s="487">
        <v>335009</v>
      </c>
      <c r="BG25" s="487">
        <v>329186</v>
      </c>
      <c r="BH25" s="487">
        <v>336077</v>
      </c>
      <c r="BI25" s="487">
        <v>342724</v>
      </c>
      <c r="BJ25" s="487">
        <v>346555</v>
      </c>
      <c r="BK25" s="487">
        <v>359694</v>
      </c>
      <c r="BL25" s="487">
        <v>372431</v>
      </c>
      <c r="BM25" s="487">
        <v>383893</v>
      </c>
      <c r="BN25" s="487">
        <v>374199</v>
      </c>
      <c r="BO25" s="487">
        <v>382036</v>
      </c>
      <c r="BP25" s="487">
        <v>380548</v>
      </c>
      <c r="BQ25" s="487">
        <v>383158</v>
      </c>
      <c r="BR25" s="487">
        <v>379113</v>
      </c>
      <c r="BS25" s="487">
        <v>379303</v>
      </c>
      <c r="BT25" s="487">
        <v>373318</v>
      </c>
      <c r="BU25" s="487">
        <v>363989</v>
      </c>
      <c r="BV25" s="487">
        <v>354500</v>
      </c>
      <c r="BW25" s="487">
        <v>341604</v>
      </c>
      <c r="BX25" s="487">
        <v>326378</v>
      </c>
      <c r="BY25" s="487">
        <v>315915</v>
      </c>
      <c r="BZ25" s="487">
        <v>305908</v>
      </c>
      <c r="CA25" s="487">
        <v>290478</v>
      </c>
      <c r="CB25" s="487">
        <v>278154</v>
      </c>
      <c r="CC25" s="487">
        <v>264200</v>
      </c>
      <c r="CD25" s="487">
        <v>261871</v>
      </c>
      <c r="CE25" s="487">
        <v>255543</v>
      </c>
      <c r="CF25" s="487">
        <v>244170</v>
      </c>
      <c r="CG25" s="487">
        <v>243498</v>
      </c>
      <c r="CH25" s="487">
        <v>242922</v>
      </c>
      <c r="CI25" s="487">
        <v>246267</v>
      </c>
      <c r="CJ25" s="487">
        <v>255937</v>
      </c>
      <c r="CK25" s="487">
        <v>273876</v>
      </c>
      <c r="CL25" s="487">
        <v>203760</v>
      </c>
      <c r="CM25" s="487">
        <v>192397</v>
      </c>
      <c r="CN25" s="487">
        <v>186010</v>
      </c>
      <c r="CO25" s="487">
        <v>165062</v>
      </c>
      <c r="CP25" s="487">
        <v>140882</v>
      </c>
      <c r="CQ25" s="487">
        <v>119224</v>
      </c>
      <c r="CR25" s="487">
        <v>117844</v>
      </c>
      <c r="CS25" s="487">
        <v>110353</v>
      </c>
      <c r="CT25" s="487">
        <v>99978</v>
      </c>
      <c r="CU25" s="487">
        <v>87281</v>
      </c>
      <c r="CV25" s="487">
        <v>74936</v>
      </c>
      <c r="CW25" s="487">
        <v>63762</v>
      </c>
      <c r="CX25" s="487">
        <v>52022</v>
      </c>
      <c r="CY25" s="487">
        <v>173456</v>
      </c>
      <c r="CZ25" s="487">
        <v>279167</v>
      </c>
      <c r="DA25" s="487">
        <v>298988</v>
      </c>
      <c r="DB25" s="487">
        <v>297423</v>
      </c>
      <c r="DC25" s="487">
        <v>307905</v>
      </c>
      <c r="DD25" s="487">
        <v>312529</v>
      </c>
      <c r="DE25" s="487">
        <v>316813</v>
      </c>
      <c r="DF25" s="487">
        <v>324426</v>
      </c>
      <c r="DG25" s="487">
        <v>332617</v>
      </c>
      <c r="DH25" s="487">
        <v>330045</v>
      </c>
      <c r="DI25" s="487">
        <v>331941</v>
      </c>
      <c r="DJ25" s="487">
        <v>339519</v>
      </c>
      <c r="DK25" s="487">
        <v>348893</v>
      </c>
      <c r="DL25" s="487">
        <v>348165</v>
      </c>
      <c r="DM25" s="487">
        <v>343885</v>
      </c>
      <c r="DN25" s="487">
        <v>341284</v>
      </c>
      <c r="DO25" s="487">
        <v>344315</v>
      </c>
      <c r="DP25" s="487">
        <v>330622</v>
      </c>
      <c r="DQ25" s="487">
        <v>324507</v>
      </c>
      <c r="DR25" s="487">
        <v>324547</v>
      </c>
      <c r="DS25" s="487">
        <v>328240</v>
      </c>
      <c r="DT25" s="487">
        <v>325534</v>
      </c>
      <c r="DU25" s="487">
        <v>329081</v>
      </c>
      <c r="DV25" s="487">
        <v>331235</v>
      </c>
      <c r="DW25" s="487">
        <v>345013</v>
      </c>
      <c r="DX25" s="487">
        <v>361888</v>
      </c>
      <c r="DY25" s="487">
        <v>369890</v>
      </c>
      <c r="DZ25" s="487">
        <v>379188</v>
      </c>
      <c r="EA25" s="487">
        <v>375004</v>
      </c>
      <c r="EB25" s="487">
        <v>384557</v>
      </c>
      <c r="EC25" s="487">
        <v>397037</v>
      </c>
      <c r="ED25" s="487">
        <v>399178</v>
      </c>
      <c r="EE25" s="487">
        <v>412384</v>
      </c>
      <c r="EF25" s="487">
        <v>417512</v>
      </c>
      <c r="EG25" s="487">
        <v>419044</v>
      </c>
      <c r="EH25" s="487">
        <v>417098</v>
      </c>
      <c r="EI25" s="487">
        <v>422891</v>
      </c>
      <c r="EJ25" s="487">
        <v>413850</v>
      </c>
      <c r="EK25" s="487">
        <v>408208</v>
      </c>
      <c r="EL25" s="487">
        <v>405771</v>
      </c>
      <c r="EM25" s="487">
        <v>392998</v>
      </c>
      <c r="EN25" s="487">
        <v>392640</v>
      </c>
      <c r="EO25" s="487">
        <v>389013</v>
      </c>
      <c r="EP25" s="487">
        <v>392804</v>
      </c>
      <c r="EQ25" s="487">
        <v>392829</v>
      </c>
      <c r="ER25" s="487">
        <v>375222</v>
      </c>
      <c r="ES25" s="487">
        <v>347593</v>
      </c>
      <c r="ET25" s="487">
        <v>340244</v>
      </c>
      <c r="EU25" s="487">
        <v>346591</v>
      </c>
      <c r="EV25" s="487">
        <v>353283</v>
      </c>
      <c r="EW25" s="487">
        <v>357012</v>
      </c>
      <c r="EX25" s="487">
        <v>369968</v>
      </c>
      <c r="EY25" s="487">
        <v>383711</v>
      </c>
      <c r="EZ25" s="487">
        <v>398952</v>
      </c>
      <c r="FA25" s="487">
        <v>388155</v>
      </c>
      <c r="FB25" s="487">
        <v>395977</v>
      </c>
      <c r="FC25" s="487">
        <v>394307</v>
      </c>
      <c r="FD25" s="487">
        <v>395319</v>
      </c>
      <c r="FE25" s="487">
        <v>395085</v>
      </c>
      <c r="FF25" s="487">
        <v>394913</v>
      </c>
      <c r="FG25" s="487">
        <v>388786</v>
      </c>
      <c r="FH25" s="487">
        <v>378799</v>
      </c>
      <c r="FI25" s="487">
        <v>369231</v>
      </c>
      <c r="FJ25" s="487">
        <v>353273</v>
      </c>
      <c r="FK25" s="487">
        <v>338179</v>
      </c>
      <c r="FL25" s="487">
        <v>328875</v>
      </c>
      <c r="FM25" s="487">
        <v>318729</v>
      </c>
      <c r="FN25" s="487">
        <v>305975</v>
      </c>
      <c r="FO25" s="487">
        <v>293096</v>
      </c>
      <c r="FP25" s="487">
        <v>282116</v>
      </c>
      <c r="FQ25" s="487">
        <v>282344</v>
      </c>
      <c r="FR25" s="487">
        <v>275725</v>
      </c>
      <c r="FS25" s="487">
        <v>267981</v>
      </c>
      <c r="FT25" s="487">
        <v>267569</v>
      </c>
      <c r="FU25" s="487">
        <v>271143</v>
      </c>
      <c r="FV25" s="487">
        <v>275176</v>
      </c>
      <c r="FW25" s="487">
        <v>289150</v>
      </c>
      <c r="FX25" s="487">
        <v>309463</v>
      </c>
      <c r="FY25" s="487">
        <v>234189</v>
      </c>
      <c r="FZ25" s="487">
        <v>223653</v>
      </c>
      <c r="GA25" s="487">
        <v>218690</v>
      </c>
      <c r="GB25" s="487">
        <v>198932</v>
      </c>
      <c r="GC25" s="487">
        <v>173919</v>
      </c>
      <c r="GD25" s="487">
        <v>151373</v>
      </c>
      <c r="GE25" s="487">
        <v>152822</v>
      </c>
      <c r="GF25" s="487">
        <v>146074</v>
      </c>
      <c r="GG25" s="487">
        <v>135895</v>
      </c>
      <c r="GH25" s="487">
        <v>122383</v>
      </c>
      <c r="GI25" s="487">
        <v>109600</v>
      </c>
      <c r="GJ25" s="487">
        <v>96854</v>
      </c>
      <c r="GK25" s="487">
        <v>82610</v>
      </c>
      <c r="GL25" s="487">
        <v>347835</v>
      </c>
    </row>
    <row r="26" spans="1:194" s="8" customFormat="1" x14ac:dyDescent="0.25">
      <c r="A26" s="31" t="s">
        <v>21</v>
      </c>
      <c r="B26" s="267"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268"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269"/>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48</v>
      </c>
      <c r="B29" s="270" t="s">
        <v>68</v>
      </c>
      <c r="C29" s="68" t="str">
        <f t="shared" ref="C29:C43" si="4">CONCATENATE(A29," - ",B29)</f>
        <v>England – PCNs - 3 CENTRES PCN</v>
      </c>
      <c r="D29" s="490">
        <f>I29</f>
        <v>14772</v>
      </c>
      <c r="E29" s="490">
        <f>J29</f>
        <v>15689</v>
      </c>
      <c r="F29" s="491">
        <f>G29+H29</f>
        <v>39727</v>
      </c>
      <c r="G29" s="491">
        <f>SUM(M29:CY29)</f>
        <v>19549</v>
      </c>
      <c r="H29" s="492">
        <f>SUM(CZ29:GL29)</f>
        <v>20178</v>
      </c>
      <c r="I29" s="492">
        <f>SUM(AE29:CY29)</f>
        <v>14772</v>
      </c>
      <c r="J29" s="492">
        <f>SUM(DR29:GL29)</f>
        <v>15689</v>
      </c>
      <c r="K29" s="493">
        <f>SUM(M29:AD29)</f>
        <v>4777</v>
      </c>
      <c r="L29" s="490">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48</v>
      </c>
      <c r="B30" s="270"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48</v>
      </c>
      <c r="B31" s="270"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48</v>
      </c>
      <c r="B32" s="270"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48</v>
      </c>
      <c r="B33" s="270"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48</v>
      </c>
      <c r="B34" s="270"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48</v>
      </c>
      <c r="B35" s="270"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48</v>
      </c>
      <c r="B36" s="270"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48</v>
      </c>
      <c r="B37" s="270"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48</v>
      </c>
      <c r="B38" s="270"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48</v>
      </c>
      <c r="B39" s="270"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48</v>
      </c>
      <c r="B40" s="270"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48</v>
      </c>
      <c r="B41" s="270"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48</v>
      </c>
      <c r="B42" s="270"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48</v>
      </c>
      <c r="B43" s="270"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48</v>
      </c>
      <c r="B44" s="270"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48</v>
      </c>
      <c r="B45" s="270"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48</v>
      </c>
      <c r="B46" s="270"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48</v>
      </c>
      <c r="B47" s="270"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48</v>
      </c>
      <c r="B48" s="270"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48</v>
      </c>
      <c r="B49" s="270"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48</v>
      </c>
      <c r="B50" s="270"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48</v>
      </c>
      <c r="B51" s="270"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48</v>
      </c>
      <c r="B52" s="270"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48</v>
      </c>
      <c r="B53" s="270"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48</v>
      </c>
      <c r="B54" s="270"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48</v>
      </c>
      <c r="B55" s="270"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48</v>
      </c>
      <c r="B56" s="270"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48</v>
      </c>
      <c r="B57" s="270"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48</v>
      </c>
      <c r="B58" s="270"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48</v>
      </c>
      <c r="B59" s="270"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48</v>
      </c>
      <c r="B60" s="270"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48</v>
      </c>
      <c r="B61" s="270"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48</v>
      </c>
      <c r="B62" s="270"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48</v>
      </c>
      <c r="B63" s="270"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48</v>
      </c>
      <c r="B64" s="270"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48</v>
      </c>
      <c r="B65" s="270"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48</v>
      </c>
      <c r="B66" s="270"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48</v>
      </c>
      <c r="B67" s="270"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48</v>
      </c>
      <c r="B68" s="270"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48</v>
      </c>
      <c r="B69" s="270"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48</v>
      </c>
      <c r="B70" s="270"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48</v>
      </c>
      <c r="B71" s="270"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48</v>
      </c>
      <c r="B72" s="270"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48</v>
      </c>
      <c r="B73" s="270"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48</v>
      </c>
      <c r="B74" s="270"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48</v>
      </c>
      <c r="B75" s="270"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48</v>
      </c>
      <c r="B76" s="270"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48</v>
      </c>
      <c r="B77" s="270"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48</v>
      </c>
      <c r="B78" s="270"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48</v>
      </c>
      <c r="B79" s="270"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48</v>
      </c>
      <c r="B80" s="270"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48</v>
      </c>
      <c r="B81" s="270"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48</v>
      </c>
      <c r="B82" s="270"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48</v>
      </c>
      <c r="B83" s="270"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48</v>
      </c>
      <c r="B84" s="270"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48</v>
      </c>
      <c r="B85" s="270"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48</v>
      </c>
      <c r="B86" s="270"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48</v>
      </c>
      <c r="B87" s="270"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48</v>
      </c>
      <c r="B88" s="270"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48</v>
      </c>
      <c r="B89" s="270"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48</v>
      </c>
      <c r="B90" s="270"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48</v>
      </c>
      <c r="B91" s="270"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48</v>
      </c>
      <c r="B92" s="270"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48</v>
      </c>
      <c r="B93" s="270"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48</v>
      </c>
      <c r="B94" s="270"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48</v>
      </c>
      <c r="B95" s="270"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48</v>
      </c>
      <c r="B96" s="270"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48</v>
      </c>
      <c r="B97" s="270"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48</v>
      </c>
      <c r="B98" s="270"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48</v>
      </c>
      <c r="B99" s="270"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48</v>
      </c>
      <c r="B100" s="270"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48</v>
      </c>
      <c r="B101" s="270"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48</v>
      </c>
      <c r="B102" s="270"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48</v>
      </c>
      <c r="B103" s="270"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48</v>
      </c>
      <c r="B104" s="270"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48</v>
      </c>
      <c r="B105" s="270"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48</v>
      </c>
      <c r="B106" s="270"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48</v>
      </c>
      <c r="B107" s="270"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48</v>
      </c>
      <c r="B108" s="270"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48</v>
      </c>
      <c r="B109" s="270"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48</v>
      </c>
      <c r="B110" s="270"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48</v>
      </c>
      <c r="B111" s="270"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48</v>
      </c>
      <c r="B112" s="270"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48</v>
      </c>
      <c r="B113" s="270"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48</v>
      </c>
      <c r="B114" s="270"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48</v>
      </c>
      <c r="B115" s="270"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48</v>
      </c>
      <c r="B116" s="270"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48</v>
      </c>
      <c r="B117" s="270"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48</v>
      </c>
      <c r="B118" s="270"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48</v>
      </c>
      <c r="B119" s="270"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48</v>
      </c>
      <c r="B120" s="270"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48</v>
      </c>
      <c r="B121" s="270"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48</v>
      </c>
      <c r="B122" s="270"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48</v>
      </c>
      <c r="B123" s="270"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48</v>
      </c>
      <c r="B124" s="270"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48</v>
      </c>
      <c r="B125" s="270"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48</v>
      </c>
      <c r="B126" s="270"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48</v>
      </c>
      <c r="B127" s="270"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48</v>
      </c>
      <c r="B128" s="270"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48</v>
      </c>
      <c r="B129" s="270"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48</v>
      </c>
      <c r="B130" s="270"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48</v>
      </c>
      <c r="B131" s="270"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48</v>
      </c>
      <c r="B132" s="270"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48</v>
      </c>
      <c r="B133" s="270"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48</v>
      </c>
      <c r="B134" s="270"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48</v>
      </c>
      <c r="B135" s="270"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48</v>
      </c>
      <c r="B136" s="270"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48</v>
      </c>
      <c r="B137" s="270"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48</v>
      </c>
      <c r="B138" s="270"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48</v>
      </c>
      <c r="B139" s="270"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48</v>
      </c>
      <c r="B140" s="270"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48</v>
      </c>
      <c r="B141" s="270"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48</v>
      </c>
      <c r="B142" s="270"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48</v>
      </c>
      <c r="B143" s="270"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48</v>
      </c>
      <c r="B144" s="270"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48</v>
      </c>
      <c r="B145" s="270"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48</v>
      </c>
      <c r="B146" s="270"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48</v>
      </c>
      <c r="B147" s="270"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48</v>
      </c>
      <c r="B148" s="270"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48</v>
      </c>
      <c r="B149" s="270"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48</v>
      </c>
      <c r="B150" s="270"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48</v>
      </c>
      <c r="B151" s="270"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48</v>
      </c>
      <c r="B152" s="270"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48</v>
      </c>
      <c r="B153" s="270"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48</v>
      </c>
      <c r="B154" s="270"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48</v>
      </c>
      <c r="B155" s="270"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48</v>
      </c>
      <c r="B156" s="270"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48</v>
      </c>
      <c r="B157" s="270"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48</v>
      </c>
      <c r="B158" s="270"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48</v>
      </c>
      <c r="B159" s="270"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48</v>
      </c>
      <c r="B160" s="270"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48</v>
      </c>
      <c r="B161" s="270"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48</v>
      </c>
      <c r="B162" s="270"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48</v>
      </c>
      <c r="B163" s="270"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48</v>
      </c>
      <c r="B164" s="270"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48</v>
      </c>
      <c r="B165" s="270"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48</v>
      </c>
      <c r="B166" s="270"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48</v>
      </c>
      <c r="B167" s="270"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48</v>
      </c>
      <c r="B168" s="270"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48</v>
      </c>
      <c r="B169" s="270"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48</v>
      </c>
      <c r="B170" s="270"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48</v>
      </c>
      <c r="B171" s="270"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48</v>
      </c>
      <c r="B172" s="270"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48</v>
      </c>
      <c r="B173" s="270"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48</v>
      </c>
      <c r="B174" s="270"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48</v>
      </c>
      <c r="B175" s="270"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48</v>
      </c>
      <c r="B176" s="270"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48</v>
      </c>
      <c r="B177" s="270"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48</v>
      </c>
      <c r="B178" s="270"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48</v>
      </c>
      <c r="B179" s="270"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48</v>
      </c>
      <c r="B180" s="270"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48</v>
      </c>
      <c r="B181" s="270"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48</v>
      </c>
      <c r="B182" s="270"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48</v>
      </c>
      <c r="B183" s="270"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48</v>
      </c>
      <c r="B184" s="270"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48</v>
      </c>
      <c r="B185" s="270"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48</v>
      </c>
      <c r="B186" s="270"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48</v>
      </c>
      <c r="B187" s="270"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48</v>
      </c>
      <c r="B188" s="270"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48</v>
      </c>
      <c r="B189" s="270"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48</v>
      </c>
      <c r="B190" s="270"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48</v>
      </c>
      <c r="B191" s="270"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48</v>
      </c>
      <c r="B192" s="270"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48</v>
      </c>
      <c r="B193" s="270"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48</v>
      </c>
      <c r="B194" s="270"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48</v>
      </c>
      <c r="B195" s="270"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48</v>
      </c>
      <c r="B196" s="270"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48</v>
      </c>
      <c r="B197" s="270"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48</v>
      </c>
      <c r="B198" s="270"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48</v>
      </c>
      <c r="B199" s="270"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48</v>
      </c>
      <c r="B200" s="270"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48</v>
      </c>
      <c r="B201" s="270"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48</v>
      </c>
      <c r="B202" s="270"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48</v>
      </c>
      <c r="B203" s="270"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48</v>
      </c>
      <c r="B204" s="270"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48</v>
      </c>
      <c r="B205" s="270"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48</v>
      </c>
      <c r="B206" s="270"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48</v>
      </c>
      <c r="B207" s="270"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48</v>
      </c>
      <c r="B208" s="270"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48</v>
      </c>
      <c r="B209" s="270"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48</v>
      </c>
      <c r="B210" s="270"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48</v>
      </c>
      <c r="B211" s="270"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48</v>
      </c>
      <c r="B212" s="270"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48</v>
      </c>
      <c r="B213" s="270"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48</v>
      </c>
      <c r="B214" s="270"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48</v>
      </c>
      <c r="B215" s="270"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48</v>
      </c>
      <c r="B216" s="270"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48</v>
      </c>
      <c r="B217" s="270"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48</v>
      </c>
      <c r="B218" s="270"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48</v>
      </c>
      <c r="B219" s="270"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48</v>
      </c>
      <c r="B220" s="270"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48</v>
      </c>
      <c r="B221" s="270"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48</v>
      </c>
      <c r="B222" s="270"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48</v>
      </c>
      <c r="B223" s="270"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48</v>
      </c>
      <c r="B224" s="270"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48</v>
      </c>
      <c r="B225" s="270"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48</v>
      </c>
      <c r="B226" s="270"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48</v>
      </c>
      <c r="B227" s="270"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48</v>
      </c>
      <c r="B228" s="270"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48</v>
      </c>
      <c r="B229" s="270"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48</v>
      </c>
      <c r="B230" s="270"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48</v>
      </c>
      <c r="B231" s="270"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48</v>
      </c>
      <c r="B232" s="270"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48</v>
      </c>
      <c r="B233" s="270"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48</v>
      </c>
      <c r="B234" s="270"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48</v>
      </c>
      <c r="B235" s="270"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48</v>
      </c>
      <c r="B236" s="270"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48</v>
      </c>
      <c r="B237" s="270"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48</v>
      </c>
      <c r="B238" s="270"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48</v>
      </c>
      <c r="B239" s="270"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48</v>
      </c>
      <c r="B240" s="270"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48</v>
      </c>
      <c r="B241" s="270"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48</v>
      </c>
      <c r="B242" s="270"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48</v>
      </c>
      <c r="B243" s="270"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48</v>
      </c>
      <c r="B244" s="270"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48</v>
      </c>
      <c r="B245" s="270"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48</v>
      </c>
      <c r="B246" s="270"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48</v>
      </c>
      <c r="B247" s="270"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48</v>
      </c>
      <c r="B248" s="270"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48</v>
      </c>
      <c r="B249" s="270"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48</v>
      </c>
      <c r="B250" s="270"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48</v>
      </c>
      <c r="B251" s="270"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48</v>
      </c>
      <c r="B252" s="270"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48</v>
      </c>
      <c r="B253" s="270"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48</v>
      </c>
      <c r="B254" s="270"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48</v>
      </c>
      <c r="B255" s="270"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48</v>
      </c>
      <c r="B256" s="270"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48</v>
      </c>
      <c r="B257" s="270"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48</v>
      </c>
      <c r="B258" s="270"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48</v>
      </c>
      <c r="B259" s="270"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48</v>
      </c>
      <c r="B260" s="270"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48</v>
      </c>
      <c r="B261" s="270"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48</v>
      </c>
      <c r="B262" s="270"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48</v>
      </c>
      <c r="B263" s="270"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48</v>
      </c>
      <c r="B264" s="270"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48</v>
      </c>
      <c r="B265" s="270"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48</v>
      </c>
      <c r="B266" s="270"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48</v>
      </c>
      <c r="B267" s="270"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48</v>
      </c>
      <c r="B268" s="270"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48</v>
      </c>
      <c r="B269" s="270"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48</v>
      </c>
      <c r="B270" s="270"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48</v>
      </c>
      <c r="B271" s="270"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48</v>
      </c>
      <c r="B272" s="270"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48</v>
      </c>
      <c r="B273" s="270"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48</v>
      </c>
      <c r="B274" s="270"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48</v>
      </c>
      <c r="B275" s="270"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48</v>
      </c>
      <c r="B276" s="270"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48</v>
      </c>
      <c r="B277" s="270"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48</v>
      </c>
      <c r="B278" s="270"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48</v>
      </c>
      <c r="B279" s="270"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48</v>
      </c>
      <c r="B280" s="270"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48</v>
      </c>
      <c r="B281" s="270"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48</v>
      </c>
      <c r="B282" s="270"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48</v>
      </c>
      <c r="B283" s="270"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48</v>
      </c>
      <c r="B284" s="270"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48</v>
      </c>
      <c r="B285" s="270"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48</v>
      </c>
      <c r="B286" s="270"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48</v>
      </c>
      <c r="B287" s="270"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48</v>
      </c>
      <c r="B288" s="270"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48</v>
      </c>
      <c r="B289" s="270"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48</v>
      </c>
      <c r="B290" s="270"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48</v>
      </c>
      <c r="B291" s="270"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48</v>
      </c>
      <c r="B292" s="270"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48</v>
      </c>
      <c r="B293" s="270"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48</v>
      </c>
      <c r="B294" s="270"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48</v>
      </c>
      <c r="B295" s="270"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48</v>
      </c>
      <c r="B296" s="270"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48</v>
      </c>
      <c r="B297" s="270"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48</v>
      </c>
      <c r="B298" s="270"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48</v>
      </c>
      <c r="B299" s="270"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48</v>
      </c>
      <c r="B300" s="270"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48</v>
      </c>
      <c r="B301" s="270"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48</v>
      </c>
      <c r="B302" s="270"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48</v>
      </c>
      <c r="B303" s="270"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48</v>
      </c>
      <c r="B304" s="270"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48</v>
      </c>
      <c r="B305" s="270"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48</v>
      </c>
      <c r="B306" s="270"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48</v>
      </c>
      <c r="B307" s="270"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48</v>
      </c>
      <c r="B308" s="270"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48</v>
      </c>
      <c r="B309" s="270"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48</v>
      </c>
      <c r="B310" s="270"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48</v>
      </c>
      <c r="B311" s="270"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48</v>
      </c>
      <c r="B312" s="270"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48</v>
      </c>
      <c r="B313" s="270"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48</v>
      </c>
      <c r="B314" s="270"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48</v>
      </c>
      <c r="B315" s="270"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48</v>
      </c>
      <c r="B316" s="270"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48</v>
      </c>
      <c r="B317" s="270"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48</v>
      </c>
      <c r="B318" s="270"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48</v>
      </c>
      <c r="B319" s="270"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48</v>
      </c>
      <c r="B320" s="270"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48</v>
      </c>
      <c r="B321" s="270"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48</v>
      </c>
      <c r="B322" s="270"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48</v>
      </c>
      <c r="B323" s="270"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48</v>
      </c>
      <c r="B324" s="270"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48</v>
      </c>
      <c r="B325" s="270"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48</v>
      </c>
      <c r="B326" s="270"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48</v>
      </c>
      <c r="B327" s="270"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48</v>
      </c>
      <c r="B328" s="270"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48</v>
      </c>
      <c r="B329" s="270"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48</v>
      </c>
      <c r="B330" s="270"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48</v>
      </c>
      <c r="B331" s="270"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48</v>
      </c>
      <c r="B332" s="270"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48</v>
      </c>
      <c r="B333" s="270"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48</v>
      </c>
      <c r="B334" s="270"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48</v>
      </c>
      <c r="B335" s="270"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48</v>
      </c>
      <c r="B336" s="270"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48</v>
      </c>
      <c r="B337" s="270"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48</v>
      </c>
      <c r="B338" s="270"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48</v>
      </c>
      <c r="B339" s="270"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48</v>
      </c>
      <c r="B340" s="270"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48</v>
      </c>
      <c r="B341" s="270"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48</v>
      </c>
      <c r="B342" s="270"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48</v>
      </c>
      <c r="B343" s="270"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48</v>
      </c>
      <c r="B344" s="270"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48</v>
      </c>
      <c r="B345" s="270"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48</v>
      </c>
      <c r="B346" s="270"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48</v>
      </c>
      <c r="B347" s="270"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48</v>
      </c>
      <c r="B348" s="270"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48</v>
      </c>
      <c r="B349" s="270"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48</v>
      </c>
      <c r="B350" s="270"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48</v>
      </c>
      <c r="B351" s="270"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48</v>
      </c>
      <c r="B352" s="270"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48</v>
      </c>
      <c r="B353" s="270"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48</v>
      </c>
      <c r="B354" s="270"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48</v>
      </c>
      <c r="B355" s="270"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48</v>
      </c>
      <c r="B356" s="270"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48</v>
      </c>
      <c r="B357" s="270"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48</v>
      </c>
      <c r="B358" s="270"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48</v>
      </c>
      <c r="B359" s="270"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48</v>
      </c>
      <c r="B360" s="270"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48</v>
      </c>
      <c r="B361" s="270"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48</v>
      </c>
      <c r="B362" s="270"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48</v>
      </c>
      <c r="B363" s="270"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48</v>
      </c>
      <c r="B364" s="270"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48</v>
      </c>
      <c r="B365" s="270"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48</v>
      </c>
      <c r="B366" s="270"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48</v>
      </c>
      <c r="B367" s="270"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48</v>
      </c>
      <c r="B368" s="270"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48</v>
      </c>
      <c r="B369" s="270"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48</v>
      </c>
      <c r="B370" s="270"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48</v>
      </c>
      <c r="B371" s="270"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48</v>
      </c>
      <c r="B372" s="270"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48</v>
      </c>
      <c r="B373" s="270"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48</v>
      </c>
      <c r="B374" s="270"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48</v>
      </c>
      <c r="B375" s="270"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48</v>
      </c>
      <c r="B376" s="270"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48</v>
      </c>
      <c r="B377" s="270"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48</v>
      </c>
      <c r="B378" s="270"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48</v>
      </c>
      <c r="B379" s="270"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48</v>
      </c>
      <c r="B380" s="270"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48</v>
      </c>
      <c r="B381" s="270"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48</v>
      </c>
      <c r="B382" s="270"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48</v>
      </c>
      <c r="B383" s="270"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48</v>
      </c>
      <c r="B384" s="270"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48</v>
      </c>
      <c r="B385" s="270"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48</v>
      </c>
      <c r="B386" s="270"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48</v>
      </c>
      <c r="B387" s="270"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48</v>
      </c>
      <c r="B388" s="270"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48</v>
      </c>
      <c r="B389" s="270"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48</v>
      </c>
      <c r="B390" s="270"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48</v>
      </c>
      <c r="B391" s="270"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48</v>
      </c>
      <c r="B392" s="270"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48</v>
      </c>
      <c r="B393" s="270"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48</v>
      </c>
      <c r="B394" s="270"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48</v>
      </c>
      <c r="B395" s="270"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48</v>
      </c>
      <c r="B396" s="270"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48</v>
      </c>
      <c r="B397" s="270"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48</v>
      </c>
      <c r="B398" s="270"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48</v>
      </c>
      <c r="B399" s="270"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48</v>
      </c>
      <c r="B400" s="270"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48</v>
      </c>
      <c r="B401" s="270"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48</v>
      </c>
      <c r="B402" s="270"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48</v>
      </c>
      <c r="B403" s="270"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48</v>
      </c>
      <c r="B404" s="270"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48</v>
      </c>
      <c r="B405" s="270"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48</v>
      </c>
      <c r="B406" s="270"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48</v>
      </c>
      <c r="B407" s="270"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48</v>
      </c>
      <c r="B408" s="270"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48</v>
      </c>
      <c r="B409" s="270"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48</v>
      </c>
      <c r="B410" s="270"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48</v>
      </c>
      <c r="B411" s="270"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48</v>
      </c>
      <c r="B412" s="270"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48</v>
      </c>
      <c r="B413" s="270"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48</v>
      </c>
      <c r="B414" s="270"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48</v>
      </c>
      <c r="B415" s="270"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48</v>
      </c>
      <c r="B416" s="270"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48</v>
      </c>
      <c r="B417" s="270"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48</v>
      </c>
      <c r="B418" s="270"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48</v>
      </c>
      <c r="B419" s="270"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48</v>
      </c>
      <c r="B420" s="270"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48</v>
      </c>
      <c r="B421" s="270"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48</v>
      </c>
      <c r="B422" s="270"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48</v>
      </c>
      <c r="B423" s="270"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48</v>
      </c>
      <c r="B424" s="270"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48</v>
      </c>
      <c r="B425" s="270"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48</v>
      </c>
      <c r="B426" s="270"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48</v>
      </c>
      <c r="B427" s="270"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48</v>
      </c>
      <c r="B428" s="270"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48</v>
      </c>
      <c r="B429" s="270"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48</v>
      </c>
      <c r="B430" s="270"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48</v>
      </c>
      <c r="B431" s="270"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48</v>
      </c>
      <c r="B432" s="270"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48</v>
      </c>
      <c r="B433" s="270"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48</v>
      </c>
      <c r="B434" s="270"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48</v>
      </c>
      <c r="B435" s="270"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48</v>
      </c>
      <c r="B436" s="270"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48</v>
      </c>
      <c r="B437" s="270"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48</v>
      </c>
      <c r="B438" s="270"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48</v>
      </c>
      <c r="B439" s="270"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48</v>
      </c>
      <c r="B440" s="270"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48</v>
      </c>
      <c r="B441" s="270"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48</v>
      </c>
      <c r="B442" s="270"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48</v>
      </c>
      <c r="B443" s="270"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48</v>
      </c>
      <c r="B444" s="270"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48</v>
      </c>
      <c r="B445" s="270"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48</v>
      </c>
      <c r="B446" s="270"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48</v>
      </c>
      <c r="B447" s="270"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48</v>
      </c>
      <c r="B448" s="270"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48</v>
      </c>
      <c r="B449" s="270"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48</v>
      </c>
      <c r="B450" s="270"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48</v>
      </c>
      <c r="B451" s="270"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48</v>
      </c>
      <c r="B452" s="270"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48</v>
      </c>
      <c r="B453" s="270"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48</v>
      </c>
      <c r="B454" s="270"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48</v>
      </c>
      <c r="B455" s="270"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48</v>
      </c>
      <c r="B456" s="270"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48</v>
      </c>
      <c r="B457" s="270"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48</v>
      </c>
      <c r="B458" s="270"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48</v>
      </c>
      <c r="B459" s="270"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48</v>
      </c>
      <c r="B460" s="270"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48</v>
      </c>
      <c r="B461" s="270"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48</v>
      </c>
      <c r="B462" s="270"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48</v>
      </c>
      <c r="B463" s="270"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48</v>
      </c>
      <c r="B464" s="270"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48</v>
      </c>
      <c r="B465" s="270"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48</v>
      </c>
      <c r="B466" s="270"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48</v>
      </c>
      <c r="B467" s="270"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48</v>
      </c>
      <c r="B468" s="270"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48</v>
      </c>
      <c r="B469" s="270"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48</v>
      </c>
      <c r="B470" s="270"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48</v>
      </c>
      <c r="B471" s="270"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48</v>
      </c>
      <c r="B472" s="270"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48</v>
      </c>
      <c r="B473" s="270"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48</v>
      </c>
      <c r="B474" s="270"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48</v>
      </c>
      <c r="B475" s="270"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48</v>
      </c>
      <c r="B476" s="270"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48</v>
      </c>
      <c r="B477" s="270"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48</v>
      </c>
      <c r="B478" s="270"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48</v>
      </c>
      <c r="B479" s="270"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48</v>
      </c>
      <c r="B480" s="270"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48</v>
      </c>
      <c r="B481" s="270"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48</v>
      </c>
      <c r="B482" s="270"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48</v>
      </c>
      <c r="B483" s="270"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48</v>
      </c>
      <c r="B484" s="270"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48</v>
      </c>
      <c r="B485" s="270"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48</v>
      </c>
      <c r="B486" s="270"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48</v>
      </c>
      <c r="B487" s="270"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48</v>
      </c>
      <c r="B488" s="270"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48</v>
      </c>
      <c r="B489" s="270"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48</v>
      </c>
      <c r="B490" s="270"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48</v>
      </c>
      <c r="B491" s="270"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48</v>
      </c>
      <c r="B492" s="270"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48</v>
      </c>
      <c r="B493" s="270"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48</v>
      </c>
      <c r="B494" s="270"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48</v>
      </c>
      <c r="B495" s="270"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48</v>
      </c>
      <c r="B496" s="270"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48</v>
      </c>
      <c r="B497" s="270"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48</v>
      </c>
      <c r="B498" s="270"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48</v>
      </c>
      <c r="B499" s="270"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48</v>
      </c>
      <c r="B500" s="270"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48</v>
      </c>
      <c r="B501" s="270"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48</v>
      </c>
      <c r="B502" s="270"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48</v>
      </c>
      <c r="B503" s="270"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48</v>
      </c>
      <c r="B504" s="270"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48</v>
      </c>
      <c r="B505" s="270"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48</v>
      </c>
      <c r="B506" s="270"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48</v>
      </c>
      <c r="B507" s="270"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48</v>
      </c>
      <c r="B508" s="270"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48</v>
      </c>
      <c r="B509" s="270"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48</v>
      </c>
      <c r="B510" s="270"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48</v>
      </c>
      <c r="B511" s="270"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48</v>
      </c>
      <c r="B512" s="270"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48</v>
      </c>
      <c r="B513" s="270"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48</v>
      </c>
      <c r="B514" s="270"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48</v>
      </c>
      <c r="B515" s="270"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48</v>
      </c>
      <c r="B516" s="270"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48</v>
      </c>
      <c r="B517" s="270"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48</v>
      </c>
      <c r="B518" s="270"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48</v>
      </c>
      <c r="B519" s="270"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48</v>
      </c>
      <c r="B520" s="270"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48</v>
      </c>
      <c r="B521" s="270"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48</v>
      </c>
      <c r="B522" s="270"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48</v>
      </c>
      <c r="B523" s="270"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48</v>
      </c>
      <c r="B524" s="270"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48</v>
      </c>
      <c r="B525" s="270"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48</v>
      </c>
      <c r="B526" s="270"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48</v>
      </c>
      <c r="B527" s="270"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48</v>
      </c>
      <c r="B528" s="270"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48</v>
      </c>
      <c r="B529" s="270"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48</v>
      </c>
      <c r="B530" s="270"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48</v>
      </c>
      <c r="B531" s="270"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48</v>
      </c>
      <c r="B532" s="270"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48</v>
      </c>
      <c r="B533" s="270"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48</v>
      </c>
      <c r="B534" s="270"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48</v>
      </c>
      <c r="B535" s="270"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48</v>
      </c>
      <c r="B536" s="270"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48</v>
      </c>
      <c r="B537" s="270"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48</v>
      </c>
      <c r="B538" s="270"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48</v>
      </c>
      <c r="B539" s="270"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48</v>
      </c>
      <c r="B540" s="270"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48</v>
      </c>
      <c r="B541" s="270"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48</v>
      </c>
      <c r="B542" s="270"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48</v>
      </c>
      <c r="B543" s="270"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48</v>
      </c>
      <c r="B544" s="270"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48</v>
      </c>
      <c r="B545" s="270"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48</v>
      </c>
      <c r="B546" s="270"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48</v>
      </c>
      <c r="B547" s="270"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48</v>
      </c>
      <c r="B548" s="270"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48</v>
      </c>
      <c r="B549" s="270"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48</v>
      </c>
      <c r="B550" s="270"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48</v>
      </c>
      <c r="B551" s="270"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48</v>
      </c>
      <c r="B552" s="270"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48</v>
      </c>
      <c r="B553" s="270"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48</v>
      </c>
      <c r="B554" s="270"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48</v>
      </c>
      <c r="B555" s="270"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48</v>
      </c>
      <c r="B556" s="270"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48</v>
      </c>
      <c r="B557" s="270"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48</v>
      </c>
      <c r="B558" s="270"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48</v>
      </c>
      <c r="B559" s="270"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48</v>
      </c>
      <c r="B560" s="270"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48</v>
      </c>
      <c r="B561" s="270"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48</v>
      </c>
      <c r="B562" s="270"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48</v>
      </c>
      <c r="B563" s="270"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48</v>
      </c>
      <c r="B564" s="270"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48</v>
      </c>
      <c r="B565" s="270"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48</v>
      </c>
      <c r="B566" s="270"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48</v>
      </c>
      <c r="B567" s="270"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48</v>
      </c>
      <c r="B568" s="270"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48</v>
      </c>
      <c r="B569" s="270"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48</v>
      </c>
      <c r="B570" s="270"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48</v>
      </c>
      <c r="B571" s="270"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48</v>
      </c>
      <c r="B572" s="270"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48</v>
      </c>
      <c r="B573" s="270"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48</v>
      </c>
      <c r="B574" s="270"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48</v>
      </c>
      <c r="B575" s="270"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48</v>
      </c>
      <c r="B576" s="270"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48</v>
      </c>
      <c r="B577" s="270"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48</v>
      </c>
      <c r="B578" s="270"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48</v>
      </c>
      <c r="B579" s="270"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48</v>
      </c>
      <c r="B580" s="270"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48</v>
      </c>
      <c r="B581" s="270"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48</v>
      </c>
      <c r="B582" s="270"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48</v>
      </c>
      <c r="B583" s="270"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48</v>
      </c>
      <c r="B584" s="270"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48</v>
      </c>
      <c r="B585" s="270"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48</v>
      </c>
      <c r="B586" s="270"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48</v>
      </c>
      <c r="B587" s="270"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48</v>
      </c>
      <c r="B588" s="270"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48</v>
      </c>
      <c r="B589" s="270"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48</v>
      </c>
      <c r="B590" s="270"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48</v>
      </c>
      <c r="B591" s="270"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48</v>
      </c>
      <c r="B592" s="270"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48</v>
      </c>
      <c r="B593" s="270"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48</v>
      </c>
      <c r="B594" s="270"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48</v>
      </c>
      <c r="B595" s="270"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48</v>
      </c>
      <c r="B596" s="270"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48</v>
      </c>
      <c r="B597" s="270"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48</v>
      </c>
      <c r="B598" s="270"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48</v>
      </c>
      <c r="B599" s="270"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48</v>
      </c>
      <c r="B600" s="270"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48</v>
      </c>
      <c r="B601" s="270"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48</v>
      </c>
      <c r="B602" s="270"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48</v>
      </c>
      <c r="B603" s="270"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48</v>
      </c>
      <c r="B604" s="270"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48</v>
      </c>
      <c r="B605" s="270"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48</v>
      </c>
      <c r="B606" s="270"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48</v>
      </c>
      <c r="B607" s="270"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48</v>
      </c>
      <c r="B608" s="270"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48</v>
      </c>
      <c r="B609" s="270"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48</v>
      </c>
      <c r="B610" s="270"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48</v>
      </c>
      <c r="B611" s="270"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48</v>
      </c>
      <c r="B612" s="270"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48</v>
      </c>
      <c r="B613" s="270"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48</v>
      </c>
      <c r="B614" s="270"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48</v>
      </c>
      <c r="B615" s="270"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48</v>
      </c>
      <c r="B616" s="270"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48</v>
      </c>
      <c r="B617" s="270"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48</v>
      </c>
      <c r="B618" s="270"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48</v>
      </c>
      <c r="B619" s="270"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48</v>
      </c>
      <c r="B620" s="270"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48</v>
      </c>
      <c r="B621" s="270"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48</v>
      </c>
      <c r="B622" s="270"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48</v>
      </c>
      <c r="B623" s="270"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48</v>
      </c>
      <c r="B624" s="270"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48</v>
      </c>
      <c r="B625" s="270"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48</v>
      </c>
      <c r="B626" s="270"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48</v>
      </c>
      <c r="B627" s="270"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48</v>
      </c>
      <c r="B628" s="270"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48</v>
      </c>
      <c r="B629" s="270"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48</v>
      </c>
      <c r="B630" s="270"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48</v>
      </c>
      <c r="B631" s="270"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48</v>
      </c>
      <c r="B632" s="270"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48</v>
      </c>
      <c r="B633" s="270"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48</v>
      </c>
      <c r="B634" s="270"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48</v>
      </c>
      <c r="B635" s="270"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48</v>
      </c>
      <c r="B636" s="270"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48</v>
      </c>
      <c r="B637" s="270"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48</v>
      </c>
      <c r="B638" s="270"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48</v>
      </c>
      <c r="B639" s="270"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48</v>
      </c>
      <c r="B640" s="270"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48</v>
      </c>
      <c r="B641" s="270"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48</v>
      </c>
      <c r="B642" s="270"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48</v>
      </c>
      <c r="B643" s="270"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48</v>
      </c>
      <c r="B644" s="270"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48</v>
      </c>
      <c r="B645" s="270"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48</v>
      </c>
      <c r="B646" s="270"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48</v>
      </c>
      <c r="B647" s="270"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48</v>
      </c>
      <c r="B648" s="270"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48</v>
      </c>
      <c r="B649" s="270"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48</v>
      </c>
      <c r="B650" s="270"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48</v>
      </c>
      <c r="B651" s="270"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48</v>
      </c>
      <c r="B652" s="270"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48</v>
      </c>
      <c r="B653" s="270"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48</v>
      </c>
      <c r="B654" s="270"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48</v>
      </c>
      <c r="B655" s="270"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48</v>
      </c>
      <c r="B656" s="270"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48</v>
      </c>
      <c r="B657" s="270"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48</v>
      </c>
      <c r="B658" s="270"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48</v>
      </c>
      <c r="B659" s="270"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48</v>
      </c>
      <c r="B660" s="270"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48</v>
      </c>
      <c r="B661" s="270"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48</v>
      </c>
      <c r="B662" s="270"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48</v>
      </c>
      <c r="B663" s="270"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48</v>
      </c>
      <c r="B664" s="270"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48</v>
      </c>
      <c r="B665" s="270"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48</v>
      </c>
      <c r="B666" s="270"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48</v>
      </c>
      <c r="B667" s="270"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48</v>
      </c>
      <c r="B668" s="270"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48</v>
      </c>
      <c r="B669" s="270"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48</v>
      </c>
      <c r="B670" s="270"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48</v>
      </c>
      <c r="B671" s="270"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48</v>
      </c>
      <c r="B672" s="270"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48</v>
      </c>
      <c r="B673" s="270"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48</v>
      </c>
      <c r="B674" s="270"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48</v>
      </c>
      <c r="B675" s="270"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48</v>
      </c>
      <c r="B676" s="270"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48</v>
      </c>
      <c r="B677" s="270"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48</v>
      </c>
      <c r="B678" s="270"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48</v>
      </c>
      <c r="B679" s="270"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48</v>
      </c>
      <c r="B680" s="270"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48</v>
      </c>
      <c r="B681" s="270"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48</v>
      </c>
      <c r="B682" s="270"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48</v>
      </c>
      <c r="B683" s="270"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48</v>
      </c>
      <c r="B684" s="270"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48</v>
      </c>
      <c r="B685" s="270"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48</v>
      </c>
      <c r="B686" s="270"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48</v>
      </c>
      <c r="B687" s="270"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48</v>
      </c>
      <c r="B688" s="270"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48</v>
      </c>
      <c r="B689" s="270"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48</v>
      </c>
      <c r="B690" s="270"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48</v>
      </c>
      <c r="B691" s="270"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48</v>
      </c>
      <c r="B692" s="270"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48</v>
      </c>
      <c r="B693" s="270"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48</v>
      </c>
      <c r="B694" s="270"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48</v>
      </c>
      <c r="B695" s="270"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48</v>
      </c>
      <c r="B696" s="270"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48</v>
      </c>
      <c r="B697" s="270"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48</v>
      </c>
      <c r="B698" s="270"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48</v>
      </c>
      <c r="B699" s="270"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48</v>
      </c>
      <c r="B700" s="270"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48</v>
      </c>
      <c r="B701" s="270"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48</v>
      </c>
      <c r="B702" s="270"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48</v>
      </c>
      <c r="B703" s="270"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48</v>
      </c>
      <c r="B704" s="270"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48</v>
      </c>
      <c r="B705" s="270"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48</v>
      </c>
      <c r="B706" s="270"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48</v>
      </c>
      <c r="B707" s="270"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48</v>
      </c>
      <c r="B708" s="270"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48</v>
      </c>
      <c r="B709" s="270"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48</v>
      </c>
      <c r="B710" s="270"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48</v>
      </c>
      <c r="B711" s="270"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48</v>
      </c>
      <c r="B712" s="270"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48</v>
      </c>
      <c r="B713" s="270"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48</v>
      </c>
      <c r="B714" s="270"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48</v>
      </c>
      <c r="B715" s="270"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48</v>
      </c>
      <c r="B716" s="270"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48</v>
      </c>
      <c r="B717" s="270"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48</v>
      </c>
      <c r="B718" s="270"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48</v>
      </c>
      <c r="B719" s="270"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48</v>
      </c>
      <c r="B720" s="270"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48</v>
      </c>
      <c r="B721" s="270"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48</v>
      </c>
      <c r="B722" s="270"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48</v>
      </c>
      <c r="B723" s="270"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48</v>
      </c>
      <c r="B724" s="270"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48</v>
      </c>
      <c r="B725" s="270"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48</v>
      </c>
      <c r="B726" s="270"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48</v>
      </c>
      <c r="B727" s="270"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48</v>
      </c>
      <c r="B728" s="270"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48</v>
      </c>
      <c r="B729" s="270"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48</v>
      </c>
      <c r="B730" s="270"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48</v>
      </c>
      <c r="B731" s="270"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48</v>
      </c>
      <c r="B732" s="270"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48</v>
      </c>
      <c r="B733" s="270"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48</v>
      </c>
      <c r="B734" s="270"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48</v>
      </c>
      <c r="B735" s="270"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48</v>
      </c>
      <c r="B736" s="270"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48</v>
      </c>
      <c r="B737" s="270"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48</v>
      </c>
      <c r="B738" s="270"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48</v>
      </c>
      <c r="B739" s="270"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48</v>
      </c>
      <c r="B740" s="270"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48</v>
      </c>
      <c r="B741" s="270"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48</v>
      </c>
      <c r="B742" s="270"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48</v>
      </c>
      <c r="B743" s="270"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48</v>
      </c>
      <c r="B744" s="270"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48</v>
      </c>
      <c r="B745" s="270"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48</v>
      </c>
      <c r="B746" s="270"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48</v>
      </c>
      <c r="B747" s="270"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48</v>
      </c>
      <c r="B748" s="270"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48</v>
      </c>
      <c r="B749" s="270"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48</v>
      </c>
      <c r="B750" s="270"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48</v>
      </c>
      <c r="B751" s="270"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48</v>
      </c>
      <c r="B752" s="270"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48</v>
      </c>
      <c r="B753" s="270"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48</v>
      </c>
      <c r="B754" s="270"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48</v>
      </c>
      <c r="B755" s="270"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48</v>
      </c>
      <c r="B756" s="270"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48</v>
      </c>
      <c r="B757" s="270"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48</v>
      </c>
      <c r="B758" s="270"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48</v>
      </c>
      <c r="B759" s="270"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48</v>
      </c>
      <c r="B760" s="270"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48</v>
      </c>
      <c r="B761" s="270"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48</v>
      </c>
      <c r="B762" s="270"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48</v>
      </c>
      <c r="B763" s="270"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48</v>
      </c>
      <c r="B764" s="270"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48</v>
      </c>
      <c r="B765" s="270"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48</v>
      </c>
      <c r="B766" s="270"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48</v>
      </c>
      <c r="B767" s="270"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48</v>
      </c>
      <c r="B768" s="270"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48</v>
      </c>
      <c r="B769" s="270"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48</v>
      </c>
      <c r="B770" s="270"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48</v>
      </c>
      <c r="B771" s="270"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48</v>
      </c>
      <c r="B772" s="270"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48</v>
      </c>
      <c r="B773" s="270"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48</v>
      </c>
      <c r="B774" s="270"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48</v>
      </c>
      <c r="B775" s="270"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48</v>
      </c>
      <c r="B776" s="270"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48</v>
      </c>
      <c r="B777" s="270"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48</v>
      </c>
      <c r="B778" s="270"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48</v>
      </c>
      <c r="B779" s="270"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48</v>
      </c>
      <c r="B780" s="270"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48</v>
      </c>
      <c r="B781" s="270"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48</v>
      </c>
      <c r="B782" s="270"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48</v>
      </c>
      <c r="B783" s="270"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48</v>
      </c>
      <c r="B784" s="270"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48</v>
      </c>
      <c r="B785" s="270"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48</v>
      </c>
      <c r="B786" s="270"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48</v>
      </c>
      <c r="B787" s="270"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48</v>
      </c>
      <c r="B788" s="270"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48</v>
      </c>
      <c r="B789" s="270"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48</v>
      </c>
      <c r="B790" s="270"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48</v>
      </c>
      <c r="B791" s="270"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48</v>
      </c>
      <c r="B792" s="270"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48</v>
      </c>
      <c r="B793" s="270"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48</v>
      </c>
      <c r="B794" s="270"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48</v>
      </c>
      <c r="B795" s="270"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48</v>
      </c>
      <c r="B796" s="270"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48</v>
      </c>
      <c r="B797" s="270"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48</v>
      </c>
      <c r="B798" s="270"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48</v>
      </c>
      <c r="B799" s="270"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48</v>
      </c>
      <c r="B800" s="270"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48</v>
      </c>
      <c r="B801" s="270"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48</v>
      </c>
      <c r="B802" s="270"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48</v>
      </c>
      <c r="B803" s="270"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48</v>
      </c>
      <c r="B804" s="270"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48</v>
      </c>
      <c r="B805" s="270"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48</v>
      </c>
      <c r="B806" s="270"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48</v>
      </c>
      <c r="B807" s="270"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48</v>
      </c>
      <c r="B808" s="270"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48</v>
      </c>
      <c r="B809" s="270"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48</v>
      </c>
      <c r="B810" s="270"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48</v>
      </c>
      <c r="B811" s="270"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48</v>
      </c>
      <c r="B812" s="270"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48</v>
      </c>
      <c r="B813" s="270"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48</v>
      </c>
      <c r="B814" s="270"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48</v>
      </c>
      <c r="B815" s="270"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48</v>
      </c>
      <c r="B816" s="270"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48</v>
      </c>
      <c r="B817" s="270"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48</v>
      </c>
      <c r="B818" s="270"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48</v>
      </c>
      <c r="B819" s="270"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48</v>
      </c>
      <c r="B820" s="270"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48</v>
      </c>
      <c r="B821" s="270"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48</v>
      </c>
      <c r="B822" s="270"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48</v>
      </c>
      <c r="B823" s="270"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48</v>
      </c>
      <c r="B824" s="270"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48</v>
      </c>
      <c r="B825" s="270"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48</v>
      </c>
      <c r="B826" s="270"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48</v>
      </c>
      <c r="B827" s="270"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48</v>
      </c>
      <c r="B828" s="270"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48</v>
      </c>
      <c r="B829" s="270"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48</v>
      </c>
      <c r="B830" s="270"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48</v>
      </c>
      <c r="B831" s="270"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48</v>
      </c>
      <c r="B832" s="270"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48</v>
      </c>
      <c r="B833" s="270"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48</v>
      </c>
      <c r="B834" s="270"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48</v>
      </c>
      <c r="B835" s="270"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48</v>
      </c>
      <c r="B836" s="270"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48</v>
      </c>
      <c r="B837" s="270"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48</v>
      </c>
      <c r="B838" s="270"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48</v>
      </c>
      <c r="B839" s="270"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48</v>
      </c>
      <c r="B840" s="270"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48</v>
      </c>
      <c r="B841" s="270"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48</v>
      </c>
      <c r="B842" s="270"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48</v>
      </c>
      <c r="B843" s="270"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48</v>
      </c>
      <c r="B844" s="270"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48</v>
      </c>
      <c r="B845" s="270"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48</v>
      </c>
      <c r="B846" s="270"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48</v>
      </c>
      <c r="B847" s="270"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48</v>
      </c>
      <c r="B848" s="270"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48</v>
      </c>
      <c r="B849" s="270"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48</v>
      </c>
      <c r="B850" s="270"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48</v>
      </c>
      <c r="B851" s="270"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48</v>
      </c>
      <c r="B852" s="270"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48</v>
      </c>
      <c r="B853" s="270"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48</v>
      </c>
      <c r="B854" s="270"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48</v>
      </c>
      <c r="B855" s="270"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48</v>
      </c>
      <c r="B856" s="270"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48</v>
      </c>
      <c r="B857" s="270"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48</v>
      </c>
      <c r="B858" s="270"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48</v>
      </c>
      <c r="B859" s="270"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48</v>
      </c>
      <c r="B860" s="270"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48</v>
      </c>
      <c r="B861" s="270"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48</v>
      </c>
      <c r="B862" s="270"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48</v>
      </c>
      <c r="B863" s="270"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48</v>
      </c>
      <c r="B864" s="270"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48</v>
      </c>
      <c r="B865" s="270"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48</v>
      </c>
      <c r="B866" s="270"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48</v>
      </c>
      <c r="B867" s="270"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48</v>
      </c>
      <c r="B868" s="270"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48</v>
      </c>
      <c r="B869" s="270"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48</v>
      </c>
      <c r="B870" s="270"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48</v>
      </c>
      <c r="B871" s="270"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48</v>
      </c>
      <c r="B872" s="270"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48</v>
      </c>
      <c r="B873" s="270"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48</v>
      </c>
      <c r="B874" s="270"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48</v>
      </c>
      <c r="B875" s="270"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48</v>
      </c>
      <c r="B876" s="270"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48</v>
      </c>
      <c r="B877" s="270"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48</v>
      </c>
      <c r="B878" s="270"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48</v>
      </c>
      <c r="B879" s="270"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48</v>
      </c>
      <c r="B880" s="270"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48</v>
      </c>
      <c r="B881" s="270"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48</v>
      </c>
      <c r="B882" s="270"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48</v>
      </c>
      <c r="B883" s="270"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48</v>
      </c>
      <c r="B884" s="270"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48</v>
      </c>
      <c r="B885" s="270"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48</v>
      </c>
      <c r="B886" s="270"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48</v>
      </c>
      <c r="B887" s="270"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48</v>
      </c>
      <c r="B888" s="270"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48</v>
      </c>
      <c r="B889" s="270"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48</v>
      </c>
      <c r="B890" s="270"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48</v>
      </c>
      <c r="B891" s="270"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48</v>
      </c>
      <c r="B892" s="270"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48</v>
      </c>
      <c r="B893" s="270"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48</v>
      </c>
      <c r="B894" s="270"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48</v>
      </c>
      <c r="B895" s="270"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48</v>
      </c>
      <c r="B896" s="270"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48</v>
      </c>
      <c r="B897" s="270"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48</v>
      </c>
      <c r="B898" s="270"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48</v>
      </c>
      <c r="B899" s="270"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48</v>
      </c>
      <c r="B900" s="270"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48</v>
      </c>
      <c r="B901" s="270"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48</v>
      </c>
      <c r="B902" s="270"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48</v>
      </c>
      <c r="B903" s="270"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48</v>
      </c>
      <c r="B904" s="270"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48</v>
      </c>
      <c r="B905" s="270"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48</v>
      </c>
      <c r="B906" s="270"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48</v>
      </c>
      <c r="B907" s="270"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48</v>
      </c>
      <c r="B908" s="270"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48</v>
      </c>
      <c r="B909" s="270"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48</v>
      </c>
      <c r="B910" s="270"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48</v>
      </c>
      <c r="B911" s="270"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48</v>
      </c>
      <c r="B912" s="270"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48</v>
      </c>
      <c r="B913" s="270"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48</v>
      </c>
      <c r="B914" s="270"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48</v>
      </c>
      <c r="B915" s="270"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48</v>
      </c>
      <c r="B916" s="270"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48</v>
      </c>
      <c r="B917" s="270"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48</v>
      </c>
      <c r="B918" s="270"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48</v>
      </c>
      <c r="B919" s="270"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48</v>
      </c>
      <c r="B920" s="270"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48</v>
      </c>
      <c r="B921" s="270"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48</v>
      </c>
      <c r="B922" s="270"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48</v>
      </c>
      <c r="B923" s="270"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48</v>
      </c>
      <c r="B924" s="270"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48</v>
      </c>
      <c r="B925" s="270"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48</v>
      </c>
      <c r="B926" s="270"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48</v>
      </c>
      <c r="B927" s="270"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48</v>
      </c>
      <c r="B928" s="270"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48</v>
      </c>
      <c r="B929" s="270"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48</v>
      </c>
      <c r="B930" s="270"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48</v>
      </c>
      <c r="B931" s="270"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48</v>
      </c>
      <c r="B932" s="270"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48</v>
      </c>
      <c r="B933" s="270"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48</v>
      </c>
      <c r="B934" s="270"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48</v>
      </c>
      <c r="B935" s="270"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48</v>
      </c>
      <c r="B936" s="270"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48</v>
      </c>
      <c r="B937" s="270"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48</v>
      </c>
      <c r="B938" s="270"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48</v>
      </c>
      <c r="B939" s="270"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48</v>
      </c>
      <c r="B940" s="270"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48</v>
      </c>
      <c r="B941" s="270"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48</v>
      </c>
      <c r="B942" s="270"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48</v>
      </c>
      <c r="B943" s="270"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48</v>
      </c>
      <c r="B944" s="270"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48</v>
      </c>
      <c r="B945" s="270"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48</v>
      </c>
      <c r="B946" s="270"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48</v>
      </c>
      <c r="B947" s="270"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48</v>
      </c>
      <c r="B948" s="270"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48</v>
      </c>
      <c r="B949" s="270"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48</v>
      </c>
      <c r="B950" s="270"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48</v>
      </c>
      <c r="B951" s="270"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48</v>
      </c>
      <c r="B952" s="270"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48</v>
      </c>
      <c r="B953" s="270"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48</v>
      </c>
      <c r="B954" s="270"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48</v>
      </c>
      <c r="B955" s="270"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48</v>
      </c>
      <c r="B956" s="270"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48</v>
      </c>
      <c r="B957" s="270"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48</v>
      </c>
      <c r="B958" s="270"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48</v>
      </c>
      <c r="B959" s="270"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48</v>
      </c>
      <c r="B960" s="270"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48</v>
      </c>
      <c r="B961" s="270"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48</v>
      </c>
      <c r="B962" s="270"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48</v>
      </c>
      <c r="B963" s="270"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48</v>
      </c>
      <c r="B964" s="270"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48</v>
      </c>
      <c r="B965" s="270"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48</v>
      </c>
      <c r="B966" s="270"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48</v>
      </c>
      <c r="B967" s="270"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48</v>
      </c>
      <c r="B968" s="270"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48</v>
      </c>
      <c r="B969" s="270"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48</v>
      </c>
      <c r="B970" s="270"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48</v>
      </c>
      <c r="B971" s="270"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48</v>
      </c>
      <c r="B972" s="270"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48</v>
      </c>
      <c r="B973" s="270"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48</v>
      </c>
      <c r="B974" s="270"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48</v>
      </c>
      <c r="B975" s="270"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48</v>
      </c>
      <c r="B976" s="270"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48</v>
      </c>
      <c r="B977" s="270"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48</v>
      </c>
      <c r="B978" s="270"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48</v>
      </c>
      <c r="B979" s="270"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48</v>
      </c>
      <c r="B980" s="270"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48</v>
      </c>
      <c r="B981" s="270"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48</v>
      </c>
      <c r="B982" s="270"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48</v>
      </c>
      <c r="B983" s="270"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48</v>
      </c>
      <c r="B984" s="270"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48</v>
      </c>
      <c r="B985" s="270"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48</v>
      </c>
      <c r="B986" s="270"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48</v>
      </c>
      <c r="B987" s="270"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48</v>
      </c>
      <c r="B988" s="270"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48</v>
      </c>
      <c r="B989" s="270"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48</v>
      </c>
      <c r="B990" s="270"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48</v>
      </c>
      <c r="B991" s="270"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48</v>
      </c>
      <c r="B992" s="270"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48</v>
      </c>
      <c r="B993" s="270"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48</v>
      </c>
      <c r="B994" s="270"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48</v>
      </c>
      <c r="B995" s="270"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48</v>
      </c>
      <c r="B996" s="270"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48</v>
      </c>
      <c r="B997" s="270"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48</v>
      </c>
      <c r="B998" s="270"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48</v>
      </c>
      <c r="B999" s="270"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48</v>
      </c>
      <c r="B1000" s="270"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48</v>
      </c>
      <c r="B1001" s="270"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48</v>
      </c>
      <c r="B1002" s="270"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48</v>
      </c>
      <c r="B1003" s="270"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48</v>
      </c>
      <c r="B1004" s="270"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48</v>
      </c>
      <c r="B1005" s="270"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48</v>
      </c>
      <c r="B1006" s="270"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48</v>
      </c>
      <c r="B1007" s="270"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48</v>
      </c>
      <c r="B1008" s="270"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48</v>
      </c>
      <c r="B1009" s="270"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48</v>
      </c>
      <c r="B1010" s="270"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48</v>
      </c>
      <c r="B1011" s="270"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48</v>
      </c>
      <c r="B1012" s="270"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48</v>
      </c>
      <c r="B1013" s="270"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48</v>
      </c>
      <c r="B1014" s="270"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48</v>
      </c>
      <c r="B1015" s="270"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48</v>
      </c>
      <c r="B1016" s="270"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48</v>
      </c>
      <c r="B1017" s="270"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48</v>
      </c>
      <c r="B1018" s="270"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48</v>
      </c>
      <c r="B1019" s="270"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48</v>
      </c>
      <c r="B1020" s="270"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48</v>
      </c>
      <c r="B1021" s="270"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48</v>
      </c>
      <c r="B1022" s="270"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48</v>
      </c>
      <c r="B1023" s="270"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48</v>
      </c>
      <c r="B1024" s="270"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48</v>
      </c>
      <c r="B1025" s="270"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48</v>
      </c>
      <c r="B1026" s="270"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48</v>
      </c>
      <c r="B1027" s="270"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48</v>
      </c>
      <c r="B1028" s="270"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48</v>
      </c>
      <c r="B1029" s="270"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48</v>
      </c>
      <c r="B1030" s="270"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48</v>
      </c>
      <c r="B1031" s="270"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48</v>
      </c>
      <c r="B1032" s="270"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48</v>
      </c>
      <c r="B1033" s="270"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48</v>
      </c>
      <c r="B1034" s="270"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48</v>
      </c>
      <c r="B1035" s="270"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48</v>
      </c>
      <c r="B1036" s="270"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48</v>
      </c>
      <c r="B1037" s="270"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48</v>
      </c>
      <c r="B1038" s="270"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48</v>
      </c>
      <c r="B1039" s="270"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48</v>
      </c>
      <c r="B1040" s="270"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48</v>
      </c>
      <c r="B1041" s="270"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48</v>
      </c>
      <c r="B1042" s="270"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48</v>
      </c>
      <c r="B1043" s="270"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48</v>
      </c>
      <c r="B1044" s="270"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48</v>
      </c>
      <c r="B1045" s="270"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48</v>
      </c>
      <c r="B1046" s="270"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48</v>
      </c>
      <c r="B1047" s="270"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48</v>
      </c>
      <c r="B1048" s="270"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48</v>
      </c>
      <c r="B1049" s="270"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48</v>
      </c>
      <c r="B1050" s="270"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48</v>
      </c>
      <c r="B1051" s="270"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48</v>
      </c>
      <c r="B1052" s="270"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48</v>
      </c>
      <c r="B1053" s="270"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48</v>
      </c>
      <c r="B1054" s="270"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48</v>
      </c>
      <c r="B1055" s="270"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48</v>
      </c>
      <c r="B1056" s="270"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48</v>
      </c>
      <c r="B1057" s="270"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48</v>
      </c>
      <c r="B1058" s="270"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48</v>
      </c>
      <c r="B1059" s="270"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48</v>
      </c>
      <c r="B1060" s="270"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48</v>
      </c>
      <c r="B1061" s="270"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48</v>
      </c>
      <c r="B1062" s="270"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48</v>
      </c>
      <c r="B1063" s="270"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48</v>
      </c>
      <c r="B1064" s="270"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48</v>
      </c>
      <c r="B1065" s="270"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48</v>
      </c>
      <c r="B1066" s="270"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48</v>
      </c>
      <c r="B1067" s="270"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48</v>
      </c>
      <c r="B1068" s="270"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48</v>
      </c>
      <c r="B1069" s="270"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48</v>
      </c>
      <c r="B1070" s="270"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48</v>
      </c>
      <c r="B1071" s="270"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48</v>
      </c>
      <c r="B1072" s="270"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48</v>
      </c>
      <c r="B1073" s="270"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48</v>
      </c>
      <c r="B1074" s="270"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48</v>
      </c>
      <c r="B1075" s="270"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48</v>
      </c>
      <c r="B1076" s="270"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48</v>
      </c>
      <c r="B1077" s="270"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48</v>
      </c>
      <c r="B1078" s="270"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48</v>
      </c>
      <c r="B1079" s="270"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48</v>
      </c>
      <c r="B1080" s="270"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48</v>
      </c>
      <c r="B1081" s="270"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48</v>
      </c>
      <c r="B1082" s="270"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48</v>
      </c>
      <c r="B1083" s="270"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48</v>
      </c>
      <c r="B1084" s="270"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48</v>
      </c>
      <c r="B1085" s="270"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48</v>
      </c>
      <c r="B1086" s="270"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48</v>
      </c>
      <c r="B1087" s="270"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48</v>
      </c>
      <c r="B1088" s="270"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48</v>
      </c>
      <c r="B1089" s="270"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48</v>
      </c>
      <c r="B1090" s="270"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48</v>
      </c>
      <c r="B1091" s="270"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48</v>
      </c>
      <c r="B1092" s="270"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48</v>
      </c>
      <c r="B1093" s="270"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48</v>
      </c>
      <c r="B1094" s="270"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48</v>
      </c>
      <c r="B1095" s="270"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48</v>
      </c>
      <c r="B1096" s="270"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48</v>
      </c>
      <c r="B1097" s="270"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48</v>
      </c>
      <c r="B1098" s="270"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48</v>
      </c>
      <c r="B1099" s="270"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48</v>
      </c>
      <c r="B1100" s="270"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48</v>
      </c>
      <c r="B1101" s="270"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48</v>
      </c>
      <c r="B1102" s="270"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48</v>
      </c>
      <c r="B1103" s="270"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48</v>
      </c>
      <c r="B1104" s="270"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48</v>
      </c>
      <c r="B1105" s="270"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48</v>
      </c>
      <c r="B1106" s="270"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48</v>
      </c>
      <c r="B1107" s="270"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48</v>
      </c>
      <c r="B1108" s="270"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48</v>
      </c>
      <c r="B1109" s="270"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48</v>
      </c>
      <c r="B1110" s="270"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48</v>
      </c>
      <c r="B1111" s="270"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48</v>
      </c>
      <c r="B1112" s="270"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48</v>
      </c>
      <c r="B1113" s="270"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48</v>
      </c>
      <c r="B1114" s="270"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48</v>
      </c>
      <c r="B1115" s="270"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48</v>
      </c>
      <c r="B1116" s="270"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48</v>
      </c>
      <c r="B1117" s="270"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48</v>
      </c>
      <c r="B1118" s="270"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48</v>
      </c>
      <c r="B1119" s="270"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48</v>
      </c>
      <c r="B1120" s="270"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48</v>
      </c>
      <c r="B1121" s="270"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48</v>
      </c>
      <c r="B1122" s="270"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48</v>
      </c>
      <c r="B1123" s="270"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48</v>
      </c>
      <c r="B1124" s="270"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48</v>
      </c>
      <c r="B1125" s="270"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48</v>
      </c>
      <c r="B1126" s="270"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48</v>
      </c>
      <c r="B1127" s="270"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48</v>
      </c>
      <c r="B1128" s="270"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48</v>
      </c>
      <c r="B1129" s="270"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48</v>
      </c>
      <c r="B1130" s="270"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48</v>
      </c>
      <c r="B1131" s="270"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48</v>
      </c>
      <c r="B1132" s="270"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48</v>
      </c>
      <c r="B1133" s="270"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48</v>
      </c>
      <c r="B1134" s="270"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48</v>
      </c>
      <c r="B1135" s="270"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48</v>
      </c>
      <c r="B1136" s="270"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48</v>
      </c>
      <c r="B1137" s="270"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48</v>
      </c>
      <c r="B1138" s="270"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48</v>
      </c>
      <c r="B1139" s="270"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48</v>
      </c>
      <c r="B1140" s="270"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48</v>
      </c>
      <c r="B1141" s="270"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48</v>
      </c>
      <c r="B1142" s="270"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48</v>
      </c>
      <c r="B1143" s="270"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48</v>
      </c>
      <c r="B1144" s="270"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48</v>
      </c>
      <c r="B1145" s="270"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48</v>
      </c>
      <c r="B1146" s="270"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48</v>
      </c>
      <c r="B1147" s="270"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48</v>
      </c>
      <c r="B1148" s="270"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48</v>
      </c>
      <c r="B1149" s="270"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48</v>
      </c>
      <c r="B1150" s="270"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48</v>
      </c>
      <c r="B1151" s="270"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48</v>
      </c>
      <c r="B1152" s="270"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48</v>
      </c>
      <c r="B1153" s="270"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48</v>
      </c>
      <c r="B1154" s="270"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48</v>
      </c>
      <c r="B1155" s="270"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48</v>
      </c>
      <c r="B1156" s="270"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48</v>
      </c>
      <c r="B1157" s="270"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48</v>
      </c>
      <c r="B1158" s="270"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48</v>
      </c>
      <c r="B1159" s="270"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48</v>
      </c>
      <c r="B1160" s="270"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48</v>
      </c>
      <c r="B1161" s="270"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48</v>
      </c>
      <c r="B1162" s="270"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48</v>
      </c>
      <c r="B1163" s="270"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48</v>
      </c>
      <c r="B1164" s="270"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48</v>
      </c>
      <c r="B1165" s="270"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48</v>
      </c>
      <c r="B1166" s="270"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48</v>
      </c>
      <c r="B1167" s="270"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48</v>
      </c>
      <c r="B1168" s="270"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48</v>
      </c>
      <c r="B1169" s="270"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48</v>
      </c>
      <c r="B1170" s="270"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48</v>
      </c>
      <c r="B1171" s="270"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48</v>
      </c>
      <c r="B1172" s="270"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48</v>
      </c>
      <c r="B1173" s="270"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48</v>
      </c>
      <c r="B1174" s="270"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48</v>
      </c>
      <c r="B1175" s="270"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48</v>
      </c>
      <c r="B1176" s="270"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48</v>
      </c>
      <c r="B1177" s="270"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48</v>
      </c>
      <c r="B1178" s="270"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48</v>
      </c>
      <c r="B1179" s="270"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48</v>
      </c>
      <c r="B1180" s="270"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48</v>
      </c>
      <c r="B1181" s="270"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48</v>
      </c>
      <c r="B1182" s="270"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48</v>
      </c>
      <c r="B1183" s="270"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48</v>
      </c>
      <c r="B1184" s="270"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48</v>
      </c>
      <c r="B1185" s="270"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48</v>
      </c>
      <c r="B1186" s="270"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48</v>
      </c>
      <c r="B1187" s="270"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48</v>
      </c>
      <c r="B1188" s="270"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48</v>
      </c>
      <c r="B1189" s="270"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48</v>
      </c>
      <c r="B1190" s="270"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48</v>
      </c>
      <c r="B1191" s="270"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48</v>
      </c>
      <c r="B1192" s="270"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48</v>
      </c>
      <c r="B1193" s="270"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48</v>
      </c>
      <c r="B1194" s="270"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48</v>
      </c>
      <c r="B1195" s="270"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48</v>
      </c>
      <c r="B1196" s="270"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48</v>
      </c>
      <c r="B1197" s="270"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48</v>
      </c>
      <c r="B1198" s="270"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48</v>
      </c>
      <c r="B1199" s="270"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48</v>
      </c>
      <c r="B1200" s="270"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48</v>
      </c>
      <c r="B1201" s="270"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48</v>
      </c>
      <c r="B1202" s="270"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48</v>
      </c>
      <c r="B1203" s="270"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48</v>
      </c>
      <c r="B1204" s="270"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48</v>
      </c>
      <c r="B1205" s="270"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48</v>
      </c>
      <c r="B1206" s="270"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48</v>
      </c>
      <c r="B1207" s="270"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48</v>
      </c>
      <c r="B1208" s="270"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48</v>
      </c>
      <c r="B1209" s="270"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48</v>
      </c>
      <c r="B1210" s="270"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48</v>
      </c>
      <c r="B1211" s="270"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48</v>
      </c>
      <c r="B1212" s="270"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48</v>
      </c>
      <c r="B1213" s="270"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48</v>
      </c>
      <c r="B1214" s="270"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48</v>
      </c>
      <c r="B1215" s="270"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48</v>
      </c>
      <c r="B1216" s="270"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48</v>
      </c>
      <c r="B1217" s="270"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48</v>
      </c>
      <c r="B1218" s="270"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48</v>
      </c>
      <c r="B1219" s="270"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48</v>
      </c>
      <c r="B1220" s="270"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48</v>
      </c>
      <c r="B1221" s="270"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48</v>
      </c>
      <c r="B1222" s="270"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48</v>
      </c>
      <c r="B1223" s="270"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48</v>
      </c>
      <c r="B1224" s="270"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48</v>
      </c>
      <c r="B1225" s="270"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48</v>
      </c>
      <c r="B1226" s="270"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48</v>
      </c>
      <c r="B1227" s="270"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48</v>
      </c>
      <c r="B1228" s="270"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48</v>
      </c>
      <c r="B1229" s="270"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48</v>
      </c>
      <c r="B1230" s="270"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48</v>
      </c>
      <c r="B1231" s="270"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48</v>
      </c>
      <c r="B1232" s="270"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48</v>
      </c>
      <c r="B1233" s="270"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48</v>
      </c>
      <c r="B1234" s="270"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48</v>
      </c>
      <c r="B1235" s="270"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48</v>
      </c>
      <c r="B1236" s="270"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48</v>
      </c>
      <c r="B1237" s="270"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48</v>
      </c>
      <c r="B1238" s="270"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48</v>
      </c>
      <c r="B1239" s="270"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48</v>
      </c>
      <c r="B1240" s="270"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48</v>
      </c>
      <c r="B1241" s="270"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48</v>
      </c>
      <c r="B1242" s="270"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48</v>
      </c>
      <c r="B1243" s="270"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48</v>
      </c>
      <c r="B1244" s="270"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48</v>
      </c>
      <c r="B1245" s="270"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48</v>
      </c>
      <c r="B1246" s="270"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48</v>
      </c>
      <c r="B1247" s="270"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48</v>
      </c>
      <c r="B1248" s="270"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48</v>
      </c>
      <c r="B1249" s="270"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48</v>
      </c>
      <c r="B1250" s="270"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48</v>
      </c>
      <c r="B1251" s="270"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48</v>
      </c>
      <c r="B1252" s="270"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48</v>
      </c>
      <c r="B1253" s="270"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48</v>
      </c>
      <c r="B1254" s="270"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48</v>
      </c>
      <c r="B1255" s="270"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48</v>
      </c>
      <c r="B1256" s="270"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48</v>
      </c>
      <c r="B1257" s="270"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48</v>
      </c>
      <c r="B1258" s="270"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48</v>
      </c>
      <c r="B1259" s="270"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48</v>
      </c>
      <c r="B1260" s="270"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48</v>
      </c>
      <c r="B1261" s="270"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48</v>
      </c>
      <c r="B1262" s="270"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48</v>
      </c>
      <c r="B1263" s="270"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48</v>
      </c>
      <c r="B1264" s="270"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48</v>
      </c>
      <c r="B1265" s="270"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48</v>
      </c>
      <c r="B1266" s="270"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48</v>
      </c>
      <c r="B1267" s="270"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48</v>
      </c>
      <c r="B1268" s="270"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48</v>
      </c>
      <c r="B1269" s="270"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48</v>
      </c>
      <c r="B1270" s="270"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48</v>
      </c>
      <c r="B1271" s="270"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48</v>
      </c>
      <c r="B1272" s="270"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48</v>
      </c>
      <c r="B1273" s="270"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48</v>
      </c>
      <c r="B1274" s="270"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48</v>
      </c>
      <c r="B1275" s="270"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48</v>
      </c>
      <c r="B1276" s="270"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48</v>
      </c>
      <c r="B1277" s="270"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48</v>
      </c>
      <c r="B1278" s="270"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48</v>
      </c>
      <c r="B1279" s="270"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48</v>
      </c>
      <c r="B1280" s="270"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48</v>
      </c>
      <c r="B1281" s="270"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48</v>
      </c>
      <c r="B1282" s="270"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48</v>
      </c>
      <c r="B1283" s="270"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48</v>
      </c>
      <c r="B1284" s="270"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48</v>
      </c>
      <c r="B1285" s="270"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48</v>
      </c>
      <c r="B1286" s="270"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48</v>
      </c>
      <c r="B1287" s="270"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48</v>
      </c>
      <c r="B1288" s="270"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48</v>
      </c>
      <c r="B1289" s="270"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48</v>
      </c>
      <c r="B1290" s="270"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48</v>
      </c>
      <c r="B1291" s="270"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48</v>
      </c>
      <c r="B1292" s="270"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48</v>
      </c>
      <c r="B1293" s="270"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48</v>
      </c>
      <c r="B1294" s="270"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48</v>
      </c>
      <c r="B1295" s="270"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48</v>
      </c>
      <c r="B1296" s="270"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48</v>
      </c>
      <c r="B1297" s="270"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48</v>
      </c>
      <c r="B1298" s="270"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48</v>
      </c>
      <c r="B1299" s="270"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48</v>
      </c>
      <c r="B1300" s="270"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48</v>
      </c>
      <c r="B1301" s="270"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48</v>
      </c>
      <c r="B1302" s="270"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48</v>
      </c>
      <c r="B1303" s="270"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48</v>
      </c>
      <c r="B1304" s="270"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48</v>
      </c>
      <c r="B1305" s="270"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48</v>
      </c>
      <c r="B1306" s="270"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48</v>
      </c>
      <c r="B1307" s="270"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48</v>
      </c>
      <c r="B1308" s="270"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48</v>
      </c>
      <c r="B1309" s="270"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48</v>
      </c>
      <c r="B1310" s="270"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48</v>
      </c>
      <c r="B1311" s="270"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48</v>
      </c>
      <c r="B1312" s="270"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48</v>
      </c>
      <c r="B1313" s="270"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271"/>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272"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273"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273"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273"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273"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273"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274"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275"/>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272" t="s">
        <v>1359</v>
      </c>
      <c r="C1323" s="68" t="str">
        <f>CONCATENATE(A1323," - ",B1323)</f>
        <v>NI – Health and Social Care Trusts - Belfast Health and Social Care Trust</v>
      </c>
      <c r="D1323" s="490">
        <f t="shared" ref="D1323:E1327" si="234">I1323</f>
        <v>139590</v>
      </c>
      <c r="E1323" s="490">
        <f t="shared" si="234"/>
        <v>150331</v>
      </c>
      <c r="F1323" s="491">
        <f>G1323+H1323</f>
        <v>365871</v>
      </c>
      <c r="G1323" s="491">
        <f>SUM(M1323:CY1323)</f>
        <v>178525</v>
      </c>
      <c r="H1323" s="492">
        <f>SUM(CZ1323:GL1323)</f>
        <v>187346</v>
      </c>
      <c r="I1323" s="492">
        <f>SUM(AE1323:CY1323)</f>
        <v>139590</v>
      </c>
      <c r="J1323" s="492">
        <f>SUM(DR1323:GL1323)</f>
        <v>150331</v>
      </c>
      <c r="K1323" s="493">
        <f>SUM(M1323:AD1323)</f>
        <v>38935</v>
      </c>
      <c r="L1323" s="490">
        <f>SUM(CZ1323:DQ1323)</f>
        <v>37015</v>
      </c>
      <c r="M1323" s="493">
        <v>1910</v>
      </c>
      <c r="N1323" s="493">
        <v>2017</v>
      </c>
      <c r="O1323" s="493">
        <v>2002</v>
      </c>
      <c r="P1323" s="493">
        <v>2005</v>
      </c>
      <c r="Q1323" s="493">
        <v>2183</v>
      </c>
      <c r="R1323" s="493">
        <v>2080</v>
      </c>
      <c r="S1323" s="493">
        <v>2207</v>
      </c>
      <c r="T1323" s="493">
        <v>2246</v>
      </c>
      <c r="U1323" s="493">
        <v>2236</v>
      </c>
      <c r="V1323" s="493">
        <v>2309</v>
      </c>
      <c r="W1323" s="493">
        <v>2249</v>
      </c>
      <c r="X1323" s="493">
        <v>2330</v>
      </c>
      <c r="Y1323" s="493">
        <v>2296</v>
      </c>
      <c r="Z1323" s="493">
        <v>2211</v>
      </c>
      <c r="AA1323" s="493">
        <v>2228</v>
      </c>
      <c r="AB1323" s="493">
        <v>2249</v>
      </c>
      <c r="AC1323" s="493">
        <v>2115</v>
      </c>
      <c r="AD1323" s="493">
        <v>2062</v>
      </c>
      <c r="AE1323" s="493">
        <v>2289</v>
      </c>
      <c r="AF1323" s="493">
        <v>2993</v>
      </c>
      <c r="AG1323" s="493">
        <v>3026</v>
      </c>
      <c r="AH1323" s="493">
        <v>2617</v>
      </c>
      <c r="AI1323" s="493">
        <v>2730</v>
      </c>
      <c r="AJ1323" s="493">
        <v>2611</v>
      </c>
      <c r="AK1323" s="493">
        <v>2692</v>
      </c>
      <c r="AL1323" s="493">
        <v>2792</v>
      </c>
      <c r="AM1323" s="493">
        <v>2823</v>
      </c>
      <c r="AN1323" s="493">
        <v>2749</v>
      </c>
      <c r="AO1323" s="493">
        <v>2764</v>
      </c>
      <c r="AP1323" s="493">
        <v>2745</v>
      </c>
      <c r="AQ1323" s="493">
        <v>2713</v>
      </c>
      <c r="AR1323" s="493">
        <v>2728</v>
      </c>
      <c r="AS1323" s="493">
        <v>2756</v>
      </c>
      <c r="AT1323" s="493">
        <v>2713</v>
      </c>
      <c r="AU1323" s="493">
        <v>2616</v>
      </c>
      <c r="AV1323" s="493">
        <v>2610</v>
      </c>
      <c r="AW1323" s="493">
        <v>2545</v>
      </c>
      <c r="AX1323" s="493">
        <v>2558</v>
      </c>
      <c r="AY1323" s="493">
        <v>2519</v>
      </c>
      <c r="AZ1323" s="493">
        <v>2414</v>
      </c>
      <c r="BA1323" s="493">
        <v>2334</v>
      </c>
      <c r="BB1323" s="493">
        <v>2362</v>
      </c>
      <c r="BC1323" s="493">
        <v>2307</v>
      </c>
      <c r="BD1323" s="493">
        <v>2369</v>
      </c>
      <c r="BE1323" s="493">
        <v>2178</v>
      </c>
      <c r="BF1323" s="493">
        <v>2103</v>
      </c>
      <c r="BG1323" s="493">
        <v>1943</v>
      </c>
      <c r="BH1323" s="493">
        <v>1958</v>
      </c>
      <c r="BI1323" s="493">
        <v>1910</v>
      </c>
      <c r="BJ1323" s="493">
        <v>1998</v>
      </c>
      <c r="BK1323" s="493">
        <v>2100</v>
      </c>
      <c r="BL1323" s="493">
        <v>2116</v>
      </c>
      <c r="BM1323" s="493">
        <v>2074</v>
      </c>
      <c r="BN1323" s="493">
        <v>2267</v>
      </c>
      <c r="BO1323" s="493">
        <v>2279</v>
      </c>
      <c r="BP1323" s="493">
        <v>2334</v>
      </c>
      <c r="BQ1323" s="493">
        <v>2279</v>
      </c>
      <c r="BR1323" s="493">
        <v>2358</v>
      </c>
      <c r="BS1323" s="493">
        <v>2277</v>
      </c>
      <c r="BT1323" s="493">
        <v>2272</v>
      </c>
      <c r="BU1323" s="493">
        <v>2362</v>
      </c>
      <c r="BV1323" s="493">
        <v>2199</v>
      </c>
      <c r="BW1323" s="493">
        <v>2115</v>
      </c>
      <c r="BX1323" s="493">
        <v>2081</v>
      </c>
      <c r="BY1323" s="493">
        <v>1886</v>
      </c>
      <c r="BZ1323" s="493">
        <v>1877</v>
      </c>
      <c r="CA1323" s="493">
        <v>1703</v>
      </c>
      <c r="CB1323" s="493">
        <v>1677</v>
      </c>
      <c r="CC1323" s="493">
        <v>1554</v>
      </c>
      <c r="CD1323" s="493">
        <v>1565</v>
      </c>
      <c r="CE1323" s="493">
        <v>1335</v>
      </c>
      <c r="CF1323" s="493">
        <v>1255</v>
      </c>
      <c r="CG1323" s="493">
        <v>1316</v>
      </c>
      <c r="CH1323" s="493">
        <v>1194</v>
      </c>
      <c r="CI1323" s="493">
        <v>1141</v>
      </c>
      <c r="CJ1323" s="493">
        <v>1159</v>
      </c>
      <c r="CK1323" s="493">
        <v>1116</v>
      </c>
      <c r="CL1323" s="493">
        <v>990</v>
      </c>
      <c r="CM1323" s="493">
        <v>982</v>
      </c>
      <c r="CN1323" s="493">
        <v>979</v>
      </c>
      <c r="CO1323" s="493">
        <v>894</v>
      </c>
      <c r="CP1323" s="493">
        <v>764</v>
      </c>
      <c r="CQ1323" s="493">
        <v>635</v>
      </c>
      <c r="CR1323" s="493">
        <v>595</v>
      </c>
      <c r="CS1323" s="493">
        <v>580</v>
      </c>
      <c r="CT1323" s="493">
        <v>546</v>
      </c>
      <c r="CU1323" s="493">
        <v>469</v>
      </c>
      <c r="CV1323" s="493">
        <v>396</v>
      </c>
      <c r="CW1323" s="493">
        <v>323</v>
      </c>
      <c r="CX1323" s="493">
        <v>265</v>
      </c>
      <c r="CY1323" s="490">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273"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273"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273"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274"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275"/>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276" t="s">
        <v>1364</v>
      </c>
      <c r="C1329" s="68" t="str">
        <f>CONCATENATE(A1329," - ",B1329)</f>
        <v>NHSE regions - East of England</v>
      </c>
      <c r="D1329" s="490">
        <f t="shared" ref="D1329:E1335" si="236">I1329</f>
        <v>2472845</v>
      </c>
      <c r="E1329" s="490">
        <f t="shared" si="236"/>
        <v>2628742</v>
      </c>
      <c r="F1329" s="491">
        <f t="shared" ref="F1329:F1335" si="237">G1329+H1329</f>
        <v>6468665</v>
      </c>
      <c r="G1329" s="491">
        <f t="shared" ref="G1329:G1335" si="238">SUM(M1329:CY1329)</f>
        <v>3173297</v>
      </c>
      <c r="H1329" s="492">
        <f t="shared" ref="H1329:H1335" si="239">SUM(CZ1329:GL1329)</f>
        <v>3295368</v>
      </c>
      <c r="I1329" s="492">
        <f t="shared" ref="I1329:I1335" si="240">SUM(AE1329:CY1329)</f>
        <v>2472845</v>
      </c>
      <c r="J1329" s="492">
        <f t="shared" ref="J1329:J1335" si="241">SUM(DR1329:GL1329)</f>
        <v>2628742</v>
      </c>
      <c r="K1329" s="493">
        <f t="shared" ref="K1329:K1335" si="242">SUM(M1329:AD1329)</f>
        <v>700452</v>
      </c>
      <c r="L1329" s="490">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276"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276"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276"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276"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276"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7" t="s">
        <v>25</v>
      </c>
      <c r="B1335" s="276"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277"/>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89"/>
      <c r="O1336" s="489"/>
      <c r="P1336" s="489"/>
      <c r="Q1336" s="489"/>
      <c r="R1336" s="489"/>
      <c r="S1336" s="489"/>
      <c r="T1336" s="489"/>
      <c r="U1336" s="489"/>
      <c r="V1336" s="489"/>
      <c r="W1336" s="489"/>
      <c r="X1336" s="489"/>
      <c r="Y1336" s="489"/>
      <c r="Z1336" s="489"/>
      <c r="AA1336" s="489"/>
      <c r="AB1336" s="489"/>
      <c r="AC1336" s="489"/>
      <c r="AD1336" s="489"/>
      <c r="AE1336" s="489"/>
      <c r="AF1336" s="489"/>
      <c r="AG1336" s="489"/>
      <c r="AH1336" s="489"/>
      <c r="AI1336" s="489"/>
      <c r="AJ1336" s="489"/>
      <c r="AK1336" s="489"/>
      <c r="AL1336" s="489"/>
      <c r="AM1336" s="489"/>
      <c r="AN1336" s="489"/>
      <c r="AO1336" s="489"/>
      <c r="AP1336" s="489"/>
      <c r="AQ1336" s="489"/>
      <c r="AR1336" s="489"/>
      <c r="AS1336" s="489"/>
      <c r="AT1336" s="489"/>
      <c r="AU1336" s="489"/>
      <c r="AV1336" s="489"/>
      <c r="AW1336" s="489"/>
      <c r="AX1336" s="489"/>
      <c r="AY1336" s="489"/>
      <c r="AZ1336" s="489"/>
      <c r="BA1336" s="489"/>
      <c r="BB1336" s="489"/>
      <c r="BC1336" s="489"/>
      <c r="BD1336" s="489"/>
      <c r="BE1336" s="489"/>
      <c r="BF1336" s="489"/>
      <c r="BG1336" s="489"/>
      <c r="BH1336" s="489"/>
      <c r="BI1336" s="489"/>
      <c r="BJ1336" s="489"/>
      <c r="BK1336" s="489"/>
      <c r="BL1336" s="489"/>
      <c r="BM1336" s="489"/>
      <c r="BN1336" s="489"/>
      <c r="BO1336" s="489"/>
      <c r="BP1336" s="489"/>
      <c r="BQ1336" s="489"/>
      <c r="BR1336" s="489"/>
      <c r="BS1336" s="489"/>
      <c r="BT1336" s="489"/>
      <c r="BU1336" s="489"/>
      <c r="BV1336" s="489"/>
      <c r="BW1336" s="489"/>
      <c r="BX1336" s="489"/>
      <c r="BY1336" s="489"/>
      <c r="BZ1336" s="489"/>
      <c r="CA1336" s="489"/>
      <c r="CB1336" s="489"/>
      <c r="CC1336" s="489"/>
      <c r="CD1336" s="489"/>
      <c r="CE1336" s="489"/>
      <c r="CF1336" s="489"/>
      <c r="CG1336" s="489"/>
      <c r="CH1336" s="489"/>
      <c r="CI1336" s="489"/>
      <c r="CJ1336" s="489"/>
      <c r="CK1336" s="489"/>
      <c r="CL1336" s="489"/>
      <c r="CM1336" s="489"/>
      <c r="CN1336" s="489"/>
      <c r="CO1336" s="489"/>
      <c r="CP1336" s="489"/>
      <c r="CQ1336" s="489"/>
      <c r="CR1336" s="489"/>
      <c r="CS1336" s="489"/>
      <c r="CT1336" s="489"/>
      <c r="CU1336" s="489"/>
      <c r="CV1336" s="489"/>
      <c r="CW1336" s="489"/>
      <c r="CX1336" s="489"/>
      <c r="CY1336" s="486"/>
      <c r="CZ1336" s="109"/>
      <c r="DA1336" s="489"/>
      <c r="DB1336" s="489"/>
      <c r="DC1336" s="489"/>
      <c r="DD1336" s="489"/>
      <c r="DE1336" s="489"/>
      <c r="DF1336" s="489"/>
      <c r="DG1336" s="489"/>
      <c r="DH1336" s="489"/>
      <c r="DI1336" s="489"/>
      <c r="DJ1336" s="489"/>
      <c r="DK1336" s="489"/>
      <c r="DL1336" s="489"/>
      <c r="DM1336" s="489"/>
      <c r="DN1336" s="489"/>
      <c r="DO1336" s="489"/>
      <c r="DP1336" s="489"/>
      <c r="DQ1336" s="489"/>
      <c r="DR1336" s="489"/>
      <c r="DS1336" s="489"/>
      <c r="DT1336" s="489"/>
      <c r="DU1336" s="489"/>
      <c r="DV1336" s="489"/>
      <c r="DW1336" s="489"/>
      <c r="DX1336" s="489"/>
      <c r="DY1336" s="489"/>
      <c r="DZ1336" s="489"/>
      <c r="EA1336" s="489"/>
      <c r="EB1336" s="489"/>
      <c r="EC1336" s="489"/>
      <c r="ED1336" s="489"/>
      <c r="EE1336" s="489"/>
      <c r="EF1336" s="489"/>
      <c r="EG1336" s="489"/>
      <c r="EH1336" s="489"/>
      <c r="EI1336" s="489"/>
      <c r="EJ1336" s="489"/>
      <c r="EK1336" s="489"/>
      <c r="EL1336" s="489"/>
      <c r="EM1336" s="489"/>
      <c r="EN1336" s="489"/>
      <c r="EO1336" s="489"/>
      <c r="EP1336" s="489"/>
      <c r="EQ1336" s="489"/>
      <c r="ER1336" s="489"/>
      <c r="ES1336" s="489"/>
      <c r="ET1336" s="489"/>
      <c r="EU1336" s="489"/>
      <c r="EV1336" s="489"/>
      <c r="EW1336" s="489"/>
      <c r="EX1336" s="489"/>
      <c r="EY1336" s="489"/>
      <c r="EZ1336" s="489"/>
      <c r="FA1336" s="489"/>
      <c r="FB1336" s="489"/>
      <c r="FC1336" s="489"/>
      <c r="FD1336" s="489"/>
      <c r="FE1336" s="489"/>
      <c r="FF1336" s="489"/>
      <c r="FG1336" s="489"/>
      <c r="FH1336" s="489"/>
      <c r="FI1336" s="489"/>
      <c r="FJ1336" s="489"/>
      <c r="FK1336" s="489"/>
      <c r="FL1336" s="489"/>
      <c r="FM1336" s="489"/>
      <c r="FN1336" s="489"/>
      <c r="FO1336" s="489"/>
      <c r="FP1336" s="489"/>
      <c r="FQ1336" s="489"/>
      <c r="FR1336" s="489"/>
      <c r="FS1336" s="489"/>
      <c r="FT1336" s="489"/>
      <c r="FU1336" s="489"/>
      <c r="FV1336" s="489"/>
      <c r="FW1336" s="489"/>
      <c r="FX1336" s="489"/>
      <c r="FY1336" s="489"/>
      <c r="FZ1336" s="489"/>
      <c r="GA1336" s="489"/>
      <c r="GB1336" s="489"/>
      <c r="GC1336" s="489"/>
      <c r="GD1336" s="489"/>
      <c r="GE1336" s="489"/>
      <c r="GF1336" s="489"/>
      <c r="GG1336" s="489"/>
      <c r="GH1336" s="489"/>
      <c r="GI1336" s="489"/>
      <c r="GJ1336" s="489"/>
      <c r="GK1336" s="489"/>
      <c r="GL1336" s="486"/>
    </row>
    <row r="1337" spans="1:194" s="1" customFormat="1" x14ac:dyDescent="0.25">
      <c r="A1337" s="98" t="s">
        <v>17</v>
      </c>
      <c r="B1337" s="278" t="s">
        <v>1371</v>
      </c>
      <c r="C1337" s="494"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91">
        <f t="shared" ref="G1337:G1342" si="248">SUM(M1337:CY1337)</f>
        <v>476033</v>
      </c>
      <c r="H1337" s="492">
        <f t="shared" ref="H1337:H1342" si="249">SUM(CZ1337:GL1337)</f>
        <v>487591</v>
      </c>
      <c r="I1337" s="491">
        <f t="shared" ref="I1337:I1342" si="250">SUM(AE1337:CY1337)</f>
        <v>376293</v>
      </c>
      <c r="J1337" s="94">
        <f t="shared" ref="J1337:J1342" si="251">SUM(DR1337:GL1337)</f>
        <v>392407</v>
      </c>
      <c r="K1337" s="96">
        <f t="shared" ref="K1337:K1342" si="252">SUM(M1337:AD1337)</f>
        <v>99740</v>
      </c>
      <c r="L1337" s="490">
        <f t="shared" ref="L1337:L1342" si="253">SUM(CZ1337:DQ1337)</f>
        <v>95184</v>
      </c>
      <c r="M1337" s="96">
        <v>4477</v>
      </c>
      <c r="N1337" s="493">
        <v>4861</v>
      </c>
      <c r="O1337" s="493">
        <v>4857</v>
      </c>
      <c r="P1337" s="493">
        <v>5120</v>
      </c>
      <c r="Q1337" s="493">
        <v>5340</v>
      </c>
      <c r="R1337" s="493">
        <v>5267</v>
      </c>
      <c r="S1337" s="493">
        <v>5565</v>
      </c>
      <c r="T1337" s="493">
        <v>5775</v>
      </c>
      <c r="U1337" s="493">
        <v>5677</v>
      </c>
      <c r="V1337" s="493">
        <v>5730</v>
      </c>
      <c r="W1337" s="493">
        <v>6094</v>
      </c>
      <c r="X1337" s="493">
        <v>6096</v>
      </c>
      <c r="Y1337" s="493">
        <v>6110</v>
      </c>
      <c r="Z1337" s="493">
        <v>5915</v>
      </c>
      <c r="AA1337" s="493">
        <v>5725</v>
      </c>
      <c r="AB1337" s="493">
        <v>5890</v>
      </c>
      <c r="AC1337" s="493">
        <v>5713</v>
      </c>
      <c r="AD1337" s="493">
        <v>5528</v>
      </c>
      <c r="AE1337" s="493">
        <v>6099</v>
      </c>
      <c r="AF1337" s="493">
        <v>6876</v>
      </c>
      <c r="AG1337" s="493">
        <v>6388</v>
      </c>
      <c r="AH1337" s="493">
        <v>5685</v>
      </c>
      <c r="AI1337" s="493">
        <v>5937</v>
      </c>
      <c r="AJ1337" s="493">
        <v>5922</v>
      </c>
      <c r="AK1337" s="493">
        <v>5776</v>
      </c>
      <c r="AL1337" s="493">
        <v>5647</v>
      </c>
      <c r="AM1337" s="493">
        <v>5858</v>
      </c>
      <c r="AN1337" s="493">
        <v>5531</v>
      </c>
      <c r="AO1337" s="493">
        <v>5733</v>
      </c>
      <c r="AP1337" s="493">
        <v>5627</v>
      </c>
      <c r="AQ1337" s="493">
        <v>5850</v>
      </c>
      <c r="AR1337" s="493">
        <v>5943</v>
      </c>
      <c r="AS1337" s="493">
        <v>6114</v>
      </c>
      <c r="AT1337" s="493">
        <v>6094</v>
      </c>
      <c r="AU1337" s="493">
        <v>6151</v>
      </c>
      <c r="AV1337" s="493">
        <v>6309</v>
      </c>
      <c r="AW1337" s="493">
        <v>6114</v>
      </c>
      <c r="AX1337" s="493">
        <v>6027</v>
      </c>
      <c r="AY1337" s="493">
        <v>6282</v>
      </c>
      <c r="AZ1337" s="493">
        <v>5922</v>
      </c>
      <c r="BA1337" s="493">
        <v>5871</v>
      </c>
      <c r="BB1337" s="493">
        <v>5951</v>
      </c>
      <c r="BC1337" s="493">
        <v>6020</v>
      </c>
      <c r="BD1337" s="493">
        <v>6187</v>
      </c>
      <c r="BE1337" s="493">
        <v>5775</v>
      </c>
      <c r="BF1337" s="493">
        <v>5379</v>
      </c>
      <c r="BG1337" s="493">
        <v>5331</v>
      </c>
      <c r="BH1337" s="493">
        <v>5709</v>
      </c>
      <c r="BI1337" s="493">
        <v>5799</v>
      </c>
      <c r="BJ1337" s="493">
        <v>6184</v>
      </c>
      <c r="BK1337" s="493">
        <v>6388</v>
      </c>
      <c r="BL1337" s="493">
        <v>6475</v>
      </c>
      <c r="BM1337" s="493">
        <v>6677</v>
      </c>
      <c r="BN1337" s="493">
        <v>6361</v>
      </c>
      <c r="BO1337" s="493">
        <v>6577</v>
      </c>
      <c r="BP1337" s="493">
        <v>6657</v>
      </c>
      <c r="BQ1337" s="493">
        <v>6748</v>
      </c>
      <c r="BR1337" s="493">
        <v>6835</v>
      </c>
      <c r="BS1337" s="493">
        <v>6717</v>
      </c>
      <c r="BT1337" s="493">
        <v>6662</v>
      </c>
      <c r="BU1337" s="493">
        <v>6554</v>
      </c>
      <c r="BV1337" s="493">
        <v>6364</v>
      </c>
      <c r="BW1337" s="493">
        <v>6190</v>
      </c>
      <c r="BX1337" s="493">
        <v>5814</v>
      </c>
      <c r="BY1337" s="493">
        <v>5478</v>
      </c>
      <c r="BZ1337" s="493">
        <v>5333</v>
      </c>
      <c r="CA1337" s="493">
        <v>5004</v>
      </c>
      <c r="CB1337" s="493">
        <v>4899</v>
      </c>
      <c r="CC1337" s="493">
        <v>4757</v>
      </c>
      <c r="CD1337" s="493">
        <v>4569</v>
      </c>
      <c r="CE1337" s="493">
        <v>4595</v>
      </c>
      <c r="CF1337" s="493">
        <v>4335</v>
      </c>
      <c r="CG1337" s="493">
        <v>4322</v>
      </c>
      <c r="CH1337" s="493">
        <v>4349</v>
      </c>
      <c r="CI1337" s="493">
        <v>4541</v>
      </c>
      <c r="CJ1337" s="493">
        <v>4699</v>
      </c>
      <c r="CK1337" s="493">
        <v>5003</v>
      </c>
      <c r="CL1337" s="493">
        <v>3836</v>
      </c>
      <c r="CM1337" s="493">
        <v>3450</v>
      </c>
      <c r="CN1337" s="493">
        <v>3356</v>
      </c>
      <c r="CO1337" s="493">
        <v>3094</v>
      </c>
      <c r="CP1337" s="493">
        <v>2626</v>
      </c>
      <c r="CQ1337" s="493">
        <v>2189</v>
      </c>
      <c r="CR1337" s="493">
        <v>2168</v>
      </c>
      <c r="CS1337" s="493">
        <v>2017</v>
      </c>
      <c r="CT1337" s="493">
        <v>1851</v>
      </c>
      <c r="CU1337" s="493">
        <v>1674</v>
      </c>
      <c r="CV1337" s="493">
        <v>1396</v>
      </c>
      <c r="CW1337" s="493">
        <v>1198</v>
      </c>
      <c r="CX1337" s="493">
        <v>1036</v>
      </c>
      <c r="CY1337" s="490">
        <v>3408</v>
      </c>
      <c r="CZ1337" s="96">
        <v>4214</v>
      </c>
      <c r="DA1337" s="493">
        <v>4718</v>
      </c>
      <c r="DB1337" s="493">
        <v>4671</v>
      </c>
      <c r="DC1337" s="493">
        <v>4862</v>
      </c>
      <c r="DD1337" s="493">
        <v>5065</v>
      </c>
      <c r="DE1337" s="493">
        <v>5169</v>
      </c>
      <c r="DF1337" s="493">
        <v>5321</v>
      </c>
      <c r="DG1337" s="493">
        <v>5425</v>
      </c>
      <c r="DH1337" s="493">
        <v>5397</v>
      </c>
      <c r="DI1337" s="493">
        <v>5522</v>
      </c>
      <c r="DJ1337" s="493">
        <v>5473</v>
      </c>
      <c r="DK1337" s="493">
        <v>5801</v>
      </c>
      <c r="DL1337" s="493">
        <v>5680</v>
      </c>
      <c r="DM1337" s="493">
        <v>5657</v>
      </c>
      <c r="DN1337" s="493">
        <v>5637</v>
      </c>
      <c r="DO1337" s="493">
        <v>5871</v>
      </c>
      <c r="DP1337" s="493">
        <v>5372</v>
      </c>
      <c r="DQ1337" s="493">
        <v>5329</v>
      </c>
      <c r="DR1337" s="493">
        <v>5521</v>
      </c>
      <c r="DS1337" s="493">
        <v>5756</v>
      </c>
      <c r="DT1337" s="493">
        <v>5196</v>
      </c>
      <c r="DU1337" s="493">
        <v>4940</v>
      </c>
      <c r="DV1337" s="493">
        <v>5387</v>
      </c>
      <c r="DW1337" s="493">
        <v>5054</v>
      </c>
      <c r="DX1337" s="493">
        <v>5175</v>
      </c>
      <c r="DY1337" s="493">
        <v>5324</v>
      </c>
      <c r="DZ1337" s="493">
        <v>5222</v>
      </c>
      <c r="EA1337" s="493">
        <v>5316</v>
      </c>
      <c r="EB1337" s="493">
        <v>5654</v>
      </c>
      <c r="EC1337" s="493">
        <v>5910</v>
      </c>
      <c r="ED1337" s="493">
        <v>5863</v>
      </c>
      <c r="EE1337" s="493">
        <v>6294</v>
      </c>
      <c r="EF1337" s="493">
        <v>6329</v>
      </c>
      <c r="EG1337" s="493">
        <v>6430</v>
      </c>
      <c r="EH1337" s="493">
        <v>6305</v>
      </c>
      <c r="EI1337" s="493">
        <v>6754</v>
      </c>
      <c r="EJ1337" s="493">
        <v>6280</v>
      </c>
      <c r="EK1337" s="493">
        <v>6342</v>
      </c>
      <c r="EL1337" s="493">
        <v>6424</v>
      </c>
      <c r="EM1337" s="493">
        <v>5995</v>
      </c>
      <c r="EN1337" s="493">
        <v>6316</v>
      </c>
      <c r="EO1337" s="493">
        <v>6191</v>
      </c>
      <c r="EP1337" s="493">
        <v>6133</v>
      </c>
      <c r="EQ1337" s="493">
        <v>6099</v>
      </c>
      <c r="ER1337" s="493">
        <v>6038</v>
      </c>
      <c r="ES1337" s="493">
        <v>5723</v>
      </c>
      <c r="ET1337" s="493">
        <v>5676</v>
      </c>
      <c r="EU1337" s="493">
        <v>5725</v>
      </c>
      <c r="EV1337" s="493">
        <v>6188</v>
      </c>
      <c r="EW1337" s="493">
        <v>6328</v>
      </c>
      <c r="EX1337" s="493">
        <v>6666</v>
      </c>
      <c r="EY1337" s="493">
        <v>6467</v>
      </c>
      <c r="EZ1337" s="493">
        <v>6831</v>
      </c>
      <c r="FA1337" s="493">
        <v>6705</v>
      </c>
      <c r="FB1337" s="493">
        <v>6802</v>
      </c>
      <c r="FC1337" s="493">
        <v>7051</v>
      </c>
      <c r="FD1337" s="493">
        <v>7034</v>
      </c>
      <c r="FE1337" s="493">
        <v>6862</v>
      </c>
      <c r="FF1337" s="493">
        <v>7004</v>
      </c>
      <c r="FG1337" s="493">
        <v>6690</v>
      </c>
      <c r="FH1337" s="493">
        <v>6647</v>
      </c>
      <c r="FI1337" s="493">
        <v>6662</v>
      </c>
      <c r="FJ1337" s="493">
        <v>6120</v>
      </c>
      <c r="FK1337" s="493">
        <v>5959</v>
      </c>
      <c r="FL1337" s="493">
        <v>5778</v>
      </c>
      <c r="FM1337" s="493">
        <v>5562</v>
      </c>
      <c r="FN1337" s="493">
        <v>5369</v>
      </c>
      <c r="FO1337" s="493">
        <v>5178</v>
      </c>
      <c r="FP1337" s="493">
        <v>5029</v>
      </c>
      <c r="FQ1337" s="493">
        <v>5175</v>
      </c>
      <c r="FR1337" s="493">
        <v>4921</v>
      </c>
      <c r="FS1337" s="493">
        <v>4769</v>
      </c>
      <c r="FT1337" s="493">
        <v>4774</v>
      </c>
      <c r="FU1337" s="493">
        <v>4911</v>
      </c>
      <c r="FV1337" s="493">
        <v>5048</v>
      </c>
      <c r="FW1337" s="493">
        <v>5069</v>
      </c>
      <c r="FX1337" s="493">
        <v>5634</v>
      </c>
      <c r="FY1337" s="493">
        <v>4367</v>
      </c>
      <c r="FZ1337" s="493">
        <v>4146</v>
      </c>
      <c r="GA1337" s="493">
        <v>3937</v>
      </c>
      <c r="GB1337" s="493">
        <v>3626</v>
      </c>
      <c r="GC1337" s="493">
        <v>3111</v>
      </c>
      <c r="GD1337" s="493">
        <v>2748</v>
      </c>
      <c r="GE1337" s="493">
        <v>2778</v>
      </c>
      <c r="GF1337" s="493">
        <v>2638</v>
      </c>
      <c r="GG1337" s="493">
        <v>2379</v>
      </c>
      <c r="GH1337" s="493">
        <v>2175</v>
      </c>
      <c r="GI1337" s="493">
        <v>2016</v>
      </c>
      <c r="GJ1337" s="493">
        <v>1754</v>
      </c>
      <c r="GK1337" s="493">
        <v>1482</v>
      </c>
      <c r="GL1337" s="490">
        <v>6645</v>
      </c>
    </row>
    <row r="1338" spans="1:194" s="1" customFormat="1" x14ac:dyDescent="0.25">
      <c r="A1338" s="100" t="s">
        <v>17</v>
      </c>
      <c r="B1338" s="279"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279"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279"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5">
      <c r="A1341" s="100" t="s">
        <v>17</v>
      </c>
      <c r="B1341" s="279"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5">
      <c r="A1342" s="100" t="s">
        <v>17</v>
      </c>
      <c r="B1342" s="279"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5">
      <c r="A1343" s="100" t="s">
        <v>17</v>
      </c>
      <c r="B1343" s="279"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5">
      <c r="A1344" s="100" t="s">
        <v>17</v>
      </c>
      <c r="B1344" s="279"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5">
      <c r="A1345" s="100" t="s">
        <v>17</v>
      </c>
      <c r="B1345" s="279"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5">
      <c r="A1346" s="100" t="s">
        <v>17</v>
      </c>
      <c r="B1346" s="279"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5">
      <c r="A1347" s="100" t="s">
        <v>17</v>
      </c>
      <c r="B1347" s="279"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5">
      <c r="A1348" s="100" t="s">
        <v>17</v>
      </c>
      <c r="B1348" s="279"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5">
      <c r="A1349" s="100" t="s">
        <v>17</v>
      </c>
      <c r="B1349" s="279"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5">
      <c r="A1350" s="100" t="s">
        <v>17</v>
      </c>
      <c r="B1350" s="279"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5">
      <c r="A1351" s="100" t="s">
        <v>17</v>
      </c>
      <c r="B1351" s="279"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5">
      <c r="A1352" s="100" t="s">
        <v>17</v>
      </c>
      <c r="B1352" s="279"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5">
      <c r="A1353" s="100" t="s">
        <v>17</v>
      </c>
      <c r="B1353" s="279"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5">
      <c r="A1354" s="100" t="s">
        <v>17</v>
      </c>
      <c r="B1354" s="279"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5">
      <c r="A1355" s="100" t="s">
        <v>17</v>
      </c>
      <c r="B1355" s="279"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5">
      <c r="A1356" s="100" t="s">
        <v>17</v>
      </c>
      <c r="B1356" s="279"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5">
      <c r="A1357" s="100" t="s">
        <v>17</v>
      </c>
      <c r="B1357" s="279"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5">
      <c r="A1358" s="100" t="s">
        <v>17</v>
      </c>
      <c r="B1358" s="279"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5">
      <c r="A1359" s="100" t="s">
        <v>17</v>
      </c>
      <c r="B1359" s="279"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5">
      <c r="A1360" s="100" t="s">
        <v>17</v>
      </c>
      <c r="B1360" s="279"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5">
      <c r="A1361" s="100" t="s">
        <v>17</v>
      </c>
      <c r="B1361" s="279"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5">
      <c r="A1362" s="100" t="s">
        <v>17</v>
      </c>
      <c r="B1362" s="279"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5">
      <c r="A1363" s="100" t="s">
        <v>17</v>
      </c>
      <c r="B1363" s="279"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5">
      <c r="A1364" s="100" t="s">
        <v>17</v>
      </c>
      <c r="B1364" s="279"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5">
      <c r="A1365" s="100" t="s">
        <v>17</v>
      </c>
      <c r="B1365" s="279"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5">
      <c r="A1366" s="100" t="s">
        <v>17</v>
      </c>
      <c r="B1366" s="279"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5">
      <c r="A1367" s="100" t="s">
        <v>17</v>
      </c>
      <c r="B1367" s="279"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5">
      <c r="A1368" s="100" t="s">
        <v>17</v>
      </c>
      <c r="B1368" s="279"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5">
      <c r="A1369" s="100" t="s">
        <v>17</v>
      </c>
      <c r="B1369" s="279"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5">
      <c r="A1370" s="100" t="s">
        <v>17</v>
      </c>
      <c r="B1370" s="279"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5">
      <c r="A1371" s="100" t="s">
        <v>17</v>
      </c>
      <c r="B1371" s="279"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5">
      <c r="A1372" s="100" t="s">
        <v>17</v>
      </c>
      <c r="B1372" s="279"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5">
      <c r="A1373" s="100" t="s">
        <v>17</v>
      </c>
      <c r="B1373" s="279"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5">
      <c r="A1374" s="100" t="s">
        <v>17</v>
      </c>
      <c r="B1374" s="279"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279"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279"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279"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279"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280"/>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1413</v>
      </c>
      <c r="C1380" s="68" t="str">
        <f>CONCATENATE(A1380," - ",B1380)</f>
        <v>LA England - Adur</v>
      </c>
      <c r="D1380" s="490">
        <f t="shared" ref="D1380:D1444" si="274">I1380</f>
        <v>24508</v>
      </c>
      <c r="E1380" s="490">
        <f t="shared" ref="E1380:E1444" si="275">J1380</f>
        <v>27095</v>
      </c>
      <c r="F1380" s="491">
        <f t="shared" ref="F1380:F1444" si="276">G1380+H1380</f>
        <v>64687</v>
      </c>
      <c r="G1380" s="491">
        <f t="shared" ref="G1380:G1444" si="277">SUM(M1380:CY1380)</f>
        <v>31332</v>
      </c>
      <c r="H1380" s="492">
        <f t="shared" ref="H1380:H1444" si="278">SUM(CZ1380:GL1380)</f>
        <v>33355</v>
      </c>
      <c r="I1380" s="492">
        <f t="shared" ref="I1380:I1444" si="279">SUM(AE1380:CY1380)</f>
        <v>24508</v>
      </c>
      <c r="J1380" s="492">
        <f t="shared" ref="J1380:J1444" si="280">SUM(DR1380:GL1380)</f>
        <v>27095</v>
      </c>
      <c r="K1380" s="49">
        <f t="shared" ref="K1380:K1444" si="281">SUM(M1380:AD1380)</f>
        <v>6824</v>
      </c>
      <c r="L1380" s="490">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5">
        <v>336</v>
      </c>
      <c r="N1677" s="265">
        <v>399</v>
      </c>
      <c r="O1677" s="265">
        <v>349</v>
      </c>
      <c r="P1677" s="265">
        <v>382</v>
      </c>
      <c r="Q1677" s="265">
        <v>397</v>
      </c>
      <c r="R1677" s="265">
        <v>382</v>
      </c>
      <c r="S1677" s="265">
        <v>334</v>
      </c>
      <c r="T1677" s="265">
        <v>370</v>
      </c>
      <c r="U1677" s="265">
        <v>382</v>
      </c>
      <c r="V1677" s="265">
        <v>393</v>
      </c>
      <c r="W1677" s="265">
        <v>402</v>
      </c>
      <c r="X1677" s="265">
        <v>376</v>
      </c>
      <c r="Y1677" s="265">
        <v>426</v>
      </c>
      <c r="Z1677" s="265">
        <v>413</v>
      </c>
      <c r="AA1677" s="265">
        <v>438</v>
      </c>
      <c r="AB1677" s="265">
        <v>396</v>
      </c>
      <c r="AC1677" s="265">
        <v>329</v>
      </c>
      <c r="AD1677" s="265">
        <v>345</v>
      </c>
      <c r="AE1677" s="265">
        <v>361</v>
      </c>
      <c r="AF1677" s="265">
        <v>348</v>
      </c>
      <c r="AG1677" s="265">
        <v>313</v>
      </c>
      <c r="AH1677" s="265">
        <v>306</v>
      </c>
      <c r="AI1677" s="265">
        <v>367</v>
      </c>
      <c r="AJ1677" s="265">
        <v>383</v>
      </c>
      <c r="AK1677" s="265">
        <v>374</v>
      </c>
      <c r="AL1677" s="265">
        <v>407</v>
      </c>
      <c r="AM1677" s="265">
        <v>421</v>
      </c>
      <c r="AN1677" s="265">
        <v>360</v>
      </c>
      <c r="AO1677" s="265">
        <v>366</v>
      </c>
      <c r="AP1677" s="265">
        <v>456</v>
      </c>
      <c r="AQ1677" s="265">
        <v>450</v>
      </c>
      <c r="AR1677" s="265">
        <v>476</v>
      </c>
      <c r="AS1677" s="265">
        <v>463</v>
      </c>
      <c r="AT1677" s="265">
        <v>434</v>
      </c>
      <c r="AU1677" s="265">
        <v>482</v>
      </c>
      <c r="AV1677" s="265">
        <v>412</v>
      </c>
      <c r="AW1677" s="265">
        <v>433</v>
      </c>
      <c r="AX1677" s="265">
        <v>442</v>
      </c>
      <c r="AY1677" s="265">
        <v>438</v>
      </c>
      <c r="AZ1677" s="265">
        <v>396</v>
      </c>
      <c r="BA1677" s="265">
        <v>427</v>
      </c>
      <c r="BB1677" s="265">
        <v>360</v>
      </c>
      <c r="BC1677" s="265">
        <v>384</v>
      </c>
      <c r="BD1677" s="265">
        <v>378</v>
      </c>
      <c r="BE1677" s="265">
        <v>366</v>
      </c>
      <c r="BF1677" s="265">
        <v>352</v>
      </c>
      <c r="BG1677" s="265">
        <v>300</v>
      </c>
      <c r="BH1677" s="265">
        <v>338</v>
      </c>
      <c r="BI1677" s="265">
        <v>409</v>
      </c>
      <c r="BJ1677" s="265">
        <v>382</v>
      </c>
      <c r="BK1677" s="265">
        <v>432</v>
      </c>
      <c r="BL1677" s="265">
        <v>488</v>
      </c>
      <c r="BM1677" s="265">
        <v>474</v>
      </c>
      <c r="BN1677" s="265">
        <v>478</v>
      </c>
      <c r="BO1677" s="265">
        <v>516</v>
      </c>
      <c r="BP1677" s="265">
        <v>504</v>
      </c>
      <c r="BQ1677" s="265">
        <v>497</v>
      </c>
      <c r="BR1677" s="265">
        <v>519</v>
      </c>
      <c r="BS1677" s="265">
        <v>526</v>
      </c>
      <c r="BT1677" s="265">
        <v>509</v>
      </c>
      <c r="BU1677" s="265">
        <v>487</v>
      </c>
      <c r="BV1677" s="265">
        <v>492</v>
      </c>
      <c r="BW1677" s="265">
        <v>426</v>
      </c>
      <c r="BX1677" s="265">
        <v>434</v>
      </c>
      <c r="BY1677" s="265">
        <v>423</v>
      </c>
      <c r="BZ1677" s="265">
        <v>361</v>
      </c>
      <c r="CA1677" s="265">
        <v>439</v>
      </c>
      <c r="CB1677" s="265">
        <v>391</v>
      </c>
      <c r="CC1677" s="265">
        <v>372</v>
      </c>
      <c r="CD1677" s="265">
        <v>348</v>
      </c>
      <c r="CE1677" s="265">
        <v>371</v>
      </c>
      <c r="CF1677" s="265">
        <v>333</v>
      </c>
      <c r="CG1677" s="265">
        <v>348</v>
      </c>
      <c r="CH1677" s="265">
        <v>344</v>
      </c>
      <c r="CI1677" s="265">
        <v>346</v>
      </c>
      <c r="CJ1677" s="265">
        <v>334</v>
      </c>
      <c r="CK1677" s="265">
        <v>378</v>
      </c>
      <c r="CL1677" s="265">
        <v>278</v>
      </c>
      <c r="CM1677" s="265">
        <v>249</v>
      </c>
      <c r="CN1677" s="265">
        <v>228</v>
      </c>
      <c r="CO1677" s="265">
        <v>248</v>
      </c>
      <c r="CP1677" s="265">
        <v>192</v>
      </c>
      <c r="CQ1677" s="265">
        <v>169</v>
      </c>
      <c r="CR1677" s="265">
        <v>139</v>
      </c>
      <c r="CS1677" s="265">
        <v>153</v>
      </c>
      <c r="CT1677" s="265">
        <v>108</v>
      </c>
      <c r="CU1677" s="265">
        <v>90</v>
      </c>
      <c r="CV1677" s="265">
        <v>95</v>
      </c>
      <c r="CW1677" s="265">
        <v>75</v>
      </c>
      <c r="CX1677" s="265">
        <v>40</v>
      </c>
      <c r="CY1677" s="265">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5">
        <v>678</v>
      </c>
      <c r="N1678" s="265">
        <v>735</v>
      </c>
      <c r="O1678" s="265">
        <v>694</v>
      </c>
      <c r="P1678" s="265">
        <v>730</v>
      </c>
      <c r="Q1678" s="265">
        <v>759</v>
      </c>
      <c r="R1678" s="265">
        <v>792</v>
      </c>
      <c r="S1678" s="265">
        <v>821</v>
      </c>
      <c r="T1678" s="265">
        <v>821</v>
      </c>
      <c r="U1678" s="265">
        <v>863</v>
      </c>
      <c r="V1678" s="265">
        <v>873</v>
      </c>
      <c r="W1678" s="265">
        <v>876</v>
      </c>
      <c r="X1678" s="265">
        <v>873</v>
      </c>
      <c r="Y1678" s="265">
        <v>977</v>
      </c>
      <c r="Z1678" s="265">
        <v>892</v>
      </c>
      <c r="AA1678" s="265">
        <v>927</v>
      </c>
      <c r="AB1678" s="265">
        <v>890</v>
      </c>
      <c r="AC1678" s="265">
        <v>873</v>
      </c>
      <c r="AD1678" s="265">
        <v>842</v>
      </c>
      <c r="AE1678" s="265">
        <v>884</v>
      </c>
      <c r="AF1678" s="265">
        <v>708</v>
      </c>
      <c r="AG1678" s="265">
        <v>645</v>
      </c>
      <c r="AH1678" s="265">
        <v>652</v>
      </c>
      <c r="AI1678" s="265">
        <v>698</v>
      </c>
      <c r="AJ1678" s="265">
        <v>769</v>
      </c>
      <c r="AK1678" s="265">
        <v>835</v>
      </c>
      <c r="AL1678" s="265">
        <v>874</v>
      </c>
      <c r="AM1678" s="265">
        <v>965</v>
      </c>
      <c r="AN1678" s="265">
        <v>892</v>
      </c>
      <c r="AO1678" s="265">
        <v>834</v>
      </c>
      <c r="AP1678" s="265">
        <v>965</v>
      </c>
      <c r="AQ1678" s="265">
        <v>852</v>
      </c>
      <c r="AR1678" s="265">
        <v>987</v>
      </c>
      <c r="AS1678" s="265">
        <v>930</v>
      </c>
      <c r="AT1678" s="265">
        <v>976</v>
      </c>
      <c r="AU1678" s="265">
        <v>1027</v>
      </c>
      <c r="AV1678" s="265">
        <v>1005</v>
      </c>
      <c r="AW1678" s="265">
        <v>992</v>
      </c>
      <c r="AX1678" s="265">
        <v>957</v>
      </c>
      <c r="AY1678" s="265">
        <v>959</v>
      </c>
      <c r="AZ1678" s="265">
        <v>877</v>
      </c>
      <c r="BA1678" s="265">
        <v>888</v>
      </c>
      <c r="BB1678" s="265">
        <v>884</v>
      </c>
      <c r="BC1678" s="265">
        <v>931</v>
      </c>
      <c r="BD1678" s="265">
        <v>952</v>
      </c>
      <c r="BE1678" s="265">
        <v>878</v>
      </c>
      <c r="BF1678" s="265">
        <v>811</v>
      </c>
      <c r="BG1678" s="265">
        <v>774</v>
      </c>
      <c r="BH1678" s="265">
        <v>826</v>
      </c>
      <c r="BI1678" s="265">
        <v>824</v>
      </c>
      <c r="BJ1678" s="265">
        <v>896</v>
      </c>
      <c r="BK1678" s="265">
        <v>894</v>
      </c>
      <c r="BL1678" s="265">
        <v>1000</v>
      </c>
      <c r="BM1678" s="265">
        <v>1085</v>
      </c>
      <c r="BN1678" s="265">
        <v>960</v>
      </c>
      <c r="BO1678" s="265">
        <v>1020</v>
      </c>
      <c r="BP1678" s="265">
        <v>1073</v>
      </c>
      <c r="BQ1678" s="265">
        <v>1054</v>
      </c>
      <c r="BR1678" s="265">
        <v>1090</v>
      </c>
      <c r="BS1678" s="265">
        <v>1053</v>
      </c>
      <c r="BT1678" s="265">
        <v>1076</v>
      </c>
      <c r="BU1678" s="265">
        <v>996</v>
      </c>
      <c r="BV1678" s="265">
        <v>1035</v>
      </c>
      <c r="BW1678" s="265">
        <v>973</v>
      </c>
      <c r="BX1678" s="265">
        <v>921</v>
      </c>
      <c r="BY1678" s="265">
        <v>918</v>
      </c>
      <c r="BZ1678" s="265">
        <v>897</v>
      </c>
      <c r="CA1678" s="265">
        <v>829</v>
      </c>
      <c r="CB1678" s="265">
        <v>815</v>
      </c>
      <c r="CC1678" s="265">
        <v>750</v>
      </c>
      <c r="CD1678" s="265">
        <v>727</v>
      </c>
      <c r="CE1678" s="265">
        <v>766</v>
      </c>
      <c r="CF1678" s="265">
        <v>718</v>
      </c>
      <c r="CG1678" s="265">
        <v>762</v>
      </c>
      <c r="CH1678" s="265">
        <v>709</v>
      </c>
      <c r="CI1678" s="265">
        <v>749</v>
      </c>
      <c r="CJ1678" s="265">
        <v>735</v>
      </c>
      <c r="CK1678" s="265">
        <v>786</v>
      </c>
      <c r="CL1678" s="265">
        <v>615</v>
      </c>
      <c r="CM1678" s="265">
        <v>590</v>
      </c>
      <c r="CN1678" s="265">
        <v>566</v>
      </c>
      <c r="CO1678" s="265">
        <v>476</v>
      </c>
      <c r="CP1678" s="265">
        <v>419</v>
      </c>
      <c r="CQ1678" s="265">
        <v>422</v>
      </c>
      <c r="CR1678" s="265">
        <v>337</v>
      </c>
      <c r="CS1678" s="265">
        <v>305</v>
      </c>
      <c r="CT1678" s="265">
        <v>281</v>
      </c>
      <c r="CU1678" s="265">
        <v>231</v>
      </c>
      <c r="CV1678" s="265">
        <v>208</v>
      </c>
      <c r="CW1678" s="265">
        <v>200</v>
      </c>
      <c r="CX1678" s="265">
        <v>138</v>
      </c>
      <c r="CY1678" s="265">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5">
        <v>868</v>
      </c>
      <c r="N1679" s="265">
        <v>851</v>
      </c>
      <c r="O1679" s="265">
        <v>826</v>
      </c>
      <c r="P1679" s="265">
        <v>910</v>
      </c>
      <c r="Q1679" s="265">
        <v>954</v>
      </c>
      <c r="R1679" s="265">
        <v>1019</v>
      </c>
      <c r="S1679" s="265">
        <v>993</v>
      </c>
      <c r="T1679" s="265">
        <v>1030</v>
      </c>
      <c r="U1679" s="265">
        <v>1081</v>
      </c>
      <c r="V1679" s="265">
        <v>1074</v>
      </c>
      <c r="W1679" s="265">
        <v>1059</v>
      </c>
      <c r="X1679" s="265">
        <v>1089</v>
      </c>
      <c r="Y1679" s="265">
        <v>1091</v>
      </c>
      <c r="Z1679" s="265">
        <v>1150</v>
      </c>
      <c r="AA1679" s="265">
        <v>1135</v>
      </c>
      <c r="AB1679" s="265">
        <v>1140</v>
      </c>
      <c r="AC1679" s="265">
        <v>1045</v>
      </c>
      <c r="AD1679" s="265">
        <v>1023</v>
      </c>
      <c r="AE1679" s="265">
        <v>1015</v>
      </c>
      <c r="AF1679" s="265">
        <v>998</v>
      </c>
      <c r="AG1679" s="265">
        <v>832</v>
      </c>
      <c r="AH1679" s="265">
        <v>814</v>
      </c>
      <c r="AI1679" s="265">
        <v>945</v>
      </c>
      <c r="AJ1679" s="265">
        <v>990</v>
      </c>
      <c r="AK1679" s="265">
        <v>934</v>
      </c>
      <c r="AL1679" s="265">
        <v>911</v>
      </c>
      <c r="AM1679" s="265">
        <v>1132</v>
      </c>
      <c r="AN1679" s="265">
        <v>1016</v>
      </c>
      <c r="AO1679" s="265">
        <v>1027</v>
      </c>
      <c r="AP1679" s="265">
        <v>1031</v>
      </c>
      <c r="AQ1679" s="265">
        <v>1036</v>
      </c>
      <c r="AR1679" s="265">
        <v>1101</v>
      </c>
      <c r="AS1679" s="265">
        <v>1195</v>
      </c>
      <c r="AT1679" s="265">
        <v>1142</v>
      </c>
      <c r="AU1679" s="265">
        <v>1164</v>
      </c>
      <c r="AV1679" s="265">
        <v>1156</v>
      </c>
      <c r="AW1679" s="265">
        <v>1077</v>
      </c>
      <c r="AX1679" s="265">
        <v>1169</v>
      </c>
      <c r="AY1679" s="265">
        <v>1084</v>
      </c>
      <c r="AZ1679" s="265">
        <v>1094</v>
      </c>
      <c r="BA1679" s="265">
        <v>1056</v>
      </c>
      <c r="BB1679" s="265">
        <v>1014</v>
      </c>
      <c r="BC1679" s="265">
        <v>1068</v>
      </c>
      <c r="BD1679" s="265">
        <v>1083</v>
      </c>
      <c r="BE1679" s="265">
        <v>1005</v>
      </c>
      <c r="BF1679" s="265">
        <v>959</v>
      </c>
      <c r="BG1679" s="265">
        <v>992</v>
      </c>
      <c r="BH1679" s="265">
        <v>980</v>
      </c>
      <c r="BI1679" s="265">
        <v>981</v>
      </c>
      <c r="BJ1679" s="265">
        <v>1080</v>
      </c>
      <c r="BK1679" s="265">
        <v>1114</v>
      </c>
      <c r="BL1679" s="265">
        <v>1156</v>
      </c>
      <c r="BM1679" s="265">
        <v>1242</v>
      </c>
      <c r="BN1679" s="265">
        <v>1119</v>
      </c>
      <c r="BO1679" s="265">
        <v>1281</v>
      </c>
      <c r="BP1679" s="265">
        <v>1265</v>
      </c>
      <c r="BQ1679" s="265">
        <v>1199</v>
      </c>
      <c r="BR1679" s="265">
        <v>1256</v>
      </c>
      <c r="BS1679" s="265">
        <v>1267</v>
      </c>
      <c r="BT1679" s="265">
        <v>1254</v>
      </c>
      <c r="BU1679" s="265">
        <v>1261</v>
      </c>
      <c r="BV1679" s="265">
        <v>1173</v>
      </c>
      <c r="BW1679" s="265">
        <v>1128</v>
      </c>
      <c r="BX1679" s="265">
        <v>1099</v>
      </c>
      <c r="BY1679" s="265">
        <v>1047</v>
      </c>
      <c r="BZ1679" s="265">
        <v>1036</v>
      </c>
      <c r="CA1679" s="265">
        <v>1023</v>
      </c>
      <c r="CB1679" s="265">
        <v>907</v>
      </c>
      <c r="CC1679" s="265">
        <v>853</v>
      </c>
      <c r="CD1679" s="265">
        <v>981</v>
      </c>
      <c r="CE1679" s="265">
        <v>926</v>
      </c>
      <c r="CF1679" s="265">
        <v>837</v>
      </c>
      <c r="CG1679" s="265">
        <v>891</v>
      </c>
      <c r="CH1679" s="265">
        <v>914</v>
      </c>
      <c r="CI1679" s="265">
        <v>798</v>
      </c>
      <c r="CJ1679" s="265">
        <v>935</v>
      </c>
      <c r="CK1679" s="265">
        <v>955</v>
      </c>
      <c r="CL1679" s="265">
        <v>710</v>
      </c>
      <c r="CM1679" s="265">
        <v>643</v>
      </c>
      <c r="CN1679" s="265">
        <v>613</v>
      </c>
      <c r="CO1679" s="265">
        <v>541</v>
      </c>
      <c r="CP1679" s="265">
        <v>548</v>
      </c>
      <c r="CQ1679" s="265">
        <v>393</v>
      </c>
      <c r="CR1679" s="265">
        <v>410</v>
      </c>
      <c r="CS1679" s="265">
        <v>361</v>
      </c>
      <c r="CT1679" s="265">
        <v>311</v>
      </c>
      <c r="CU1679" s="265">
        <v>265</v>
      </c>
      <c r="CV1679" s="265">
        <v>230</v>
      </c>
      <c r="CW1679" s="265">
        <v>175</v>
      </c>
      <c r="CX1679" s="265">
        <v>149</v>
      </c>
      <c r="CY1679" s="265">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5">
        <v>1856</v>
      </c>
      <c r="N1680" s="265">
        <v>1981</v>
      </c>
      <c r="O1680" s="265">
        <v>1941</v>
      </c>
      <c r="P1680" s="265">
        <v>1924</v>
      </c>
      <c r="Q1680" s="265">
        <v>2013</v>
      </c>
      <c r="R1680" s="265">
        <v>2084</v>
      </c>
      <c r="S1680" s="265">
        <v>2131</v>
      </c>
      <c r="T1680" s="265">
        <v>2257</v>
      </c>
      <c r="U1680" s="265">
        <v>2209</v>
      </c>
      <c r="V1680" s="265">
        <v>2249</v>
      </c>
      <c r="W1680" s="265">
        <v>2197</v>
      </c>
      <c r="X1680" s="265">
        <v>2330</v>
      </c>
      <c r="Y1680" s="265">
        <v>2393</v>
      </c>
      <c r="Z1680" s="265">
        <v>2289</v>
      </c>
      <c r="AA1680" s="265">
        <v>2194</v>
      </c>
      <c r="AB1680" s="265">
        <v>2219</v>
      </c>
      <c r="AC1680" s="265">
        <v>2176</v>
      </c>
      <c r="AD1680" s="265">
        <v>2235</v>
      </c>
      <c r="AE1680" s="265">
        <v>2618</v>
      </c>
      <c r="AF1680" s="265">
        <v>4372</v>
      </c>
      <c r="AG1680" s="265">
        <v>4993</v>
      </c>
      <c r="AH1680" s="265">
        <v>5046</v>
      </c>
      <c r="AI1680" s="265">
        <v>4466</v>
      </c>
      <c r="AJ1680" s="265">
        <v>3868</v>
      </c>
      <c r="AK1680" s="265">
        <v>3679</v>
      </c>
      <c r="AL1680" s="265">
        <v>3544</v>
      </c>
      <c r="AM1680" s="265">
        <v>3562</v>
      </c>
      <c r="AN1680" s="265">
        <v>3432</v>
      </c>
      <c r="AO1680" s="265">
        <v>3283</v>
      </c>
      <c r="AP1680" s="265">
        <v>3098</v>
      </c>
      <c r="AQ1680" s="265">
        <v>3028</v>
      </c>
      <c r="AR1680" s="265">
        <v>2908</v>
      </c>
      <c r="AS1680" s="265">
        <v>2962</v>
      </c>
      <c r="AT1680" s="265">
        <v>2878</v>
      </c>
      <c r="AU1680" s="265">
        <v>2611</v>
      </c>
      <c r="AV1680" s="265">
        <v>2747</v>
      </c>
      <c r="AW1680" s="265">
        <v>2688</v>
      </c>
      <c r="AX1680" s="265">
        <v>2713</v>
      </c>
      <c r="AY1680" s="265">
        <v>2504</v>
      </c>
      <c r="AZ1680" s="265">
        <v>2555</v>
      </c>
      <c r="BA1680" s="265">
        <v>2597</v>
      </c>
      <c r="BB1680" s="265">
        <v>2352</v>
      </c>
      <c r="BC1680" s="265">
        <v>2384</v>
      </c>
      <c r="BD1680" s="265">
        <v>2348</v>
      </c>
      <c r="BE1680" s="265">
        <v>2293</v>
      </c>
      <c r="BF1680" s="265">
        <v>2065</v>
      </c>
      <c r="BG1680" s="265">
        <v>2157</v>
      </c>
      <c r="BH1680" s="265">
        <v>2018</v>
      </c>
      <c r="BI1680" s="265">
        <v>2024</v>
      </c>
      <c r="BJ1680" s="265">
        <v>2075</v>
      </c>
      <c r="BK1680" s="265">
        <v>1911</v>
      </c>
      <c r="BL1680" s="265">
        <v>1963</v>
      </c>
      <c r="BM1680" s="265">
        <v>2087</v>
      </c>
      <c r="BN1680" s="265">
        <v>2050</v>
      </c>
      <c r="BO1680" s="265">
        <v>2082</v>
      </c>
      <c r="BP1680" s="265">
        <v>1988</v>
      </c>
      <c r="BQ1680" s="265">
        <v>2060</v>
      </c>
      <c r="BR1680" s="265">
        <v>1882</v>
      </c>
      <c r="BS1680" s="265">
        <v>1987</v>
      </c>
      <c r="BT1680" s="265">
        <v>1923</v>
      </c>
      <c r="BU1680" s="265">
        <v>1878</v>
      </c>
      <c r="BV1680" s="265">
        <v>1984</v>
      </c>
      <c r="BW1680" s="265">
        <v>1780</v>
      </c>
      <c r="BX1680" s="265">
        <v>1797</v>
      </c>
      <c r="BY1680" s="265">
        <v>1770</v>
      </c>
      <c r="BZ1680" s="265">
        <v>1628</v>
      </c>
      <c r="CA1680" s="265">
        <v>1634</v>
      </c>
      <c r="CB1680" s="265">
        <v>1479</v>
      </c>
      <c r="CC1680" s="265">
        <v>1405</v>
      </c>
      <c r="CD1680" s="265">
        <v>1424</v>
      </c>
      <c r="CE1680" s="265">
        <v>1332</v>
      </c>
      <c r="CF1680" s="265">
        <v>1261</v>
      </c>
      <c r="CG1680" s="265">
        <v>1299</v>
      </c>
      <c r="CH1680" s="265">
        <v>1316</v>
      </c>
      <c r="CI1680" s="265">
        <v>1261</v>
      </c>
      <c r="CJ1680" s="265">
        <v>1222</v>
      </c>
      <c r="CK1680" s="265">
        <v>1315</v>
      </c>
      <c r="CL1680" s="265">
        <v>948</v>
      </c>
      <c r="CM1680" s="265">
        <v>898</v>
      </c>
      <c r="CN1680" s="265">
        <v>876</v>
      </c>
      <c r="CO1680" s="265">
        <v>706</v>
      </c>
      <c r="CP1680" s="265">
        <v>637</v>
      </c>
      <c r="CQ1680" s="265">
        <v>577</v>
      </c>
      <c r="CR1680" s="265">
        <v>553</v>
      </c>
      <c r="CS1680" s="265">
        <v>492</v>
      </c>
      <c r="CT1680" s="265">
        <v>451</v>
      </c>
      <c r="CU1680" s="265">
        <v>405</v>
      </c>
      <c r="CV1680" s="265">
        <v>355</v>
      </c>
      <c r="CW1680" s="265">
        <v>306</v>
      </c>
      <c r="CX1680" s="265">
        <v>234</v>
      </c>
      <c r="CY1680" s="265">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5">
        <v>813</v>
      </c>
      <c r="N1681" s="265">
        <v>875</v>
      </c>
      <c r="O1681" s="265">
        <v>870</v>
      </c>
      <c r="P1681" s="265">
        <v>874</v>
      </c>
      <c r="Q1681" s="265">
        <v>965</v>
      </c>
      <c r="R1681" s="265">
        <v>984</v>
      </c>
      <c r="S1681" s="265">
        <v>1020</v>
      </c>
      <c r="T1681" s="265">
        <v>1090</v>
      </c>
      <c r="U1681" s="265">
        <v>1073</v>
      </c>
      <c r="V1681" s="265">
        <v>1049</v>
      </c>
      <c r="W1681" s="265">
        <v>1095</v>
      </c>
      <c r="X1681" s="265">
        <v>1193</v>
      </c>
      <c r="Y1681" s="265">
        <v>1195</v>
      </c>
      <c r="Z1681" s="265">
        <v>1160</v>
      </c>
      <c r="AA1681" s="265">
        <v>1127</v>
      </c>
      <c r="AB1681" s="265">
        <v>1143</v>
      </c>
      <c r="AC1681" s="265">
        <v>1159</v>
      </c>
      <c r="AD1681" s="265">
        <v>1162</v>
      </c>
      <c r="AE1681" s="265">
        <v>1080</v>
      </c>
      <c r="AF1681" s="265">
        <v>871</v>
      </c>
      <c r="AG1681" s="265">
        <v>868</v>
      </c>
      <c r="AH1681" s="265">
        <v>842</v>
      </c>
      <c r="AI1681" s="265">
        <v>881</v>
      </c>
      <c r="AJ1681" s="265">
        <v>890</v>
      </c>
      <c r="AK1681" s="265">
        <v>925</v>
      </c>
      <c r="AL1681" s="265">
        <v>951</v>
      </c>
      <c r="AM1681" s="265">
        <v>1027</v>
      </c>
      <c r="AN1681" s="265">
        <v>1012</v>
      </c>
      <c r="AO1681" s="265">
        <v>940</v>
      </c>
      <c r="AP1681" s="265">
        <v>998</v>
      </c>
      <c r="AQ1681" s="265">
        <v>980</v>
      </c>
      <c r="AR1681" s="265">
        <v>1008</v>
      </c>
      <c r="AS1681" s="265">
        <v>1055</v>
      </c>
      <c r="AT1681" s="265">
        <v>1088</v>
      </c>
      <c r="AU1681" s="265">
        <v>1044</v>
      </c>
      <c r="AV1681" s="265">
        <v>1134</v>
      </c>
      <c r="AW1681" s="265">
        <v>1071</v>
      </c>
      <c r="AX1681" s="265">
        <v>1049</v>
      </c>
      <c r="AY1681" s="265">
        <v>1012</v>
      </c>
      <c r="AZ1681" s="265">
        <v>1042</v>
      </c>
      <c r="BA1681" s="265">
        <v>1020</v>
      </c>
      <c r="BB1681" s="265">
        <v>1028</v>
      </c>
      <c r="BC1681" s="265">
        <v>1069</v>
      </c>
      <c r="BD1681" s="265">
        <v>1059</v>
      </c>
      <c r="BE1681" s="265">
        <v>1009</v>
      </c>
      <c r="BF1681" s="265">
        <v>928</v>
      </c>
      <c r="BG1681" s="265">
        <v>925</v>
      </c>
      <c r="BH1681" s="265">
        <v>1017</v>
      </c>
      <c r="BI1681" s="265">
        <v>1045</v>
      </c>
      <c r="BJ1681" s="265">
        <v>1084</v>
      </c>
      <c r="BK1681" s="265">
        <v>1138</v>
      </c>
      <c r="BL1681" s="265">
        <v>1215</v>
      </c>
      <c r="BM1681" s="265">
        <v>1302</v>
      </c>
      <c r="BN1681" s="265">
        <v>1248</v>
      </c>
      <c r="BO1681" s="265">
        <v>1240</v>
      </c>
      <c r="BP1681" s="265">
        <v>1273</v>
      </c>
      <c r="BQ1681" s="265">
        <v>1377</v>
      </c>
      <c r="BR1681" s="265">
        <v>1389</v>
      </c>
      <c r="BS1681" s="265">
        <v>1431</v>
      </c>
      <c r="BT1681" s="265">
        <v>1476</v>
      </c>
      <c r="BU1681" s="265">
        <v>1334</v>
      </c>
      <c r="BV1681" s="265">
        <v>1428</v>
      </c>
      <c r="BW1681" s="265">
        <v>1363</v>
      </c>
      <c r="BX1681" s="265">
        <v>1341</v>
      </c>
      <c r="BY1681" s="265">
        <v>1270</v>
      </c>
      <c r="BZ1681" s="265">
        <v>1293</v>
      </c>
      <c r="CA1681" s="265">
        <v>1258</v>
      </c>
      <c r="CB1681" s="265">
        <v>1171</v>
      </c>
      <c r="CC1681" s="265">
        <v>1265</v>
      </c>
      <c r="CD1681" s="265">
        <v>1215</v>
      </c>
      <c r="CE1681" s="265">
        <v>1179</v>
      </c>
      <c r="CF1681" s="265">
        <v>1140</v>
      </c>
      <c r="CG1681" s="265">
        <v>1091</v>
      </c>
      <c r="CH1681" s="265">
        <v>1125</v>
      </c>
      <c r="CI1681" s="265">
        <v>1143</v>
      </c>
      <c r="CJ1681" s="265">
        <v>1158</v>
      </c>
      <c r="CK1681" s="265">
        <v>1139</v>
      </c>
      <c r="CL1681" s="265">
        <v>969</v>
      </c>
      <c r="CM1681" s="265">
        <v>884</v>
      </c>
      <c r="CN1681" s="265">
        <v>813</v>
      </c>
      <c r="CO1681" s="265">
        <v>736</v>
      </c>
      <c r="CP1681" s="265">
        <v>695</v>
      </c>
      <c r="CQ1681" s="265">
        <v>569</v>
      </c>
      <c r="CR1681" s="265">
        <v>515</v>
      </c>
      <c r="CS1681" s="265">
        <v>476</v>
      </c>
      <c r="CT1681" s="265">
        <v>405</v>
      </c>
      <c r="CU1681" s="265">
        <v>407</v>
      </c>
      <c r="CV1681" s="265">
        <v>308</v>
      </c>
      <c r="CW1681" s="265">
        <v>277</v>
      </c>
      <c r="CX1681" s="265">
        <v>234</v>
      </c>
      <c r="CY1681" s="265">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5">
        <v>259</v>
      </c>
      <c r="N1682" s="265">
        <v>275</v>
      </c>
      <c r="O1682" s="265">
        <v>247</v>
      </c>
      <c r="P1682" s="265">
        <v>281</v>
      </c>
      <c r="Q1682" s="265">
        <v>292</v>
      </c>
      <c r="R1682" s="265">
        <v>288</v>
      </c>
      <c r="S1682" s="265">
        <v>308</v>
      </c>
      <c r="T1682" s="265">
        <v>347</v>
      </c>
      <c r="U1682" s="265">
        <v>314</v>
      </c>
      <c r="V1682" s="265">
        <v>312</v>
      </c>
      <c r="W1682" s="265">
        <v>369</v>
      </c>
      <c r="X1682" s="265">
        <v>366</v>
      </c>
      <c r="Y1682" s="265">
        <v>382</v>
      </c>
      <c r="Z1682" s="265">
        <v>357</v>
      </c>
      <c r="AA1682" s="265">
        <v>331</v>
      </c>
      <c r="AB1682" s="265">
        <v>335</v>
      </c>
      <c r="AC1682" s="265">
        <v>346</v>
      </c>
      <c r="AD1682" s="265">
        <v>372</v>
      </c>
      <c r="AE1682" s="265">
        <v>487</v>
      </c>
      <c r="AF1682" s="265">
        <v>987</v>
      </c>
      <c r="AG1682" s="265">
        <v>1016</v>
      </c>
      <c r="AH1682" s="265">
        <v>855</v>
      </c>
      <c r="AI1682" s="265">
        <v>757</v>
      </c>
      <c r="AJ1682" s="265">
        <v>576</v>
      </c>
      <c r="AK1682" s="265">
        <v>509</v>
      </c>
      <c r="AL1682" s="265">
        <v>407</v>
      </c>
      <c r="AM1682" s="265">
        <v>332</v>
      </c>
      <c r="AN1682" s="265">
        <v>338</v>
      </c>
      <c r="AO1682" s="265">
        <v>349</v>
      </c>
      <c r="AP1682" s="265">
        <v>360</v>
      </c>
      <c r="AQ1682" s="265">
        <v>311</v>
      </c>
      <c r="AR1682" s="265">
        <v>358</v>
      </c>
      <c r="AS1682" s="265">
        <v>364</v>
      </c>
      <c r="AT1682" s="265">
        <v>347</v>
      </c>
      <c r="AU1682" s="265">
        <v>351</v>
      </c>
      <c r="AV1682" s="265">
        <v>367</v>
      </c>
      <c r="AW1682" s="265">
        <v>326</v>
      </c>
      <c r="AX1682" s="265">
        <v>306</v>
      </c>
      <c r="AY1682" s="265">
        <v>324</v>
      </c>
      <c r="AZ1682" s="265">
        <v>304</v>
      </c>
      <c r="BA1682" s="265">
        <v>337</v>
      </c>
      <c r="BB1682" s="265">
        <v>365</v>
      </c>
      <c r="BC1682" s="265">
        <v>344</v>
      </c>
      <c r="BD1682" s="265">
        <v>319</v>
      </c>
      <c r="BE1682" s="265">
        <v>319</v>
      </c>
      <c r="BF1682" s="265">
        <v>275</v>
      </c>
      <c r="BG1682" s="265">
        <v>308</v>
      </c>
      <c r="BH1682" s="265">
        <v>348</v>
      </c>
      <c r="BI1682" s="265">
        <v>359</v>
      </c>
      <c r="BJ1682" s="265">
        <v>358</v>
      </c>
      <c r="BK1682" s="265">
        <v>350</v>
      </c>
      <c r="BL1682" s="265">
        <v>407</v>
      </c>
      <c r="BM1682" s="265">
        <v>444</v>
      </c>
      <c r="BN1682" s="265">
        <v>443</v>
      </c>
      <c r="BO1682" s="265">
        <v>507</v>
      </c>
      <c r="BP1682" s="265">
        <v>487</v>
      </c>
      <c r="BQ1682" s="265">
        <v>523</v>
      </c>
      <c r="BR1682" s="265">
        <v>523</v>
      </c>
      <c r="BS1682" s="265">
        <v>497</v>
      </c>
      <c r="BT1682" s="265">
        <v>551</v>
      </c>
      <c r="BU1682" s="265">
        <v>557</v>
      </c>
      <c r="BV1682" s="265">
        <v>547</v>
      </c>
      <c r="BW1682" s="265">
        <v>531</v>
      </c>
      <c r="BX1682" s="265">
        <v>504</v>
      </c>
      <c r="BY1682" s="265">
        <v>519</v>
      </c>
      <c r="BZ1682" s="265">
        <v>519</v>
      </c>
      <c r="CA1682" s="265">
        <v>491</v>
      </c>
      <c r="CB1682" s="265">
        <v>513</v>
      </c>
      <c r="CC1682" s="265">
        <v>480</v>
      </c>
      <c r="CD1682" s="265">
        <v>477</v>
      </c>
      <c r="CE1682" s="265">
        <v>452</v>
      </c>
      <c r="CF1682" s="265">
        <v>473</v>
      </c>
      <c r="CG1682" s="265">
        <v>434</v>
      </c>
      <c r="CH1682" s="265">
        <v>460</v>
      </c>
      <c r="CI1682" s="265">
        <v>492</v>
      </c>
      <c r="CJ1682" s="265">
        <v>510</v>
      </c>
      <c r="CK1682" s="265">
        <v>479</v>
      </c>
      <c r="CL1682" s="265">
        <v>356</v>
      </c>
      <c r="CM1682" s="265">
        <v>364</v>
      </c>
      <c r="CN1682" s="265">
        <v>341</v>
      </c>
      <c r="CO1682" s="265">
        <v>332</v>
      </c>
      <c r="CP1682" s="265">
        <v>269</v>
      </c>
      <c r="CQ1682" s="265">
        <v>203</v>
      </c>
      <c r="CR1682" s="265">
        <v>233</v>
      </c>
      <c r="CS1682" s="265">
        <v>180</v>
      </c>
      <c r="CT1682" s="265">
        <v>172</v>
      </c>
      <c r="CU1682" s="265">
        <v>148</v>
      </c>
      <c r="CV1682" s="265">
        <v>118</v>
      </c>
      <c r="CW1682" s="265">
        <v>108</v>
      </c>
      <c r="CX1682" s="265">
        <v>91</v>
      </c>
      <c r="CY1682" s="265">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5">
        <v>461</v>
      </c>
      <c r="N1683" s="265">
        <v>495</v>
      </c>
      <c r="O1683" s="265">
        <v>470</v>
      </c>
      <c r="P1683" s="265">
        <v>532</v>
      </c>
      <c r="Q1683" s="265">
        <v>535</v>
      </c>
      <c r="R1683" s="265">
        <v>561</v>
      </c>
      <c r="S1683" s="265">
        <v>542</v>
      </c>
      <c r="T1683" s="265">
        <v>575</v>
      </c>
      <c r="U1683" s="265">
        <v>612</v>
      </c>
      <c r="V1683" s="265">
        <v>596</v>
      </c>
      <c r="W1683" s="265">
        <v>620</v>
      </c>
      <c r="X1683" s="265">
        <v>614</v>
      </c>
      <c r="Y1683" s="265">
        <v>704</v>
      </c>
      <c r="Z1683" s="265">
        <v>632</v>
      </c>
      <c r="AA1683" s="265">
        <v>632</v>
      </c>
      <c r="AB1683" s="265">
        <v>607</v>
      </c>
      <c r="AC1683" s="265">
        <v>643</v>
      </c>
      <c r="AD1683" s="265">
        <v>622</v>
      </c>
      <c r="AE1683" s="265">
        <v>611</v>
      </c>
      <c r="AF1683" s="265">
        <v>476</v>
      </c>
      <c r="AG1683" s="265">
        <v>402</v>
      </c>
      <c r="AH1683" s="265">
        <v>411</v>
      </c>
      <c r="AI1683" s="265">
        <v>460</v>
      </c>
      <c r="AJ1683" s="265">
        <v>540</v>
      </c>
      <c r="AK1683" s="265">
        <v>534</v>
      </c>
      <c r="AL1683" s="265">
        <v>614</v>
      </c>
      <c r="AM1683" s="265">
        <v>583</v>
      </c>
      <c r="AN1683" s="265">
        <v>477</v>
      </c>
      <c r="AO1683" s="265">
        <v>568</v>
      </c>
      <c r="AP1683" s="265">
        <v>536</v>
      </c>
      <c r="AQ1683" s="265">
        <v>539</v>
      </c>
      <c r="AR1683" s="265">
        <v>585</v>
      </c>
      <c r="AS1683" s="265">
        <v>621</v>
      </c>
      <c r="AT1683" s="265">
        <v>565</v>
      </c>
      <c r="AU1683" s="265">
        <v>617</v>
      </c>
      <c r="AV1683" s="265">
        <v>578</v>
      </c>
      <c r="AW1683" s="265">
        <v>604</v>
      </c>
      <c r="AX1683" s="265">
        <v>542</v>
      </c>
      <c r="AY1683" s="265">
        <v>582</v>
      </c>
      <c r="AZ1683" s="265">
        <v>560</v>
      </c>
      <c r="BA1683" s="265">
        <v>536</v>
      </c>
      <c r="BB1683" s="265">
        <v>554</v>
      </c>
      <c r="BC1683" s="265">
        <v>611</v>
      </c>
      <c r="BD1683" s="265">
        <v>635</v>
      </c>
      <c r="BE1683" s="265">
        <v>572</v>
      </c>
      <c r="BF1683" s="265">
        <v>480</v>
      </c>
      <c r="BG1683" s="265">
        <v>557</v>
      </c>
      <c r="BH1683" s="265">
        <v>553</v>
      </c>
      <c r="BI1683" s="265">
        <v>568</v>
      </c>
      <c r="BJ1683" s="265">
        <v>609</v>
      </c>
      <c r="BK1683" s="265">
        <v>686</v>
      </c>
      <c r="BL1683" s="265">
        <v>796</v>
      </c>
      <c r="BM1683" s="265">
        <v>785</v>
      </c>
      <c r="BN1683" s="265">
        <v>751</v>
      </c>
      <c r="BO1683" s="265">
        <v>815</v>
      </c>
      <c r="BP1683" s="265">
        <v>781</v>
      </c>
      <c r="BQ1683" s="265">
        <v>835</v>
      </c>
      <c r="BR1683" s="265">
        <v>891</v>
      </c>
      <c r="BS1683" s="265">
        <v>894</v>
      </c>
      <c r="BT1683" s="265">
        <v>874</v>
      </c>
      <c r="BU1683" s="265">
        <v>890</v>
      </c>
      <c r="BV1683" s="265">
        <v>891</v>
      </c>
      <c r="BW1683" s="265">
        <v>898</v>
      </c>
      <c r="BX1683" s="265">
        <v>890</v>
      </c>
      <c r="BY1683" s="265">
        <v>826</v>
      </c>
      <c r="BZ1683" s="265">
        <v>798</v>
      </c>
      <c r="CA1683" s="265">
        <v>792</v>
      </c>
      <c r="CB1683" s="265">
        <v>749</v>
      </c>
      <c r="CC1683" s="265">
        <v>712</v>
      </c>
      <c r="CD1683" s="265">
        <v>775</v>
      </c>
      <c r="CE1683" s="265">
        <v>742</v>
      </c>
      <c r="CF1683" s="265">
        <v>726</v>
      </c>
      <c r="CG1683" s="265">
        <v>759</v>
      </c>
      <c r="CH1683" s="265">
        <v>718</v>
      </c>
      <c r="CI1683" s="265">
        <v>807</v>
      </c>
      <c r="CJ1683" s="265">
        <v>844</v>
      </c>
      <c r="CK1683" s="265">
        <v>825</v>
      </c>
      <c r="CL1683" s="265">
        <v>658</v>
      </c>
      <c r="CM1683" s="265">
        <v>602</v>
      </c>
      <c r="CN1683" s="265">
        <v>563</v>
      </c>
      <c r="CO1683" s="265">
        <v>509</v>
      </c>
      <c r="CP1683" s="265">
        <v>456</v>
      </c>
      <c r="CQ1683" s="265">
        <v>381</v>
      </c>
      <c r="CR1683" s="265">
        <v>343</v>
      </c>
      <c r="CS1683" s="265">
        <v>344</v>
      </c>
      <c r="CT1683" s="265">
        <v>264</v>
      </c>
      <c r="CU1683" s="265">
        <v>245</v>
      </c>
      <c r="CV1683" s="265">
        <v>228</v>
      </c>
      <c r="CW1683" s="265">
        <v>226</v>
      </c>
      <c r="CX1683" s="265">
        <v>166</v>
      </c>
      <c r="CY1683" s="265">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5">
        <v>401</v>
      </c>
      <c r="N1684" s="265">
        <v>464</v>
      </c>
      <c r="O1684" s="265">
        <v>512</v>
      </c>
      <c r="P1684" s="265">
        <v>526</v>
      </c>
      <c r="Q1684" s="265">
        <v>494</v>
      </c>
      <c r="R1684" s="265">
        <v>503</v>
      </c>
      <c r="S1684" s="265">
        <v>548</v>
      </c>
      <c r="T1684" s="265">
        <v>535</v>
      </c>
      <c r="U1684" s="265">
        <v>564</v>
      </c>
      <c r="V1684" s="265">
        <v>534</v>
      </c>
      <c r="W1684" s="265">
        <v>578</v>
      </c>
      <c r="X1684" s="265">
        <v>560</v>
      </c>
      <c r="Y1684" s="265">
        <v>600</v>
      </c>
      <c r="Z1684" s="265">
        <v>625</v>
      </c>
      <c r="AA1684" s="265">
        <v>616</v>
      </c>
      <c r="AB1684" s="265">
        <v>624</v>
      </c>
      <c r="AC1684" s="265">
        <v>599</v>
      </c>
      <c r="AD1684" s="265">
        <v>600</v>
      </c>
      <c r="AE1684" s="265">
        <v>622</v>
      </c>
      <c r="AF1684" s="265">
        <v>448</v>
      </c>
      <c r="AG1684" s="265">
        <v>447</v>
      </c>
      <c r="AH1684" s="265">
        <v>401</v>
      </c>
      <c r="AI1684" s="265">
        <v>463</v>
      </c>
      <c r="AJ1684" s="265">
        <v>442</v>
      </c>
      <c r="AK1684" s="265">
        <v>460</v>
      </c>
      <c r="AL1684" s="265">
        <v>490</v>
      </c>
      <c r="AM1684" s="265">
        <v>505</v>
      </c>
      <c r="AN1684" s="265">
        <v>514</v>
      </c>
      <c r="AO1684" s="265">
        <v>484</v>
      </c>
      <c r="AP1684" s="265">
        <v>524</v>
      </c>
      <c r="AQ1684" s="265">
        <v>480</v>
      </c>
      <c r="AR1684" s="265">
        <v>514</v>
      </c>
      <c r="AS1684" s="265">
        <v>537</v>
      </c>
      <c r="AT1684" s="265">
        <v>539</v>
      </c>
      <c r="AU1684" s="265">
        <v>492</v>
      </c>
      <c r="AV1684" s="265">
        <v>534</v>
      </c>
      <c r="AW1684" s="265">
        <v>529</v>
      </c>
      <c r="AX1684" s="265">
        <v>505</v>
      </c>
      <c r="AY1684" s="265">
        <v>491</v>
      </c>
      <c r="AZ1684" s="265">
        <v>520</v>
      </c>
      <c r="BA1684" s="265">
        <v>453</v>
      </c>
      <c r="BB1684" s="265">
        <v>497</v>
      </c>
      <c r="BC1684" s="265">
        <v>492</v>
      </c>
      <c r="BD1684" s="265">
        <v>506</v>
      </c>
      <c r="BE1684" s="265">
        <v>470</v>
      </c>
      <c r="BF1684" s="265">
        <v>424</v>
      </c>
      <c r="BG1684" s="265">
        <v>467</v>
      </c>
      <c r="BH1684" s="265">
        <v>512</v>
      </c>
      <c r="BI1684" s="265">
        <v>538</v>
      </c>
      <c r="BJ1684" s="265">
        <v>533</v>
      </c>
      <c r="BK1684" s="265">
        <v>551</v>
      </c>
      <c r="BL1684" s="265">
        <v>641</v>
      </c>
      <c r="BM1684" s="265">
        <v>668</v>
      </c>
      <c r="BN1684" s="265">
        <v>666</v>
      </c>
      <c r="BO1684" s="265">
        <v>668</v>
      </c>
      <c r="BP1684" s="265">
        <v>655</v>
      </c>
      <c r="BQ1684" s="265">
        <v>730</v>
      </c>
      <c r="BR1684" s="265">
        <v>672</v>
      </c>
      <c r="BS1684" s="265">
        <v>765</v>
      </c>
      <c r="BT1684" s="265">
        <v>757</v>
      </c>
      <c r="BU1684" s="265">
        <v>717</v>
      </c>
      <c r="BV1684" s="265">
        <v>753</v>
      </c>
      <c r="BW1684" s="265">
        <v>656</v>
      </c>
      <c r="BX1684" s="265">
        <v>699</v>
      </c>
      <c r="BY1684" s="265">
        <v>663</v>
      </c>
      <c r="BZ1684" s="265">
        <v>644</v>
      </c>
      <c r="CA1684" s="265">
        <v>637</v>
      </c>
      <c r="CB1684" s="265">
        <v>610</v>
      </c>
      <c r="CC1684" s="265">
        <v>595</v>
      </c>
      <c r="CD1684" s="265">
        <v>599</v>
      </c>
      <c r="CE1684" s="265">
        <v>582</v>
      </c>
      <c r="CF1684" s="265">
        <v>534</v>
      </c>
      <c r="CG1684" s="265">
        <v>543</v>
      </c>
      <c r="CH1684" s="265">
        <v>590</v>
      </c>
      <c r="CI1684" s="265">
        <v>638</v>
      </c>
      <c r="CJ1684" s="265">
        <v>658</v>
      </c>
      <c r="CK1684" s="265">
        <v>651</v>
      </c>
      <c r="CL1684" s="265">
        <v>445</v>
      </c>
      <c r="CM1684" s="265">
        <v>418</v>
      </c>
      <c r="CN1684" s="265">
        <v>441</v>
      </c>
      <c r="CO1684" s="265">
        <v>416</v>
      </c>
      <c r="CP1684" s="265">
        <v>329</v>
      </c>
      <c r="CQ1684" s="265">
        <v>319</v>
      </c>
      <c r="CR1684" s="265">
        <v>263</v>
      </c>
      <c r="CS1684" s="265">
        <v>231</v>
      </c>
      <c r="CT1684" s="265">
        <v>211</v>
      </c>
      <c r="CU1684" s="265">
        <v>197</v>
      </c>
      <c r="CV1684" s="265">
        <v>160</v>
      </c>
      <c r="CW1684" s="265">
        <v>148</v>
      </c>
      <c r="CX1684" s="265">
        <v>105</v>
      </c>
      <c r="CY1684" s="265">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5">
        <v>698</v>
      </c>
      <c r="N1685" s="265">
        <v>720</v>
      </c>
      <c r="O1685" s="265">
        <v>806</v>
      </c>
      <c r="P1685" s="265">
        <v>775</v>
      </c>
      <c r="Q1685" s="265">
        <v>793</v>
      </c>
      <c r="R1685" s="265">
        <v>823</v>
      </c>
      <c r="S1685" s="265">
        <v>841</v>
      </c>
      <c r="T1685" s="265">
        <v>864</v>
      </c>
      <c r="U1685" s="265">
        <v>911</v>
      </c>
      <c r="V1685" s="265">
        <v>911</v>
      </c>
      <c r="W1685" s="265">
        <v>903</v>
      </c>
      <c r="X1685" s="265">
        <v>976</v>
      </c>
      <c r="Y1685" s="265">
        <v>949</v>
      </c>
      <c r="Z1685" s="265">
        <v>1013</v>
      </c>
      <c r="AA1685" s="265">
        <v>950</v>
      </c>
      <c r="AB1685" s="265">
        <v>1048</v>
      </c>
      <c r="AC1685" s="265">
        <v>976</v>
      </c>
      <c r="AD1685" s="265">
        <v>901</v>
      </c>
      <c r="AE1685" s="265">
        <v>898</v>
      </c>
      <c r="AF1685" s="265">
        <v>756</v>
      </c>
      <c r="AG1685" s="265">
        <v>647</v>
      </c>
      <c r="AH1685" s="265">
        <v>684</v>
      </c>
      <c r="AI1685" s="265">
        <v>712</v>
      </c>
      <c r="AJ1685" s="265">
        <v>744</v>
      </c>
      <c r="AK1685" s="265">
        <v>876</v>
      </c>
      <c r="AL1685" s="265">
        <v>855</v>
      </c>
      <c r="AM1685" s="265">
        <v>832</v>
      </c>
      <c r="AN1685" s="265">
        <v>824</v>
      </c>
      <c r="AO1685" s="265">
        <v>834</v>
      </c>
      <c r="AP1685" s="265">
        <v>859</v>
      </c>
      <c r="AQ1685" s="265">
        <v>913</v>
      </c>
      <c r="AR1685" s="265">
        <v>1003</v>
      </c>
      <c r="AS1685" s="265">
        <v>902</v>
      </c>
      <c r="AT1685" s="265">
        <v>907</v>
      </c>
      <c r="AU1685" s="265">
        <v>948</v>
      </c>
      <c r="AV1685" s="265">
        <v>984</v>
      </c>
      <c r="AW1685" s="265">
        <v>951</v>
      </c>
      <c r="AX1685" s="265">
        <v>993</v>
      </c>
      <c r="AY1685" s="265">
        <v>910</v>
      </c>
      <c r="AZ1685" s="265">
        <v>865</v>
      </c>
      <c r="BA1685" s="265">
        <v>894</v>
      </c>
      <c r="BB1685" s="265">
        <v>945</v>
      </c>
      <c r="BC1685" s="265">
        <v>931</v>
      </c>
      <c r="BD1685" s="265">
        <v>937</v>
      </c>
      <c r="BE1685" s="265">
        <v>899</v>
      </c>
      <c r="BF1685" s="265">
        <v>863</v>
      </c>
      <c r="BG1685" s="265">
        <v>807</v>
      </c>
      <c r="BH1685" s="265">
        <v>843</v>
      </c>
      <c r="BI1685" s="265">
        <v>929</v>
      </c>
      <c r="BJ1685" s="265">
        <v>962</v>
      </c>
      <c r="BK1685" s="265">
        <v>993</v>
      </c>
      <c r="BL1685" s="265">
        <v>1135</v>
      </c>
      <c r="BM1685" s="265">
        <v>1166</v>
      </c>
      <c r="BN1685" s="265">
        <v>1169</v>
      </c>
      <c r="BO1685" s="265">
        <v>1223</v>
      </c>
      <c r="BP1685" s="265">
        <v>1217</v>
      </c>
      <c r="BQ1685" s="265">
        <v>1120</v>
      </c>
      <c r="BR1685" s="265">
        <v>1125</v>
      </c>
      <c r="BS1685" s="265">
        <v>1152</v>
      </c>
      <c r="BT1685" s="265">
        <v>1196</v>
      </c>
      <c r="BU1685" s="265">
        <v>1088</v>
      </c>
      <c r="BV1685" s="265">
        <v>1143</v>
      </c>
      <c r="BW1685" s="265">
        <v>1056</v>
      </c>
      <c r="BX1685" s="265">
        <v>1016</v>
      </c>
      <c r="BY1685" s="265">
        <v>1023</v>
      </c>
      <c r="BZ1685" s="265">
        <v>899</v>
      </c>
      <c r="CA1685" s="265">
        <v>872</v>
      </c>
      <c r="CB1685" s="265">
        <v>867</v>
      </c>
      <c r="CC1685" s="265">
        <v>780</v>
      </c>
      <c r="CD1685" s="265">
        <v>796</v>
      </c>
      <c r="CE1685" s="265">
        <v>831</v>
      </c>
      <c r="CF1685" s="265">
        <v>750</v>
      </c>
      <c r="CG1685" s="265">
        <v>867</v>
      </c>
      <c r="CH1685" s="265">
        <v>820</v>
      </c>
      <c r="CI1685" s="265">
        <v>855</v>
      </c>
      <c r="CJ1685" s="265">
        <v>885</v>
      </c>
      <c r="CK1685" s="265">
        <v>975</v>
      </c>
      <c r="CL1685" s="265">
        <v>604</v>
      </c>
      <c r="CM1685" s="265">
        <v>620</v>
      </c>
      <c r="CN1685" s="265">
        <v>617</v>
      </c>
      <c r="CO1685" s="265">
        <v>525</v>
      </c>
      <c r="CP1685" s="265">
        <v>445</v>
      </c>
      <c r="CQ1685" s="265">
        <v>397</v>
      </c>
      <c r="CR1685" s="265">
        <v>393</v>
      </c>
      <c r="CS1685" s="265">
        <v>316</v>
      </c>
      <c r="CT1685" s="265">
        <v>324</v>
      </c>
      <c r="CU1685" s="265">
        <v>263</v>
      </c>
      <c r="CV1685" s="265">
        <v>217</v>
      </c>
      <c r="CW1685" s="265">
        <v>188</v>
      </c>
      <c r="CX1685" s="265">
        <v>137</v>
      </c>
      <c r="CY1685" s="265">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5">
        <v>505</v>
      </c>
      <c r="N1686" s="265">
        <v>565</v>
      </c>
      <c r="O1686" s="265">
        <v>523</v>
      </c>
      <c r="P1686" s="265">
        <v>553</v>
      </c>
      <c r="Q1686" s="265">
        <v>564</v>
      </c>
      <c r="R1686" s="265">
        <v>601</v>
      </c>
      <c r="S1686" s="265">
        <v>557</v>
      </c>
      <c r="T1686" s="265">
        <v>674</v>
      </c>
      <c r="U1686" s="265">
        <v>595</v>
      </c>
      <c r="V1686" s="265">
        <v>673</v>
      </c>
      <c r="W1686" s="265">
        <v>651</v>
      </c>
      <c r="X1686" s="265">
        <v>667</v>
      </c>
      <c r="Y1686" s="265">
        <v>658</v>
      </c>
      <c r="Z1686" s="265">
        <v>728</v>
      </c>
      <c r="AA1686" s="265">
        <v>669</v>
      </c>
      <c r="AB1686" s="265">
        <v>671</v>
      </c>
      <c r="AC1686" s="265">
        <v>676</v>
      </c>
      <c r="AD1686" s="265">
        <v>643</v>
      </c>
      <c r="AE1686" s="265">
        <v>629</v>
      </c>
      <c r="AF1686" s="265">
        <v>788</v>
      </c>
      <c r="AG1686" s="265">
        <v>949</v>
      </c>
      <c r="AH1686" s="265">
        <v>929</v>
      </c>
      <c r="AI1686" s="265">
        <v>902</v>
      </c>
      <c r="AJ1686" s="265">
        <v>887</v>
      </c>
      <c r="AK1686" s="265">
        <v>831</v>
      </c>
      <c r="AL1686" s="265">
        <v>730</v>
      </c>
      <c r="AM1686" s="265">
        <v>671</v>
      </c>
      <c r="AN1686" s="265">
        <v>661</v>
      </c>
      <c r="AO1686" s="265">
        <v>662</v>
      </c>
      <c r="AP1686" s="265">
        <v>665</v>
      </c>
      <c r="AQ1686" s="265">
        <v>662</v>
      </c>
      <c r="AR1686" s="265">
        <v>698</v>
      </c>
      <c r="AS1686" s="265">
        <v>676</v>
      </c>
      <c r="AT1686" s="265">
        <v>695</v>
      </c>
      <c r="AU1686" s="265">
        <v>693</v>
      </c>
      <c r="AV1686" s="265">
        <v>688</v>
      </c>
      <c r="AW1686" s="265">
        <v>703</v>
      </c>
      <c r="AX1686" s="265">
        <v>619</v>
      </c>
      <c r="AY1686" s="265">
        <v>613</v>
      </c>
      <c r="AZ1686" s="265">
        <v>586</v>
      </c>
      <c r="BA1686" s="265">
        <v>606</v>
      </c>
      <c r="BB1686" s="265">
        <v>606</v>
      </c>
      <c r="BC1686" s="265">
        <v>609</v>
      </c>
      <c r="BD1686" s="265">
        <v>613</v>
      </c>
      <c r="BE1686" s="265">
        <v>572</v>
      </c>
      <c r="BF1686" s="265">
        <v>558</v>
      </c>
      <c r="BG1686" s="265">
        <v>579</v>
      </c>
      <c r="BH1686" s="265">
        <v>617</v>
      </c>
      <c r="BI1686" s="265">
        <v>615</v>
      </c>
      <c r="BJ1686" s="265">
        <v>673</v>
      </c>
      <c r="BK1686" s="265">
        <v>721</v>
      </c>
      <c r="BL1686" s="265">
        <v>782</v>
      </c>
      <c r="BM1686" s="265">
        <v>832</v>
      </c>
      <c r="BN1686" s="265">
        <v>804</v>
      </c>
      <c r="BO1686" s="265">
        <v>784</v>
      </c>
      <c r="BP1686" s="265">
        <v>800</v>
      </c>
      <c r="BQ1686" s="265">
        <v>837</v>
      </c>
      <c r="BR1686" s="265">
        <v>872</v>
      </c>
      <c r="BS1686" s="265">
        <v>868</v>
      </c>
      <c r="BT1686" s="265">
        <v>882</v>
      </c>
      <c r="BU1686" s="265">
        <v>885</v>
      </c>
      <c r="BV1686" s="265">
        <v>876</v>
      </c>
      <c r="BW1686" s="265">
        <v>851</v>
      </c>
      <c r="BX1686" s="265">
        <v>774</v>
      </c>
      <c r="BY1686" s="265">
        <v>760</v>
      </c>
      <c r="BZ1686" s="265">
        <v>811</v>
      </c>
      <c r="CA1686" s="265">
        <v>751</v>
      </c>
      <c r="CB1686" s="265">
        <v>716</v>
      </c>
      <c r="CC1686" s="265">
        <v>721</v>
      </c>
      <c r="CD1686" s="265">
        <v>670</v>
      </c>
      <c r="CE1686" s="265">
        <v>707</v>
      </c>
      <c r="CF1686" s="265">
        <v>639</v>
      </c>
      <c r="CG1686" s="265">
        <v>622</v>
      </c>
      <c r="CH1686" s="265">
        <v>631</v>
      </c>
      <c r="CI1686" s="265">
        <v>708</v>
      </c>
      <c r="CJ1686" s="265">
        <v>740</v>
      </c>
      <c r="CK1686" s="265">
        <v>700</v>
      </c>
      <c r="CL1686" s="265">
        <v>565</v>
      </c>
      <c r="CM1686" s="265">
        <v>496</v>
      </c>
      <c r="CN1686" s="265">
        <v>504</v>
      </c>
      <c r="CO1686" s="265">
        <v>451</v>
      </c>
      <c r="CP1686" s="265">
        <v>360</v>
      </c>
      <c r="CQ1686" s="265">
        <v>283</v>
      </c>
      <c r="CR1686" s="265">
        <v>309</v>
      </c>
      <c r="CS1686" s="265">
        <v>303</v>
      </c>
      <c r="CT1686" s="265">
        <v>230</v>
      </c>
      <c r="CU1686" s="265">
        <v>233</v>
      </c>
      <c r="CV1686" s="265">
        <v>208</v>
      </c>
      <c r="CW1686" s="265">
        <v>169</v>
      </c>
      <c r="CX1686" s="265">
        <v>129</v>
      </c>
      <c r="CY1686" s="265">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5">
        <v>264</v>
      </c>
      <c r="N1687" s="265">
        <v>280</v>
      </c>
      <c r="O1687" s="265">
        <v>322</v>
      </c>
      <c r="P1687" s="265">
        <v>308</v>
      </c>
      <c r="Q1687" s="265">
        <v>320</v>
      </c>
      <c r="R1687" s="265">
        <v>344</v>
      </c>
      <c r="S1687" s="265">
        <v>395</v>
      </c>
      <c r="T1687" s="265">
        <v>401</v>
      </c>
      <c r="U1687" s="265">
        <v>365</v>
      </c>
      <c r="V1687" s="265">
        <v>394</v>
      </c>
      <c r="W1687" s="265">
        <v>421</v>
      </c>
      <c r="X1687" s="265">
        <v>400</v>
      </c>
      <c r="Y1687" s="265">
        <v>441</v>
      </c>
      <c r="Z1687" s="265">
        <v>413</v>
      </c>
      <c r="AA1687" s="265">
        <v>437</v>
      </c>
      <c r="AB1687" s="265">
        <v>381</v>
      </c>
      <c r="AC1687" s="265">
        <v>394</v>
      </c>
      <c r="AD1687" s="265">
        <v>397</v>
      </c>
      <c r="AE1687" s="265">
        <v>373</v>
      </c>
      <c r="AF1687" s="265">
        <v>298</v>
      </c>
      <c r="AG1687" s="265">
        <v>289</v>
      </c>
      <c r="AH1687" s="265">
        <v>327</v>
      </c>
      <c r="AI1687" s="265">
        <v>296</v>
      </c>
      <c r="AJ1687" s="265">
        <v>278</v>
      </c>
      <c r="AK1687" s="265">
        <v>364</v>
      </c>
      <c r="AL1687" s="265">
        <v>298</v>
      </c>
      <c r="AM1687" s="265">
        <v>306</v>
      </c>
      <c r="AN1687" s="265">
        <v>324</v>
      </c>
      <c r="AO1687" s="265">
        <v>329</v>
      </c>
      <c r="AP1687" s="265">
        <v>360</v>
      </c>
      <c r="AQ1687" s="265">
        <v>346</v>
      </c>
      <c r="AR1687" s="265">
        <v>341</v>
      </c>
      <c r="AS1687" s="265">
        <v>340</v>
      </c>
      <c r="AT1687" s="265">
        <v>357</v>
      </c>
      <c r="AU1687" s="265">
        <v>356</v>
      </c>
      <c r="AV1687" s="265">
        <v>390</v>
      </c>
      <c r="AW1687" s="265">
        <v>375</v>
      </c>
      <c r="AX1687" s="265">
        <v>326</v>
      </c>
      <c r="AY1687" s="265">
        <v>353</v>
      </c>
      <c r="AZ1687" s="265">
        <v>372</v>
      </c>
      <c r="BA1687" s="265">
        <v>339</v>
      </c>
      <c r="BB1687" s="265">
        <v>325</v>
      </c>
      <c r="BC1687" s="265">
        <v>345</v>
      </c>
      <c r="BD1687" s="265">
        <v>369</v>
      </c>
      <c r="BE1687" s="265">
        <v>381</v>
      </c>
      <c r="BF1687" s="265">
        <v>328</v>
      </c>
      <c r="BG1687" s="265">
        <v>317</v>
      </c>
      <c r="BH1687" s="265">
        <v>325</v>
      </c>
      <c r="BI1687" s="265">
        <v>353</v>
      </c>
      <c r="BJ1687" s="265">
        <v>370</v>
      </c>
      <c r="BK1687" s="265">
        <v>436</v>
      </c>
      <c r="BL1687" s="265">
        <v>456</v>
      </c>
      <c r="BM1687" s="265">
        <v>494</v>
      </c>
      <c r="BN1687" s="265">
        <v>445</v>
      </c>
      <c r="BO1687" s="265">
        <v>474</v>
      </c>
      <c r="BP1687" s="265">
        <v>484</v>
      </c>
      <c r="BQ1687" s="265">
        <v>523</v>
      </c>
      <c r="BR1687" s="265">
        <v>492</v>
      </c>
      <c r="BS1687" s="265">
        <v>546</v>
      </c>
      <c r="BT1687" s="265">
        <v>544</v>
      </c>
      <c r="BU1687" s="265">
        <v>582</v>
      </c>
      <c r="BV1687" s="265">
        <v>524</v>
      </c>
      <c r="BW1687" s="265">
        <v>519</v>
      </c>
      <c r="BX1687" s="265">
        <v>551</v>
      </c>
      <c r="BY1687" s="265">
        <v>529</v>
      </c>
      <c r="BZ1687" s="265">
        <v>489</v>
      </c>
      <c r="CA1687" s="265">
        <v>466</v>
      </c>
      <c r="CB1687" s="265">
        <v>489</v>
      </c>
      <c r="CC1687" s="265">
        <v>477</v>
      </c>
      <c r="CD1687" s="265">
        <v>463</v>
      </c>
      <c r="CE1687" s="265">
        <v>456</v>
      </c>
      <c r="CF1687" s="265">
        <v>448</v>
      </c>
      <c r="CG1687" s="265">
        <v>427</v>
      </c>
      <c r="CH1687" s="265">
        <v>465</v>
      </c>
      <c r="CI1687" s="265">
        <v>476</v>
      </c>
      <c r="CJ1687" s="265">
        <v>488</v>
      </c>
      <c r="CK1687" s="265">
        <v>474</v>
      </c>
      <c r="CL1687" s="265">
        <v>336</v>
      </c>
      <c r="CM1687" s="265">
        <v>344</v>
      </c>
      <c r="CN1687" s="265">
        <v>356</v>
      </c>
      <c r="CO1687" s="265">
        <v>322</v>
      </c>
      <c r="CP1687" s="265">
        <v>249</v>
      </c>
      <c r="CQ1687" s="265">
        <v>225</v>
      </c>
      <c r="CR1687" s="265">
        <v>215</v>
      </c>
      <c r="CS1687" s="265">
        <v>230</v>
      </c>
      <c r="CT1687" s="265">
        <v>174</v>
      </c>
      <c r="CU1687" s="265">
        <v>163</v>
      </c>
      <c r="CV1687" s="265">
        <v>124</v>
      </c>
      <c r="CW1687" s="265">
        <v>97</v>
      </c>
      <c r="CX1687" s="265">
        <v>73</v>
      </c>
      <c r="CY1687" s="265">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5">
        <v>324</v>
      </c>
      <c r="N1688" s="265">
        <v>330</v>
      </c>
      <c r="O1688" s="265">
        <v>336</v>
      </c>
      <c r="P1688" s="265">
        <v>335</v>
      </c>
      <c r="Q1688" s="265">
        <v>319</v>
      </c>
      <c r="R1688" s="265">
        <v>374</v>
      </c>
      <c r="S1688" s="265">
        <v>406</v>
      </c>
      <c r="T1688" s="265">
        <v>392</v>
      </c>
      <c r="U1688" s="265">
        <v>364</v>
      </c>
      <c r="V1688" s="265">
        <v>351</v>
      </c>
      <c r="W1688" s="265">
        <v>355</v>
      </c>
      <c r="X1688" s="265">
        <v>379</v>
      </c>
      <c r="Y1688" s="265">
        <v>408</v>
      </c>
      <c r="Z1688" s="265">
        <v>353</v>
      </c>
      <c r="AA1688" s="265">
        <v>367</v>
      </c>
      <c r="AB1688" s="265">
        <v>373</v>
      </c>
      <c r="AC1688" s="265">
        <v>375</v>
      </c>
      <c r="AD1688" s="265">
        <v>343</v>
      </c>
      <c r="AE1688" s="265">
        <v>298</v>
      </c>
      <c r="AF1688" s="265">
        <v>288</v>
      </c>
      <c r="AG1688" s="265">
        <v>325</v>
      </c>
      <c r="AH1688" s="265">
        <v>284</v>
      </c>
      <c r="AI1688" s="265">
        <v>281</v>
      </c>
      <c r="AJ1688" s="265">
        <v>335</v>
      </c>
      <c r="AK1688" s="265">
        <v>323</v>
      </c>
      <c r="AL1688" s="265">
        <v>328</v>
      </c>
      <c r="AM1688" s="265">
        <v>367</v>
      </c>
      <c r="AN1688" s="265">
        <v>351</v>
      </c>
      <c r="AO1688" s="265">
        <v>332</v>
      </c>
      <c r="AP1688" s="265">
        <v>370</v>
      </c>
      <c r="AQ1688" s="265">
        <v>364</v>
      </c>
      <c r="AR1688" s="265">
        <v>359</v>
      </c>
      <c r="AS1688" s="265">
        <v>386</v>
      </c>
      <c r="AT1688" s="265">
        <v>392</v>
      </c>
      <c r="AU1688" s="265">
        <v>365</v>
      </c>
      <c r="AV1688" s="265">
        <v>390</v>
      </c>
      <c r="AW1688" s="265">
        <v>400</v>
      </c>
      <c r="AX1688" s="265">
        <v>415</v>
      </c>
      <c r="AY1688" s="265">
        <v>443</v>
      </c>
      <c r="AZ1688" s="265">
        <v>404</v>
      </c>
      <c r="BA1688" s="265">
        <v>340</v>
      </c>
      <c r="BB1688" s="265">
        <v>352</v>
      </c>
      <c r="BC1688" s="265">
        <v>383</v>
      </c>
      <c r="BD1688" s="265">
        <v>384</v>
      </c>
      <c r="BE1688" s="265">
        <v>339</v>
      </c>
      <c r="BF1688" s="265">
        <v>282</v>
      </c>
      <c r="BG1688" s="265">
        <v>275</v>
      </c>
      <c r="BH1688" s="265">
        <v>319</v>
      </c>
      <c r="BI1688" s="265">
        <v>327</v>
      </c>
      <c r="BJ1688" s="265">
        <v>293</v>
      </c>
      <c r="BK1688" s="265">
        <v>329</v>
      </c>
      <c r="BL1688" s="265">
        <v>355</v>
      </c>
      <c r="BM1688" s="265">
        <v>387</v>
      </c>
      <c r="BN1688" s="265">
        <v>361</v>
      </c>
      <c r="BO1688" s="265">
        <v>411</v>
      </c>
      <c r="BP1688" s="265">
        <v>384</v>
      </c>
      <c r="BQ1688" s="265">
        <v>380</v>
      </c>
      <c r="BR1688" s="265">
        <v>420</v>
      </c>
      <c r="BS1688" s="265">
        <v>416</v>
      </c>
      <c r="BT1688" s="265">
        <v>425</v>
      </c>
      <c r="BU1688" s="265">
        <v>373</v>
      </c>
      <c r="BV1688" s="265">
        <v>394</v>
      </c>
      <c r="BW1688" s="265">
        <v>360</v>
      </c>
      <c r="BX1688" s="265">
        <v>376</v>
      </c>
      <c r="BY1688" s="265">
        <v>402</v>
      </c>
      <c r="BZ1688" s="265">
        <v>387</v>
      </c>
      <c r="CA1688" s="265">
        <v>318</v>
      </c>
      <c r="CB1688" s="265">
        <v>301</v>
      </c>
      <c r="CC1688" s="265">
        <v>292</v>
      </c>
      <c r="CD1688" s="265">
        <v>317</v>
      </c>
      <c r="CE1688" s="265">
        <v>281</v>
      </c>
      <c r="CF1688" s="265">
        <v>286</v>
      </c>
      <c r="CG1688" s="265">
        <v>288</v>
      </c>
      <c r="CH1688" s="265">
        <v>267</v>
      </c>
      <c r="CI1688" s="265">
        <v>309</v>
      </c>
      <c r="CJ1688" s="265">
        <v>297</v>
      </c>
      <c r="CK1688" s="265">
        <v>242</v>
      </c>
      <c r="CL1688" s="265">
        <v>195</v>
      </c>
      <c r="CM1688" s="265">
        <v>213</v>
      </c>
      <c r="CN1688" s="265">
        <v>203</v>
      </c>
      <c r="CO1688" s="265">
        <v>177</v>
      </c>
      <c r="CP1688" s="265">
        <v>164</v>
      </c>
      <c r="CQ1688" s="265">
        <v>109</v>
      </c>
      <c r="CR1688" s="265">
        <v>113</v>
      </c>
      <c r="CS1688" s="265">
        <v>109</v>
      </c>
      <c r="CT1688" s="265">
        <v>113</v>
      </c>
      <c r="CU1688" s="265">
        <v>76</v>
      </c>
      <c r="CV1688" s="265">
        <v>61</v>
      </c>
      <c r="CW1688" s="265">
        <v>67</v>
      </c>
      <c r="CX1688" s="265">
        <v>42</v>
      </c>
      <c r="CY1688" s="265">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5">
        <v>354</v>
      </c>
      <c r="N1689" s="265">
        <v>391</v>
      </c>
      <c r="O1689" s="265">
        <v>411</v>
      </c>
      <c r="P1689" s="265">
        <v>441</v>
      </c>
      <c r="Q1689" s="265">
        <v>402</v>
      </c>
      <c r="R1689" s="265">
        <v>455</v>
      </c>
      <c r="S1689" s="265">
        <v>488</v>
      </c>
      <c r="T1689" s="265">
        <v>496</v>
      </c>
      <c r="U1689" s="265">
        <v>504</v>
      </c>
      <c r="V1689" s="265">
        <v>507</v>
      </c>
      <c r="W1689" s="265">
        <v>510</v>
      </c>
      <c r="X1689" s="265">
        <v>540</v>
      </c>
      <c r="Y1689" s="265">
        <v>542</v>
      </c>
      <c r="Z1689" s="265">
        <v>520</v>
      </c>
      <c r="AA1689" s="265">
        <v>570</v>
      </c>
      <c r="AB1689" s="265">
        <v>571</v>
      </c>
      <c r="AC1689" s="265">
        <v>576</v>
      </c>
      <c r="AD1689" s="265">
        <v>517</v>
      </c>
      <c r="AE1689" s="265">
        <v>509</v>
      </c>
      <c r="AF1689" s="265">
        <v>359</v>
      </c>
      <c r="AG1689" s="265">
        <v>271</v>
      </c>
      <c r="AH1689" s="265">
        <v>359</v>
      </c>
      <c r="AI1689" s="265">
        <v>389</v>
      </c>
      <c r="AJ1689" s="265">
        <v>436</v>
      </c>
      <c r="AK1689" s="265">
        <v>476</v>
      </c>
      <c r="AL1689" s="265">
        <v>433</v>
      </c>
      <c r="AM1689" s="265">
        <v>508</v>
      </c>
      <c r="AN1689" s="265">
        <v>469</v>
      </c>
      <c r="AO1689" s="265">
        <v>470</v>
      </c>
      <c r="AP1689" s="265">
        <v>490</v>
      </c>
      <c r="AQ1689" s="265">
        <v>454</v>
      </c>
      <c r="AR1689" s="265">
        <v>531</v>
      </c>
      <c r="AS1689" s="265">
        <v>565</v>
      </c>
      <c r="AT1689" s="265">
        <v>516</v>
      </c>
      <c r="AU1689" s="265">
        <v>515</v>
      </c>
      <c r="AV1689" s="265">
        <v>485</v>
      </c>
      <c r="AW1689" s="265">
        <v>515</v>
      </c>
      <c r="AX1689" s="265">
        <v>481</v>
      </c>
      <c r="AY1689" s="265">
        <v>486</v>
      </c>
      <c r="AZ1689" s="265">
        <v>500</v>
      </c>
      <c r="BA1689" s="265">
        <v>512</v>
      </c>
      <c r="BB1689" s="265">
        <v>485</v>
      </c>
      <c r="BC1689" s="265">
        <v>470</v>
      </c>
      <c r="BD1689" s="265">
        <v>519</v>
      </c>
      <c r="BE1689" s="265">
        <v>521</v>
      </c>
      <c r="BF1689" s="265">
        <v>468</v>
      </c>
      <c r="BG1689" s="265">
        <v>528</v>
      </c>
      <c r="BH1689" s="265">
        <v>501</v>
      </c>
      <c r="BI1689" s="265">
        <v>548</v>
      </c>
      <c r="BJ1689" s="265">
        <v>544</v>
      </c>
      <c r="BK1689" s="265">
        <v>606</v>
      </c>
      <c r="BL1689" s="265">
        <v>670</v>
      </c>
      <c r="BM1689" s="265">
        <v>705</v>
      </c>
      <c r="BN1689" s="265">
        <v>652</v>
      </c>
      <c r="BO1689" s="265">
        <v>695</v>
      </c>
      <c r="BP1689" s="265">
        <v>766</v>
      </c>
      <c r="BQ1689" s="265">
        <v>752</v>
      </c>
      <c r="BR1689" s="265">
        <v>781</v>
      </c>
      <c r="BS1689" s="265">
        <v>754</v>
      </c>
      <c r="BT1689" s="265">
        <v>756</v>
      </c>
      <c r="BU1689" s="265">
        <v>776</v>
      </c>
      <c r="BV1689" s="265">
        <v>719</v>
      </c>
      <c r="BW1689" s="265">
        <v>715</v>
      </c>
      <c r="BX1689" s="265">
        <v>664</v>
      </c>
      <c r="BY1689" s="265">
        <v>631</v>
      </c>
      <c r="BZ1689" s="265">
        <v>679</v>
      </c>
      <c r="CA1689" s="265">
        <v>623</v>
      </c>
      <c r="CB1689" s="265">
        <v>575</v>
      </c>
      <c r="CC1689" s="265">
        <v>599</v>
      </c>
      <c r="CD1689" s="265">
        <v>561</v>
      </c>
      <c r="CE1689" s="265">
        <v>597</v>
      </c>
      <c r="CF1689" s="265">
        <v>600</v>
      </c>
      <c r="CG1689" s="265">
        <v>564</v>
      </c>
      <c r="CH1689" s="265">
        <v>619</v>
      </c>
      <c r="CI1689" s="265">
        <v>586</v>
      </c>
      <c r="CJ1689" s="265">
        <v>582</v>
      </c>
      <c r="CK1689" s="265">
        <v>641</v>
      </c>
      <c r="CL1689" s="265">
        <v>477</v>
      </c>
      <c r="CM1689" s="265">
        <v>455</v>
      </c>
      <c r="CN1689" s="265">
        <v>468</v>
      </c>
      <c r="CO1689" s="265">
        <v>410</v>
      </c>
      <c r="CP1689" s="265">
        <v>349</v>
      </c>
      <c r="CQ1689" s="265">
        <v>293</v>
      </c>
      <c r="CR1689" s="265">
        <v>318</v>
      </c>
      <c r="CS1689" s="265">
        <v>263</v>
      </c>
      <c r="CT1689" s="265">
        <v>221</v>
      </c>
      <c r="CU1689" s="265">
        <v>198</v>
      </c>
      <c r="CV1689" s="265">
        <v>191</v>
      </c>
      <c r="CW1689" s="265">
        <v>149</v>
      </c>
      <c r="CX1689" s="265">
        <v>137</v>
      </c>
      <c r="CY1689" s="265">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5">
        <v>619</v>
      </c>
      <c r="N1690" s="265">
        <v>647</v>
      </c>
      <c r="O1690" s="265">
        <v>662</v>
      </c>
      <c r="P1690" s="265">
        <v>656</v>
      </c>
      <c r="Q1690" s="265">
        <v>714</v>
      </c>
      <c r="R1690" s="265">
        <v>779</v>
      </c>
      <c r="S1690" s="265">
        <v>782</v>
      </c>
      <c r="T1690" s="265">
        <v>821</v>
      </c>
      <c r="U1690" s="265">
        <v>822</v>
      </c>
      <c r="V1690" s="265">
        <v>830</v>
      </c>
      <c r="W1690" s="265">
        <v>797</v>
      </c>
      <c r="X1690" s="265">
        <v>927</v>
      </c>
      <c r="Y1690" s="265">
        <v>928</v>
      </c>
      <c r="Z1690" s="265">
        <v>867</v>
      </c>
      <c r="AA1690" s="265">
        <v>870</v>
      </c>
      <c r="AB1690" s="265">
        <v>876</v>
      </c>
      <c r="AC1690" s="265">
        <v>850</v>
      </c>
      <c r="AD1690" s="265">
        <v>858</v>
      </c>
      <c r="AE1690" s="265">
        <v>1006</v>
      </c>
      <c r="AF1690" s="265">
        <v>1747</v>
      </c>
      <c r="AG1690" s="265">
        <v>932</v>
      </c>
      <c r="AH1690" s="265">
        <v>866</v>
      </c>
      <c r="AI1690" s="265">
        <v>586</v>
      </c>
      <c r="AJ1690" s="265">
        <v>608</v>
      </c>
      <c r="AK1690" s="265">
        <v>672</v>
      </c>
      <c r="AL1690" s="265">
        <v>707</v>
      </c>
      <c r="AM1690" s="265">
        <v>788</v>
      </c>
      <c r="AN1690" s="265">
        <v>800</v>
      </c>
      <c r="AO1690" s="265">
        <v>814</v>
      </c>
      <c r="AP1690" s="265">
        <v>799</v>
      </c>
      <c r="AQ1690" s="265">
        <v>859</v>
      </c>
      <c r="AR1690" s="265">
        <v>911</v>
      </c>
      <c r="AS1690" s="265">
        <v>868</v>
      </c>
      <c r="AT1690" s="265">
        <v>869</v>
      </c>
      <c r="AU1690" s="265">
        <v>859</v>
      </c>
      <c r="AV1690" s="265">
        <v>835</v>
      </c>
      <c r="AW1690" s="265">
        <v>847</v>
      </c>
      <c r="AX1690" s="265">
        <v>917</v>
      </c>
      <c r="AY1690" s="265">
        <v>882</v>
      </c>
      <c r="AZ1690" s="265">
        <v>884</v>
      </c>
      <c r="BA1690" s="265">
        <v>840</v>
      </c>
      <c r="BB1690" s="265">
        <v>830</v>
      </c>
      <c r="BC1690" s="265">
        <v>824</v>
      </c>
      <c r="BD1690" s="265">
        <v>817</v>
      </c>
      <c r="BE1690" s="265">
        <v>864</v>
      </c>
      <c r="BF1690" s="265">
        <v>816</v>
      </c>
      <c r="BG1690" s="265">
        <v>750</v>
      </c>
      <c r="BH1690" s="265">
        <v>734</v>
      </c>
      <c r="BI1690" s="265">
        <v>817</v>
      </c>
      <c r="BJ1690" s="265">
        <v>770</v>
      </c>
      <c r="BK1690" s="265">
        <v>857</v>
      </c>
      <c r="BL1690" s="265">
        <v>860</v>
      </c>
      <c r="BM1690" s="265">
        <v>958</v>
      </c>
      <c r="BN1690" s="265">
        <v>900</v>
      </c>
      <c r="BO1690" s="265">
        <v>942</v>
      </c>
      <c r="BP1690" s="265">
        <v>998</v>
      </c>
      <c r="BQ1690" s="265">
        <v>956</v>
      </c>
      <c r="BR1690" s="265">
        <v>991</v>
      </c>
      <c r="BS1690" s="265">
        <v>999</v>
      </c>
      <c r="BT1690" s="265">
        <v>1046</v>
      </c>
      <c r="BU1690" s="265">
        <v>982</v>
      </c>
      <c r="BV1690" s="265">
        <v>965</v>
      </c>
      <c r="BW1690" s="265">
        <v>934</v>
      </c>
      <c r="BX1690" s="265">
        <v>956</v>
      </c>
      <c r="BY1690" s="265">
        <v>878</v>
      </c>
      <c r="BZ1690" s="265">
        <v>985</v>
      </c>
      <c r="CA1690" s="265">
        <v>869</v>
      </c>
      <c r="CB1690" s="265">
        <v>790</v>
      </c>
      <c r="CC1690" s="265">
        <v>786</v>
      </c>
      <c r="CD1690" s="265">
        <v>774</v>
      </c>
      <c r="CE1690" s="265">
        <v>795</v>
      </c>
      <c r="CF1690" s="265">
        <v>752</v>
      </c>
      <c r="CG1690" s="265">
        <v>699</v>
      </c>
      <c r="CH1690" s="265">
        <v>763</v>
      </c>
      <c r="CI1690" s="265">
        <v>726</v>
      </c>
      <c r="CJ1690" s="265">
        <v>807</v>
      </c>
      <c r="CK1690" s="265">
        <v>778</v>
      </c>
      <c r="CL1690" s="265">
        <v>554</v>
      </c>
      <c r="CM1690" s="265">
        <v>548</v>
      </c>
      <c r="CN1690" s="265">
        <v>529</v>
      </c>
      <c r="CO1690" s="265">
        <v>478</v>
      </c>
      <c r="CP1690" s="265">
        <v>413</v>
      </c>
      <c r="CQ1690" s="265">
        <v>336</v>
      </c>
      <c r="CR1690" s="265">
        <v>345</v>
      </c>
      <c r="CS1690" s="265">
        <v>292</v>
      </c>
      <c r="CT1690" s="265">
        <v>260</v>
      </c>
      <c r="CU1690" s="265">
        <v>231</v>
      </c>
      <c r="CV1690" s="265">
        <v>207</v>
      </c>
      <c r="CW1690" s="265">
        <v>150</v>
      </c>
      <c r="CX1690" s="265">
        <v>147</v>
      </c>
      <c r="CY1690" s="265">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5">
        <v>935</v>
      </c>
      <c r="N1691" s="265">
        <v>1016</v>
      </c>
      <c r="O1691" s="265">
        <v>1007</v>
      </c>
      <c r="P1691" s="265">
        <v>1009</v>
      </c>
      <c r="Q1691" s="265">
        <v>1067</v>
      </c>
      <c r="R1691" s="265">
        <v>1039</v>
      </c>
      <c r="S1691" s="265">
        <v>1035</v>
      </c>
      <c r="T1691" s="265">
        <v>1224</v>
      </c>
      <c r="U1691" s="265">
        <v>1104</v>
      </c>
      <c r="V1691" s="265">
        <v>1054</v>
      </c>
      <c r="W1691" s="265">
        <v>1100</v>
      </c>
      <c r="X1691" s="265">
        <v>1042</v>
      </c>
      <c r="Y1691" s="265">
        <v>1081</v>
      </c>
      <c r="Z1691" s="265">
        <v>1049</v>
      </c>
      <c r="AA1691" s="265">
        <v>1137</v>
      </c>
      <c r="AB1691" s="265">
        <v>1129</v>
      </c>
      <c r="AC1691" s="265">
        <v>958</v>
      </c>
      <c r="AD1691" s="265">
        <v>957</v>
      </c>
      <c r="AE1691" s="265">
        <v>959</v>
      </c>
      <c r="AF1691" s="265">
        <v>850</v>
      </c>
      <c r="AG1691" s="265">
        <v>751</v>
      </c>
      <c r="AH1691" s="265">
        <v>735</v>
      </c>
      <c r="AI1691" s="265">
        <v>769</v>
      </c>
      <c r="AJ1691" s="265">
        <v>894</v>
      </c>
      <c r="AK1691" s="265">
        <v>1005</v>
      </c>
      <c r="AL1691" s="265">
        <v>1025</v>
      </c>
      <c r="AM1691" s="265">
        <v>1092</v>
      </c>
      <c r="AN1691" s="265">
        <v>1091</v>
      </c>
      <c r="AO1691" s="265">
        <v>1099</v>
      </c>
      <c r="AP1691" s="265">
        <v>1142</v>
      </c>
      <c r="AQ1691" s="265">
        <v>1308</v>
      </c>
      <c r="AR1691" s="265">
        <v>1286</v>
      </c>
      <c r="AS1691" s="265">
        <v>1324</v>
      </c>
      <c r="AT1691" s="265">
        <v>1217</v>
      </c>
      <c r="AU1691" s="265">
        <v>1325</v>
      </c>
      <c r="AV1691" s="265">
        <v>1387</v>
      </c>
      <c r="AW1691" s="265">
        <v>1245</v>
      </c>
      <c r="AX1691" s="265">
        <v>1190</v>
      </c>
      <c r="AY1691" s="265">
        <v>1291</v>
      </c>
      <c r="AZ1691" s="265">
        <v>1168</v>
      </c>
      <c r="BA1691" s="265">
        <v>1049</v>
      </c>
      <c r="BB1691" s="265">
        <v>1062</v>
      </c>
      <c r="BC1691" s="265">
        <v>1069</v>
      </c>
      <c r="BD1691" s="265">
        <v>1123</v>
      </c>
      <c r="BE1691" s="265">
        <v>1050</v>
      </c>
      <c r="BF1691" s="265">
        <v>962</v>
      </c>
      <c r="BG1691" s="265">
        <v>915</v>
      </c>
      <c r="BH1691" s="265">
        <v>925</v>
      </c>
      <c r="BI1691" s="265">
        <v>956</v>
      </c>
      <c r="BJ1691" s="265">
        <v>945</v>
      </c>
      <c r="BK1691" s="265">
        <v>1005</v>
      </c>
      <c r="BL1691" s="265">
        <v>980</v>
      </c>
      <c r="BM1691" s="265">
        <v>1087</v>
      </c>
      <c r="BN1691" s="265">
        <v>1072</v>
      </c>
      <c r="BO1691" s="265">
        <v>1118</v>
      </c>
      <c r="BP1691" s="265">
        <v>929</v>
      </c>
      <c r="BQ1691" s="265">
        <v>1068</v>
      </c>
      <c r="BR1691" s="265">
        <v>1043</v>
      </c>
      <c r="BS1691" s="265">
        <v>1035</v>
      </c>
      <c r="BT1691" s="265">
        <v>1016</v>
      </c>
      <c r="BU1691" s="265">
        <v>1017</v>
      </c>
      <c r="BV1691" s="265">
        <v>915</v>
      </c>
      <c r="BW1691" s="265">
        <v>967</v>
      </c>
      <c r="BX1691" s="265">
        <v>878</v>
      </c>
      <c r="BY1691" s="265">
        <v>955</v>
      </c>
      <c r="BZ1691" s="265">
        <v>826</v>
      </c>
      <c r="CA1691" s="265">
        <v>782</v>
      </c>
      <c r="CB1691" s="265">
        <v>662</v>
      </c>
      <c r="CC1691" s="265">
        <v>663</v>
      </c>
      <c r="CD1691" s="265">
        <v>706</v>
      </c>
      <c r="CE1691" s="265">
        <v>734</v>
      </c>
      <c r="CF1691" s="265">
        <v>662</v>
      </c>
      <c r="CG1691" s="265">
        <v>588</v>
      </c>
      <c r="CH1691" s="265">
        <v>632</v>
      </c>
      <c r="CI1691" s="265">
        <v>601</v>
      </c>
      <c r="CJ1691" s="265">
        <v>678</v>
      </c>
      <c r="CK1691" s="265">
        <v>722</v>
      </c>
      <c r="CL1691" s="265">
        <v>491</v>
      </c>
      <c r="CM1691" s="265">
        <v>489</v>
      </c>
      <c r="CN1691" s="265">
        <v>471</v>
      </c>
      <c r="CO1691" s="265">
        <v>428</v>
      </c>
      <c r="CP1691" s="265">
        <v>358</v>
      </c>
      <c r="CQ1691" s="265">
        <v>296</v>
      </c>
      <c r="CR1691" s="265">
        <v>291</v>
      </c>
      <c r="CS1691" s="265">
        <v>281</v>
      </c>
      <c r="CT1691" s="265">
        <v>226</v>
      </c>
      <c r="CU1691" s="265">
        <v>209</v>
      </c>
      <c r="CV1691" s="265">
        <v>199</v>
      </c>
      <c r="CW1691" s="265">
        <v>141</v>
      </c>
      <c r="CX1691" s="265">
        <v>118</v>
      </c>
      <c r="CY1691" s="265">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5">
        <v>527</v>
      </c>
      <c r="N1692" s="265">
        <v>557</v>
      </c>
      <c r="O1692" s="265">
        <v>555</v>
      </c>
      <c r="P1692" s="265">
        <v>581</v>
      </c>
      <c r="Q1692" s="265">
        <v>606</v>
      </c>
      <c r="R1692" s="265">
        <v>651</v>
      </c>
      <c r="S1692" s="265">
        <v>642</v>
      </c>
      <c r="T1692" s="265">
        <v>679</v>
      </c>
      <c r="U1692" s="265">
        <v>704</v>
      </c>
      <c r="V1692" s="265">
        <v>714</v>
      </c>
      <c r="W1692" s="265">
        <v>705</v>
      </c>
      <c r="X1692" s="265">
        <v>709</v>
      </c>
      <c r="Y1692" s="265">
        <v>757</v>
      </c>
      <c r="Z1692" s="265">
        <v>735</v>
      </c>
      <c r="AA1692" s="265">
        <v>698</v>
      </c>
      <c r="AB1692" s="265">
        <v>780</v>
      </c>
      <c r="AC1692" s="265">
        <v>696</v>
      </c>
      <c r="AD1692" s="265">
        <v>764</v>
      </c>
      <c r="AE1692" s="265">
        <v>721</v>
      </c>
      <c r="AF1692" s="265">
        <v>587</v>
      </c>
      <c r="AG1692" s="265">
        <v>490</v>
      </c>
      <c r="AH1692" s="265">
        <v>500</v>
      </c>
      <c r="AI1692" s="265">
        <v>596</v>
      </c>
      <c r="AJ1692" s="265">
        <v>641</v>
      </c>
      <c r="AK1692" s="265">
        <v>603</v>
      </c>
      <c r="AL1692" s="265">
        <v>650</v>
      </c>
      <c r="AM1692" s="265">
        <v>669</v>
      </c>
      <c r="AN1692" s="265">
        <v>616</v>
      </c>
      <c r="AO1692" s="265">
        <v>532</v>
      </c>
      <c r="AP1692" s="265">
        <v>583</v>
      </c>
      <c r="AQ1692" s="265">
        <v>655</v>
      </c>
      <c r="AR1692" s="265">
        <v>732</v>
      </c>
      <c r="AS1692" s="265">
        <v>702</v>
      </c>
      <c r="AT1692" s="265">
        <v>647</v>
      </c>
      <c r="AU1692" s="265">
        <v>607</v>
      </c>
      <c r="AV1692" s="265">
        <v>714</v>
      </c>
      <c r="AW1692" s="265">
        <v>658</v>
      </c>
      <c r="AX1692" s="265">
        <v>651</v>
      </c>
      <c r="AY1692" s="265">
        <v>619</v>
      </c>
      <c r="AZ1692" s="265">
        <v>628</v>
      </c>
      <c r="BA1692" s="265">
        <v>616</v>
      </c>
      <c r="BB1692" s="265">
        <v>626</v>
      </c>
      <c r="BC1692" s="265">
        <v>619</v>
      </c>
      <c r="BD1692" s="265">
        <v>667</v>
      </c>
      <c r="BE1692" s="265">
        <v>608</v>
      </c>
      <c r="BF1692" s="265">
        <v>582</v>
      </c>
      <c r="BG1692" s="265">
        <v>557</v>
      </c>
      <c r="BH1692" s="265">
        <v>583</v>
      </c>
      <c r="BI1692" s="265">
        <v>621</v>
      </c>
      <c r="BJ1692" s="265">
        <v>660</v>
      </c>
      <c r="BK1692" s="265">
        <v>725</v>
      </c>
      <c r="BL1692" s="265">
        <v>748</v>
      </c>
      <c r="BM1692" s="265">
        <v>771</v>
      </c>
      <c r="BN1692" s="265">
        <v>821</v>
      </c>
      <c r="BO1692" s="265">
        <v>820</v>
      </c>
      <c r="BP1692" s="265">
        <v>859</v>
      </c>
      <c r="BQ1692" s="265">
        <v>918</v>
      </c>
      <c r="BR1692" s="265">
        <v>929</v>
      </c>
      <c r="BS1692" s="265">
        <v>940</v>
      </c>
      <c r="BT1692" s="265">
        <v>906</v>
      </c>
      <c r="BU1692" s="265">
        <v>1025</v>
      </c>
      <c r="BV1692" s="265">
        <v>987</v>
      </c>
      <c r="BW1692" s="265">
        <v>922</v>
      </c>
      <c r="BX1692" s="265">
        <v>902</v>
      </c>
      <c r="BY1692" s="265">
        <v>979</v>
      </c>
      <c r="BZ1692" s="265">
        <v>904</v>
      </c>
      <c r="CA1692" s="265">
        <v>858</v>
      </c>
      <c r="CB1692" s="265">
        <v>861</v>
      </c>
      <c r="CC1692" s="265">
        <v>859</v>
      </c>
      <c r="CD1692" s="265">
        <v>881</v>
      </c>
      <c r="CE1692" s="265">
        <v>858</v>
      </c>
      <c r="CF1692" s="265">
        <v>788</v>
      </c>
      <c r="CG1692" s="265">
        <v>819</v>
      </c>
      <c r="CH1692" s="265">
        <v>819</v>
      </c>
      <c r="CI1692" s="265">
        <v>769</v>
      </c>
      <c r="CJ1692" s="265">
        <v>808</v>
      </c>
      <c r="CK1692" s="265">
        <v>861</v>
      </c>
      <c r="CL1692" s="265">
        <v>588</v>
      </c>
      <c r="CM1692" s="265">
        <v>613</v>
      </c>
      <c r="CN1692" s="265">
        <v>589</v>
      </c>
      <c r="CO1692" s="265">
        <v>511</v>
      </c>
      <c r="CP1692" s="265">
        <v>462</v>
      </c>
      <c r="CQ1692" s="265">
        <v>433</v>
      </c>
      <c r="CR1692" s="265">
        <v>384</v>
      </c>
      <c r="CS1692" s="265">
        <v>345</v>
      </c>
      <c r="CT1692" s="265">
        <v>297</v>
      </c>
      <c r="CU1692" s="265">
        <v>234</v>
      </c>
      <c r="CV1692" s="265">
        <v>223</v>
      </c>
      <c r="CW1692" s="265">
        <v>188</v>
      </c>
      <c r="CX1692" s="265">
        <v>113</v>
      </c>
      <c r="CY1692" s="265">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5">
        <v>500</v>
      </c>
      <c r="N1693" s="265">
        <v>567</v>
      </c>
      <c r="O1693" s="265">
        <v>567</v>
      </c>
      <c r="P1693" s="265">
        <v>565</v>
      </c>
      <c r="Q1693" s="265">
        <v>628</v>
      </c>
      <c r="R1693" s="265">
        <v>679</v>
      </c>
      <c r="S1693" s="265">
        <v>663</v>
      </c>
      <c r="T1693" s="265">
        <v>649</v>
      </c>
      <c r="U1693" s="265">
        <v>706</v>
      </c>
      <c r="V1693" s="265">
        <v>704</v>
      </c>
      <c r="W1693" s="265">
        <v>721</v>
      </c>
      <c r="X1693" s="265">
        <v>696</v>
      </c>
      <c r="Y1693" s="265">
        <v>721</v>
      </c>
      <c r="Z1693" s="265">
        <v>714</v>
      </c>
      <c r="AA1693" s="265">
        <v>729</v>
      </c>
      <c r="AB1693" s="265">
        <v>832</v>
      </c>
      <c r="AC1693" s="265">
        <v>724</v>
      </c>
      <c r="AD1693" s="265">
        <v>726</v>
      </c>
      <c r="AE1693" s="265">
        <v>743</v>
      </c>
      <c r="AF1693" s="265">
        <v>546</v>
      </c>
      <c r="AG1693" s="265">
        <v>499</v>
      </c>
      <c r="AH1693" s="265">
        <v>488</v>
      </c>
      <c r="AI1693" s="265">
        <v>542</v>
      </c>
      <c r="AJ1693" s="265">
        <v>618</v>
      </c>
      <c r="AK1693" s="265">
        <v>731</v>
      </c>
      <c r="AL1693" s="265">
        <v>629</v>
      </c>
      <c r="AM1693" s="265">
        <v>657</v>
      </c>
      <c r="AN1693" s="265">
        <v>702</v>
      </c>
      <c r="AO1693" s="265">
        <v>637</v>
      </c>
      <c r="AP1693" s="265">
        <v>685</v>
      </c>
      <c r="AQ1693" s="265">
        <v>668</v>
      </c>
      <c r="AR1693" s="265">
        <v>675</v>
      </c>
      <c r="AS1693" s="265">
        <v>697</v>
      </c>
      <c r="AT1693" s="265">
        <v>686</v>
      </c>
      <c r="AU1693" s="265">
        <v>676</v>
      </c>
      <c r="AV1693" s="265">
        <v>708</v>
      </c>
      <c r="AW1693" s="265">
        <v>618</v>
      </c>
      <c r="AX1693" s="265">
        <v>646</v>
      </c>
      <c r="AY1693" s="265">
        <v>707</v>
      </c>
      <c r="AZ1693" s="265">
        <v>646</v>
      </c>
      <c r="BA1693" s="265">
        <v>628</v>
      </c>
      <c r="BB1693" s="265">
        <v>688</v>
      </c>
      <c r="BC1693" s="265">
        <v>664</v>
      </c>
      <c r="BD1693" s="265">
        <v>683</v>
      </c>
      <c r="BE1693" s="265">
        <v>662</v>
      </c>
      <c r="BF1693" s="265">
        <v>629</v>
      </c>
      <c r="BG1693" s="265">
        <v>651</v>
      </c>
      <c r="BH1693" s="265">
        <v>664</v>
      </c>
      <c r="BI1693" s="265">
        <v>737</v>
      </c>
      <c r="BJ1693" s="265">
        <v>727</v>
      </c>
      <c r="BK1693" s="265">
        <v>742</v>
      </c>
      <c r="BL1693" s="265">
        <v>939</v>
      </c>
      <c r="BM1693" s="265">
        <v>931</v>
      </c>
      <c r="BN1693" s="265">
        <v>885</v>
      </c>
      <c r="BO1693" s="265">
        <v>995</v>
      </c>
      <c r="BP1693" s="265">
        <v>947</v>
      </c>
      <c r="BQ1693" s="265">
        <v>1071</v>
      </c>
      <c r="BR1693" s="265">
        <v>1051</v>
      </c>
      <c r="BS1693" s="265">
        <v>1105</v>
      </c>
      <c r="BT1693" s="265">
        <v>1052</v>
      </c>
      <c r="BU1693" s="265">
        <v>1097</v>
      </c>
      <c r="BV1693" s="265">
        <v>1105</v>
      </c>
      <c r="BW1693" s="265">
        <v>1093</v>
      </c>
      <c r="BX1693" s="265">
        <v>1092</v>
      </c>
      <c r="BY1693" s="265">
        <v>1073</v>
      </c>
      <c r="BZ1693" s="265">
        <v>974</v>
      </c>
      <c r="CA1693" s="265">
        <v>1011</v>
      </c>
      <c r="CB1693" s="265">
        <v>1034</v>
      </c>
      <c r="CC1693" s="265">
        <v>919</v>
      </c>
      <c r="CD1693" s="265">
        <v>973</v>
      </c>
      <c r="CE1693" s="265">
        <v>971</v>
      </c>
      <c r="CF1693" s="265">
        <v>935</v>
      </c>
      <c r="CG1693" s="265">
        <v>898</v>
      </c>
      <c r="CH1693" s="265">
        <v>940</v>
      </c>
      <c r="CI1693" s="265">
        <v>949</v>
      </c>
      <c r="CJ1693" s="265">
        <v>1019</v>
      </c>
      <c r="CK1693" s="265">
        <v>991</v>
      </c>
      <c r="CL1693" s="265">
        <v>736</v>
      </c>
      <c r="CM1693" s="265">
        <v>674</v>
      </c>
      <c r="CN1693" s="265">
        <v>776</v>
      </c>
      <c r="CO1693" s="265">
        <v>629</v>
      </c>
      <c r="CP1693" s="265">
        <v>531</v>
      </c>
      <c r="CQ1693" s="265">
        <v>455</v>
      </c>
      <c r="CR1693" s="265">
        <v>447</v>
      </c>
      <c r="CS1693" s="265">
        <v>377</v>
      </c>
      <c r="CT1693" s="265">
        <v>377</v>
      </c>
      <c r="CU1693" s="265">
        <v>326</v>
      </c>
      <c r="CV1693" s="265">
        <v>256</v>
      </c>
      <c r="CW1693" s="265">
        <v>251</v>
      </c>
      <c r="CX1693" s="265">
        <v>205</v>
      </c>
      <c r="CY1693" s="265">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5">
        <v>1140</v>
      </c>
      <c r="N1694" s="265">
        <v>1193</v>
      </c>
      <c r="O1694" s="265">
        <v>1210</v>
      </c>
      <c r="P1694" s="265">
        <v>1259</v>
      </c>
      <c r="Q1694" s="265">
        <v>1323</v>
      </c>
      <c r="R1694" s="265">
        <v>1394</v>
      </c>
      <c r="S1694" s="265">
        <v>1347</v>
      </c>
      <c r="T1694" s="265">
        <v>1353</v>
      </c>
      <c r="U1694" s="265">
        <v>1441</v>
      </c>
      <c r="V1694" s="265">
        <v>1459</v>
      </c>
      <c r="W1694" s="265">
        <v>1469</v>
      </c>
      <c r="X1694" s="265">
        <v>1475</v>
      </c>
      <c r="Y1694" s="265">
        <v>1526</v>
      </c>
      <c r="Z1694" s="265">
        <v>1426</v>
      </c>
      <c r="AA1694" s="265">
        <v>1603</v>
      </c>
      <c r="AB1694" s="265">
        <v>1474</v>
      </c>
      <c r="AC1694" s="265">
        <v>1488</v>
      </c>
      <c r="AD1694" s="265">
        <v>1401</v>
      </c>
      <c r="AE1694" s="265">
        <v>1439</v>
      </c>
      <c r="AF1694" s="265">
        <v>1327</v>
      </c>
      <c r="AG1694" s="265">
        <v>1440</v>
      </c>
      <c r="AH1694" s="265">
        <v>1440</v>
      </c>
      <c r="AI1694" s="265">
        <v>1500</v>
      </c>
      <c r="AJ1694" s="265">
        <v>1367</v>
      </c>
      <c r="AK1694" s="265">
        <v>1559</v>
      </c>
      <c r="AL1694" s="265">
        <v>1408</v>
      </c>
      <c r="AM1694" s="265">
        <v>1581</v>
      </c>
      <c r="AN1694" s="265">
        <v>1460</v>
      </c>
      <c r="AO1694" s="265">
        <v>1582</v>
      </c>
      <c r="AP1694" s="265">
        <v>1538</v>
      </c>
      <c r="AQ1694" s="265">
        <v>1616</v>
      </c>
      <c r="AR1694" s="265">
        <v>1610</v>
      </c>
      <c r="AS1694" s="265">
        <v>1537</v>
      </c>
      <c r="AT1694" s="265">
        <v>1739</v>
      </c>
      <c r="AU1694" s="265">
        <v>1696</v>
      </c>
      <c r="AV1694" s="265">
        <v>1559</v>
      </c>
      <c r="AW1694" s="265">
        <v>1589</v>
      </c>
      <c r="AX1694" s="265">
        <v>1564</v>
      </c>
      <c r="AY1694" s="265">
        <v>1593</v>
      </c>
      <c r="AZ1694" s="265">
        <v>1551</v>
      </c>
      <c r="BA1694" s="265">
        <v>1502</v>
      </c>
      <c r="BB1694" s="265">
        <v>1496</v>
      </c>
      <c r="BC1694" s="265">
        <v>1401</v>
      </c>
      <c r="BD1694" s="265">
        <v>1480</v>
      </c>
      <c r="BE1694" s="265">
        <v>1460</v>
      </c>
      <c r="BF1694" s="265">
        <v>1318</v>
      </c>
      <c r="BG1694" s="265">
        <v>1264</v>
      </c>
      <c r="BH1694" s="265">
        <v>1238</v>
      </c>
      <c r="BI1694" s="265">
        <v>1355</v>
      </c>
      <c r="BJ1694" s="265">
        <v>1271</v>
      </c>
      <c r="BK1694" s="265">
        <v>1523</v>
      </c>
      <c r="BL1694" s="265">
        <v>1620</v>
      </c>
      <c r="BM1694" s="265">
        <v>1690</v>
      </c>
      <c r="BN1694" s="265">
        <v>1562</v>
      </c>
      <c r="BO1694" s="265">
        <v>1621</v>
      </c>
      <c r="BP1694" s="265">
        <v>1659</v>
      </c>
      <c r="BQ1694" s="265">
        <v>1650</v>
      </c>
      <c r="BR1694" s="265">
        <v>1681</v>
      </c>
      <c r="BS1694" s="265">
        <v>1724</v>
      </c>
      <c r="BT1694" s="265">
        <v>1621</v>
      </c>
      <c r="BU1694" s="265">
        <v>1572</v>
      </c>
      <c r="BV1694" s="265">
        <v>1600</v>
      </c>
      <c r="BW1694" s="265">
        <v>1483</v>
      </c>
      <c r="BX1694" s="265">
        <v>1337</v>
      </c>
      <c r="BY1694" s="265">
        <v>1422</v>
      </c>
      <c r="BZ1694" s="265">
        <v>1370</v>
      </c>
      <c r="CA1694" s="265">
        <v>1353</v>
      </c>
      <c r="CB1694" s="265">
        <v>1253</v>
      </c>
      <c r="CC1694" s="265">
        <v>1168</v>
      </c>
      <c r="CD1694" s="265">
        <v>1192</v>
      </c>
      <c r="CE1694" s="265">
        <v>1131</v>
      </c>
      <c r="CF1694" s="265">
        <v>1211</v>
      </c>
      <c r="CG1694" s="265">
        <v>1146</v>
      </c>
      <c r="CH1694" s="265">
        <v>1188</v>
      </c>
      <c r="CI1694" s="265">
        <v>1207</v>
      </c>
      <c r="CJ1694" s="265">
        <v>1233</v>
      </c>
      <c r="CK1694" s="265">
        <v>1235</v>
      </c>
      <c r="CL1694" s="265">
        <v>1028</v>
      </c>
      <c r="CM1694" s="265">
        <v>956</v>
      </c>
      <c r="CN1694" s="265">
        <v>790</v>
      </c>
      <c r="CO1694" s="265">
        <v>668</v>
      </c>
      <c r="CP1694" s="265">
        <v>634</v>
      </c>
      <c r="CQ1694" s="265">
        <v>539</v>
      </c>
      <c r="CR1694" s="265">
        <v>489</v>
      </c>
      <c r="CS1694" s="265">
        <v>429</v>
      </c>
      <c r="CT1694" s="265">
        <v>400</v>
      </c>
      <c r="CU1694" s="265">
        <v>325</v>
      </c>
      <c r="CV1694" s="265">
        <v>310</v>
      </c>
      <c r="CW1694" s="265">
        <v>259</v>
      </c>
      <c r="CX1694" s="265">
        <v>199</v>
      </c>
      <c r="CY1694" s="265">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5">
        <v>1058</v>
      </c>
      <c r="N1695" s="265">
        <v>1165</v>
      </c>
      <c r="O1695" s="265">
        <v>1112</v>
      </c>
      <c r="P1695" s="265">
        <v>1172</v>
      </c>
      <c r="Q1695" s="265">
        <v>1276</v>
      </c>
      <c r="R1695" s="265">
        <v>1280</v>
      </c>
      <c r="S1695" s="265">
        <v>1294</v>
      </c>
      <c r="T1695" s="265">
        <v>1422</v>
      </c>
      <c r="U1695" s="265">
        <v>1400</v>
      </c>
      <c r="V1695" s="265">
        <v>1380</v>
      </c>
      <c r="W1695" s="265">
        <v>1437</v>
      </c>
      <c r="X1695" s="265">
        <v>1491</v>
      </c>
      <c r="Y1695" s="265">
        <v>1515</v>
      </c>
      <c r="Z1695" s="265">
        <v>1424</v>
      </c>
      <c r="AA1695" s="265">
        <v>1475</v>
      </c>
      <c r="AB1695" s="265">
        <v>1559</v>
      </c>
      <c r="AC1695" s="265">
        <v>1400</v>
      </c>
      <c r="AD1695" s="265">
        <v>1416</v>
      </c>
      <c r="AE1695" s="265">
        <v>1531</v>
      </c>
      <c r="AF1695" s="265">
        <v>1930</v>
      </c>
      <c r="AG1695" s="265">
        <v>2567</v>
      </c>
      <c r="AH1695" s="265">
        <v>2891</v>
      </c>
      <c r="AI1695" s="265">
        <v>2711</v>
      </c>
      <c r="AJ1695" s="265">
        <v>2259</v>
      </c>
      <c r="AK1695" s="265">
        <v>1905</v>
      </c>
      <c r="AL1695" s="265">
        <v>1512</v>
      </c>
      <c r="AM1695" s="265">
        <v>1601</v>
      </c>
      <c r="AN1695" s="265">
        <v>1579</v>
      </c>
      <c r="AO1695" s="265">
        <v>1461</v>
      </c>
      <c r="AP1695" s="265">
        <v>1487</v>
      </c>
      <c r="AQ1695" s="265">
        <v>1489</v>
      </c>
      <c r="AR1695" s="265">
        <v>1578</v>
      </c>
      <c r="AS1695" s="265">
        <v>1618</v>
      </c>
      <c r="AT1695" s="265">
        <v>1710</v>
      </c>
      <c r="AU1695" s="265">
        <v>1510</v>
      </c>
      <c r="AV1695" s="265">
        <v>1561</v>
      </c>
      <c r="AW1695" s="265">
        <v>1551</v>
      </c>
      <c r="AX1695" s="265">
        <v>1529</v>
      </c>
      <c r="AY1695" s="265">
        <v>1639</v>
      </c>
      <c r="AZ1695" s="265">
        <v>1427</v>
      </c>
      <c r="BA1695" s="265">
        <v>1494</v>
      </c>
      <c r="BB1695" s="265">
        <v>1424</v>
      </c>
      <c r="BC1695" s="265">
        <v>1458</v>
      </c>
      <c r="BD1695" s="265">
        <v>1607</v>
      </c>
      <c r="BE1695" s="265">
        <v>1342</v>
      </c>
      <c r="BF1695" s="265">
        <v>1281</v>
      </c>
      <c r="BG1695" s="265">
        <v>1291</v>
      </c>
      <c r="BH1695" s="265">
        <v>1360</v>
      </c>
      <c r="BI1695" s="265">
        <v>1382</v>
      </c>
      <c r="BJ1695" s="265">
        <v>1354</v>
      </c>
      <c r="BK1695" s="265">
        <v>1335</v>
      </c>
      <c r="BL1695" s="265">
        <v>1459</v>
      </c>
      <c r="BM1695" s="265">
        <v>1490</v>
      </c>
      <c r="BN1695" s="265">
        <v>1528</v>
      </c>
      <c r="BO1695" s="265">
        <v>1692</v>
      </c>
      <c r="BP1695" s="265">
        <v>1545</v>
      </c>
      <c r="BQ1695" s="265">
        <v>1520</v>
      </c>
      <c r="BR1695" s="265">
        <v>1533</v>
      </c>
      <c r="BS1695" s="265">
        <v>1670</v>
      </c>
      <c r="BT1695" s="265">
        <v>1629</v>
      </c>
      <c r="BU1695" s="265">
        <v>1477</v>
      </c>
      <c r="BV1695" s="265">
        <v>1504</v>
      </c>
      <c r="BW1695" s="265">
        <v>1450</v>
      </c>
      <c r="BX1695" s="265">
        <v>1418</v>
      </c>
      <c r="BY1695" s="265">
        <v>1382</v>
      </c>
      <c r="BZ1695" s="265">
        <v>1341</v>
      </c>
      <c r="CA1695" s="265">
        <v>1262</v>
      </c>
      <c r="CB1695" s="265">
        <v>1231</v>
      </c>
      <c r="CC1695" s="265">
        <v>1184</v>
      </c>
      <c r="CD1695" s="265">
        <v>1167</v>
      </c>
      <c r="CE1695" s="265">
        <v>1199</v>
      </c>
      <c r="CF1695" s="265">
        <v>1144</v>
      </c>
      <c r="CG1695" s="265">
        <v>1062</v>
      </c>
      <c r="CH1695" s="265">
        <v>1162</v>
      </c>
      <c r="CI1695" s="265">
        <v>1152</v>
      </c>
      <c r="CJ1695" s="265">
        <v>1198</v>
      </c>
      <c r="CK1695" s="265">
        <v>1296</v>
      </c>
      <c r="CL1695" s="265">
        <v>839</v>
      </c>
      <c r="CM1695" s="265">
        <v>878</v>
      </c>
      <c r="CN1695" s="265">
        <v>862</v>
      </c>
      <c r="CO1695" s="265">
        <v>807</v>
      </c>
      <c r="CP1695" s="265">
        <v>699</v>
      </c>
      <c r="CQ1695" s="265">
        <v>561</v>
      </c>
      <c r="CR1695" s="265">
        <v>554</v>
      </c>
      <c r="CS1695" s="265">
        <v>483</v>
      </c>
      <c r="CT1695" s="265">
        <v>465</v>
      </c>
      <c r="CU1695" s="265">
        <v>399</v>
      </c>
      <c r="CV1695" s="265">
        <v>354</v>
      </c>
      <c r="CW1695" s="265">
        <v>304</v>
      </c>
      <c r="CX1695" s="265">
        <v>227</v>
      </c>
      <c r="CY1695" s="265">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5">
        <v>488</v>
      </c>
      <c r="N1696" s="265">
        <v>536</v>
      </c>
      <c r="O1696" s="265">
        <v>477</v>
      </c>
      <c r="P1696" s="265">
        <v>559</v>
      </c>
      <c r="Q1696" s="265">
        <v>552</v>
      </c>
      <c r="R1696" s="265">
        <v>510</v>
      </c>
      <c r="S1696" s="265">
        <v>560</v>
      </c>
      <c r="T1696" s="265">
        <v>595</v>
      </c>
      <c r="U1696" s="265">
        <v>520</v>
      </c>
      <c r="V1696" s="265">
        <v>560</v>
      </c>
      <c r="W1696" s="265">
        <v>568</v>
      </c>
      <c r="X1696" s="265">
        <v>600</v>
      </c>
      <c r="Y1696" s="265">
        <v>617</v>
      </c>
      <c r="Z1696" s="265">
        <v>583</v>
      </c>
      <c r="AA1696" s="265">
        <v>632</v>
      </c>
      <c r="AB1696" s="265">
        <v>587</v>
      </c>
      <c r="AC1696" s="265">
        <v>566</v>
      </c>
      <c r="AD1696" s="265">
        <v>602</v>
      </c>
      <c r="AE1696" s="265">
        <v>574</v>
      </c>
      <c r="AF1696" s="265">
        <v>433</v>
      </c>
      <c r="AG1696" s="265">
        <v>417</v>
      </c>
      <c r="AH1696" s="265">
        <v>415</v>
      </c>
      <c r="AI1696" s="265">
        <v>426</v>
      </c>
      <c r="AJ1696" s="265">
        <v>473</v>
      </c>
      <c r="AK1696" s="265">
        <v>478</v>
      </c>
      <c r="AL1696" s="265">
        <v>522</v>
      </c>
      <c r="AM1696" s="265">
        <v>600</v>
      </c>
      <c r="AN1696" s="265">
        <v>548</v>
      </c>
      <c r="AO1696" s="265">
        <v>607</v>
      </c>
      <c r="AP1696" s="265">
        <v>562</v>
      </c>
      <c r="AQ1696" s="265">
        <v>542</v>
      </c>
      <c r="AR1696" s="265">
        <v>610</v>
      </c>
      <c r="AS1696" s="265">
        <v>637</v>
      </c>
      <c r="AT1696" s="265">
        <v>624</v>
      </c>
      <c r="AU1696" s="265">
        <v>628</v>
      </c>
      <c r="AV1696" s="265">
        <v>575</v>
      </c>
      <c r="AW1696" s="265">
        <v>605</v>
      </c>
      <c r="AX1696" s="265">
        <v>611</v>
      </c>
      <c r="AY1696" s="265">
        <v>580</v>
      </c>
      <c r="AZ1696" s="265">
        <v>541</v>
      </c>
      <c r="BA1696" s="265">
        <v>549</v>
      </c>
      <c r="BB1696" s="265">
        <v>563</v>
      </c>
      <c r="BC1696" s="265">
        <v>482</v>
      </c>
      <c r="BD1696" s="265">
        <v>532</v>
      </c>
      <c r="BE1696" s="265">
        <v>542</v>
      </c>
      <c r="BF1696" s="265">
        <v>440</v>
      </c>
      <c r="BG1696" s="265">
        <v>519</v>
      </c>
      <c r="BH1696" s="265">
        <v>436</v>
      </c>
      <c r="BI1696" s="265">
        <v>496</v>
      </c>
      <c r="BJ1696" s="265">
        <v>490</v>
      </c>
      <c r="BK1696" s="265">
        <v>555</v>
      </c>
      <c r="BL1696" s="265">
        <v>579</v>
      </c>
      <c r="BM1696" s="265">
        <v>638</v>
      </c>
      <c r="BN1696" s="265">
        <v>629</v>
      </c>
      <c r="BO1696" s="265">
        <v>591</v>
      </c>
      <c r="BP1696" s="265">
        <v>589</v>
      </c>
      <c r="BQ1696" s="265">
        <v>629</v>
      </c>
      <c r="BR1696" s="265">
        <v>632</v>
      </c>
      <c r="BS1696" s="265">
        <v>712</v>
      </c>
      <c r="BT1696" s="265">
        <v>639</v>
      </c>
      <c r="BU1696" s="265">
        <v>673</v>
      </c>
      <c r="BV1696" s="265">
        <v>662</v>
      </c>
      <c r="BW1696" s="265">
        <v>647</v>
      </c>
      <c r="BX1696" s="265">
        <v>569</v>
      </c>
      <c r="BY1696" s="265">
        <v>570</v>
      </c>
      <c r="BZ1696" s="265">
        <v>582</v>
      </c>
      <c r="CA1696" s="265">
        <v>509</v>
      </c>
      <c r="CB1696" s="265">
        <v>481</v>
      </c>
      <c r="CC1696" s="265">
        <v>468</v>
      </c>
      <c r="CD1696" s="265">
        <v>525</v>
      </c>
      <c r="CE1696" s="265">
        <v>460</v>
      </c>
      <c r="CF1696" s="265">
        <v>473</v>
      </c>
      <c r="CG1696" s="265">
        <v>453</v>
      </c>
      <c r="CH1696" s="265">
        <v>449</v>
      </c>
      <c r="CI1696" s="265">
        <v>461</v>
      </c>
      <c r="CJ1696" s="265">
        <v>450</v>
      </c>
      <c r="CK1696" s="265">
        <v>525</v>
      </c>
      <c r="CL1696" s="265">
        <v>373</v>
      </c>
      <c r="CM1696" s="265">
        <v>376</v>
      </c>
      <c r="CN1696" s="265">
        <v>334</v>
      </c>
      <c r="CO1696" s="265">
        <v>283</v>
      </c>
      <c r="CP1696" s="265">
        <v>254</v>
      </c>
      <c r="CQ1696" s="265">
        <v>226</v>
      </c>
      <c r="CR1696" s="265">
        <v>201</v>
      </c>
      <c r="CS1696" s="265">
        <v>207</v>
      </c>
      <c r="CT1696" s="265">
        <v>181</v>
      </c>
      <c r="CU1696" s="265">
        <v>135</v>
      </c>
      <c r="CV1696" s="265">
        <v>127</v>
      </c>
      <c r="CW1696" s="265">
        <v>100</v>
      </c>
      <c r="CX1696" s="265">
        <v>101</v>
      </c>
      <c r="CY1696" s="265">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5">
        <v>594</v>
      </c>
      <c r="N1697" s="265">
        <v>672</v>
      </c>
      <c r="O1697" s="265">
        <v>677</v>
      </c>
      <c r="P1697" s="265">
        <v>712</v>
      </c>
      <c r="Q1697" s="265">
        <v>754</v>
      </c>
      <c r="R1697" s="265">
        <v>738</v>
      </c>
      <c r="S1697" s="265">
        <v>825</v>
      </c>
      <c r="T1697" s="265">
        <v>782</v>
      </c>
      <c r="U1697" s="265">
        <v>774</v>
      </c>
      <c r="V1697" s="265">
        <v>814</v>
      </c>
      <c r="W1697" s="265">
        <v>875</v>
      </c>
      <c r="X1697" s="265">
        <v>899</v>
      </c>
      <c r="Y1697" s="265">
        <v>880</v>
      </c>
      <c r="Z1697" s="265">
        <v>900</v>
      </c>
      <c r="AA1697" s="265">
        <v>906</v>
      </c>
      <c r="AB1697" s="265">
        <v>863</v>
      </c>
      <c r="AC1697" s="265">
        <v>859</v>
      </c>
      <c r="AD1697" s="265">
        <v>772</v>
      </c>
      <c r="AE1697" s="265">
        <v>733</v>
      </c>
      <c r="AF1697" s="265">
        <v>597</v>
      </c>
      <c r="AG1697" s="265">
        <v>564</v>
      </c>
      <c r="AH1697" s="265">
        <v>512</v>
      </c>
      <c r="AI1697" s="265">
        <v>663</v>
      </c>
      <c r="AJ1697" s="265">
        <v>713</v>
      </c>
      <c r="AK1697" s="265">
        <v>713</v>
      </c>
      <c r="AL1697" s="265">
        <v>669</v>
      </c>
      <c r="AM1697" s="265">
        <v>723</v>
      </c>
      <c r="AN1697" s="265">
        <v>699</v>
      </c>
      <c r="AO1697" s="265">
        <v>711</v>
      </c>
      <c r="AP1697" s="265">
        <v>745</v>
      </c>
      <c r="AQ1697" s="265">
        <v>703</v>
      </c>
      <c r="AR1697" s="265">
        <v>734</v>
      </c>
      <c r="AS1697" s="265">
        <v>736</v>
      </c>
      <c r="AT1697" s="265">
        <v>729</v>
      </c>
      <c r="AU1697" s="265">
        <v>809</v>
      </c>
      <c r="AV1697" s="265">
        <v>846</v>
      </c>
      <c r="AW1697" s="265">
        <v>831</v>
      </c>
      <c r="AX1697" s="265">
        <v>887</v>
      </c>
      <c r="AY1697" s="265">
        <v>751</v>
      </c>
      <c r="AZ1697" s="265">
        <v>763</v>
      </c>
      <c r="BA1697" s="265">
        <v>823</v>
      </c>
      <c r="BB1697" s="265">
        <v>841</v>
      </c>
      <c r="BC1697" s="265">
        <v>930</v>
      </c>
      <c r="BD1697" s="265">
        <v>904</v>
      </c>
      <c r="BE1697" s="265">
        <v>833</v>
      </c>
      <c r="BF1697" s="265">
        <v>696</v>
      </c>
      <c r="BG1697" s="265">
        <v>730</v>
      </c>
      <c r="BH1697" s="265">
        <v>733</v>
      </c>
      <c r="BI1697" s="265">
        <v>808</v>
      </c>
      <c r="BJ1697" s="265">
        <v>779</v>
      </c>
      <c r="BK1697" s="265">
        <v>823</v>
      </c>
      <c r="BL1697" s="265">
        <v>856</v>
      </c>
      <c r="BM1697" s="265">
        <v>879</v>
      </c>
      <c r="BN1697" s="265">
        <v>870</v>
      </c>
      <c r="BO1697" s="265">
        <v>912</v>
      </c>
      <c r="BP1697" s="265">
        <v>884</v>
      </c>
      <c r="BQ1697" s="265">
        <v>932</v>
      </c>
      <c r="BR1697" s="265">
        <v>862</v>
      </c>
      <c r="BS1697" s="265">
        <v>889</v>
      </c>
      <c r="BT1697" s="265">
        <v>947</v>
      </c>
      <c r="BU1697" s="265">
        <v>906</v>
      </c>
      <c r="BV1697" s="265">
        <v>916</v>
      </c>
      <c r="BW1697" s="265">
        <v>915</v>
      </c>
      <c r="BX1697" s="265">
        <v>827</v>
      </c>
      <c r="BY1697" s="265">
        <v>849</v>
      </c>
      <c r="BZ1697" s="265">
        <v>747</v>
      </c>
      <c r="CA1697" s="265">
        <v>787</v>
      </c>
      <c r="CB1697" s="265">
        <v>746</v>
      </c>
      <c r="CC1697" s="265">
        <v>747</v>
      </c>
      <c r="CD1697" s="265">
        <v>737</v>
      </c>
      <c r="CE1697" s="265">
        <v>745</v>
      </c>
      <c r="CF1697" s="265">
        <v>680</v>
      </c>
      <c r="CG1697" s="265">
        <v>701</v>
      </c>
      <c r="CH1697" s="265">
        <v>697</v>
      </c>
      <c r="CI1697" s="265">
        <v>697</v>
      </c>
      <c r="CJ1697" s="265">
        <v>718</v>
      </c>
      <c r="CK1697" s="265">
        <v>744</v>
      </c>
      <c r="CL1697" s="265">
        <v>543</v>
      </c>
      <c r="CM1697" s="265">
        <v>528</v>
      </c>
      <c r="CN1697" s="265">
        <v>542</v>
      </c>
      <c r="CO1697" s="265">
        <v>437</v>
      </c>
      <c r="CP1697" s="265">
        <v>390</v>
      </c>
      <c r="CQ1697" s="265">
        <v>363</v>
      </c>
      <c r="CR1697" s="265">
        <v>328</v>
      </c>
      <c r="CS1697" s="265">
        <v>306</v>
      </c>
      <c r="CT1697" s="265">
        <v>271</v>
      </c>
      <c r="CU1697" s="265">
        <v>211</v>
      </c>
      <c r="CV1697" s="265">
        <v>208</v>
      </c>
      <c r="CW1697" s="265">
        <v>147</v>
      </c>
      <c r="CX1697" s="265">
        <v>131</v>
      </c>
      <c r="CY1697" s="265">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5">
        <v>645</v>
      </c>
      <c r="N1698" s="265">
        <v>694</v>
      </c>
      <c r="O1698" s="265">
        <v>669</v>
      </c>
      <c r="P1698" s="265">
        <v>760</v>
      </c>
      <c r="Q1698" s="265">
        <v>740</v>
      </c>
      <c r="R1698" s="265">
        <v>727</v>
      </c>
      <c r="S1698" s="265">
        <v>786</v>
      </c>
      <c r="T1698" s="265">
        <v>791</v>
      </c>
      <c r="U1698" s="265">
        <v>773</v>
      </c>
      <c r="V1698" s="265">
        <v>817</v>
      </c>
      <c r="W1698" s="265">
        <v>873</v>
      </c>
      <c r="X1698" s="265">
        <v>853</v>
      </c>
      <c r="Y1698" s="265">
        <v>858</v>
      </c>
      <c r="Z1698" s="265">
        <v>867</v>
      </c>
      <c r="AA1698" s="265">
        <v>882</v>
      </c>
      <c r="AB1698" s="265">
        <v>828</v>
      </c>
      <c r="AC1698" s="265">
        <v>852</v>
      </c>
      <c r="AD1698" s="265">
        <v>834</v>
      </c>
      <c r="AE1698" s="265">
        <v>822</v>
      </c>
      <c r="AF1698" s="265">
        <v>691</v>
      </c>
      <c r="AG1698" s="265">
        <v>622</v>
      </c>
      <c r="AH1698" s="265">
        <v>632</v>
      </c>
      <c r="AI1698" s="265">
        <v>665</v>
      </c>
      <c r="AJ1698" s="265">
        <v>726</v>
      </c>
      <c r="AK1698" s="265">
        <v>779</v>
      </c>
      <c r="AL1698" s="265">
        <v>786</v>
      </c>
      <c r="AM1698" s="265">
        <v>814</v>
      </c>
      <c r="AN1698" s="265">
        <v>776</v>
      </c>
      <c r="AO1698" s="265">
        <v>844</v>
      </c>
      <c r="AP1698" s="265">
        <v>828</v>
      </c>
      <c r="AQ1698" s="265">
        <v>844</v>
      </c>
      <c r="AR1698" s="265">
        <v>781</v>
      </c>
      <c r="AS1698" s="265">
        <v>903</v>
      </c>
      <c r="AT1698" s="265">
        <v>892</v>
      </c>
      <c r="AU1698" s="265">
        <v>864</v>
      </c>
      <c r="AV1698" s="265">
        <v>903</v>
      </c>
      <c r="AW1698" s="265">
        <v>886</v>
      </c>
      <c r="AX1698" s="265">
        <v>939</v>
      </c>
      <c r="AY1698" s="265">
        <v>912</v>
      </c>
      <c r="AZ1698" s="265">
        <v>855</v>
      </c>
      <c r="BA1698" s="265">
        <v>853</v>
      </c>
      <c r="BB1698" s="265">
        <v>823</v>
      </c>
      <c r="BC1698" s="265">
        <v>886</v>
      </c>
      <c r="BD1698" s="265">
        <v>921</v>
      </c>
      <c r="BE1698" s="265">
        <v>882</v>
      </c>
      <c r="BF1698" s="265">
        <v>726</v>
      </c>
      <c r="BG1698" s="265">
        <v>757</v>
      </c>
      <c r="BH1698" s="265">
        <v>801</v>
      </c>
      <c r="BI1698" s="265">
        <v>794</v>
      </c>
      <c r="BJ1698" s="265">
        <v>783</v>
      </c>
      <c r="BK1698" s="265">
        <v>908</v>
      </c>
      <c r="BL1698" s="265">
        <v>954</v>
      </c>
      <c r="BM1698" s="265">
        <v>1009</v>
      </c>
      <c r="BN1698" s="265">
        <v>1001</v>
      </c>
      <c r="BO1698" s="265">
        <v>1001</v>
      </c>
      <c r="BP1698" s="265">
        <v>969</v>
      </c>
      <c r="BQ1698" s="265">
        <v>962</v>
      </c>
      <c r="BR1698" s="265">
        <v>993</v>
      </c>
      <c r="BS1698" s="265">
        <v>983</v>
      </c>
      <c r="BT1698" s="265">
        <v>975</v>
      </c>
      <c r="BU1698" s="265">
        <v>962</v>
      </c>
      <c r="BV1698" s="265">
        <v>895</v>
      </c>
      <c r="BW1698" s="265">
        <v>892</v>
      </c>
      <c r="BX1698" s="265">
        <v>838</v>
      </c>
      <c r="BY1698" s="265">
        <v>735</v>
      </c>
      <c r="BZ1698" s="265">
        <v>787</v>
      </c>
      <c r="CA1698" s="265">
        <v>784</v>
      </c>
      <c r="CB1698" s="265">
        <v>763</v>
      </c>
      <c r="CC1698" s="265">
        <v>694</v>
      </c>
      <c r="CD1698" s="265">
        <v>683</v>
      </c>
      <c r="CE1698" s="265">
        <v>703</v>
      </c>
      <c r="CF1698" s="265">
        <v>668</v>
      </c>
      <c r="CG1698" s="265">
        <v>663</v>
      </c>
      <c r="CH1698" s="265">
        <v>662</v>
      </c>
      <c r="CI1698" s="265">
        <v>675</v>
      </c>
      <c r="CJ1698" s="265">
        <v>680</v>
      </c>
      <c r="CK1698" s="265">
        <v>725</v>
      </c>
      <c r="CL1698" s="265">
        <v>549</v>
      </c>
      <c r="CM1698" s="265">
        <v>478</v>
      </c>
      <c r="CN1698" s="265">
        <v>487</v>
      </c>
      <c r="CO1698" s="265">
        <v>472</v>
      </c>
      <c r="CP1698" s="265">
        <v>402</v>
      </c>
      <c r="CQ1698" s="265">
        <v>321</v>
      </c>
      <c r="CR1698" s="265">
        <v>281</v>
      </c>
      <c r="CS1698" s="265">
        <v>251</v>
      </c>
      <c r="CT1698" s="265">
        <v>253</v>
      </c>
      <c r="CU1698" s="265">
        <v>212</v>
      </c>
      <c r="CV1698" s="265">
        <v>195</v>
      </c>
      <c r="CW1698" s="265">
        <v>135</v>
      </c>
      <c r="CX1698" s="265">
        <v>112</v>
      </c>
      <c r="CY1698" s="265">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448" t="s">
        <v>1743</v>
      </c>
      <c r="B1714" s="449"/>
      <c r="C1714" s="450"/>
      <c r="D1714" s="447"/>
      <c r="E1714" s="447"/>
      <c r="F1714" s="447"/>
      <c r="G1714" s="447"/>
      <c r="H1714" s="447"/>
      <c r="I1714" s="447"/>
      <c r="J1714" s="447"/>
      <c r="K1714" s="447"/>
      <c r="L1714" s="447"/>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285" t="s">
        <v>1744</v>
      </c>
      <c r="E1716" s="286" t="s">
        <v>1745</v>
      </c>
      <c r="F1716" s="285"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287" t="s">
        <v>1747</v>
      </c>
      <c r="E1717" s="287" t="s">
        <v>1747</v>
      </c>
      <c r="F1717" s="287"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287">
        <v>2023</v>
      </c>
      <c r="E1718" s="288">
        <v>2024</v>
      </c>
      <c r="F1718" s="287">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1748</v>
      </c>
      <c r="D1719" s="289">
        <v>57690323</v>
      </c>
      <c r="E1719" s="290"/>
      <c r="F1719" s="291"/>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292" t="s">
        <v>1749</v>
      </c>
      <c r="D1720" s="293"/>
      <c r="E1720" s="294"/>
      <c r="F1720" s="289">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292" t="s">
        <v>1750</v>
      </c>
      <c r="D1721" s="293"/>
      <c r="E1721" s="295"/>
      <c r="F1721" s="430">
        <f>(F1720-D1719)/D1719</f>
        <v>2.5222393017282987E-2</v>
      </c>
      <c r="G1721" s="432">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292" t="s">
        <v>1751</v>
      </c>
      <c r="D1722" s="293"/>
      <c r="E1722" s="296"/>
      <c r="F1722" s="289">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292" t="s">
        <v>1752</v>
      </c>
      <c r="D1723" s="293"/>
      <c r="E1723" s="296"/>
      <c r="F1723" s="289">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448" t="s">
        <v>1753</v>
      </c>
      <c r="B1726" s="449"/>
      <c r="C1726" s="450"/>
      <c r="D1726" s="447"/>
      <c r="E1726" s="447"/>
      <c r="F1726" s="447"/>
      <c r="G1726" s="447"/>
      <c r="H1726" s="447"/>
      <c r="I1726" s="447"/>
      <c r="J1726" s="447"/>
      <c r="K1726" s="447"/>
      <c r="L1726" s="447"/>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297"/>
      <c r="K1727" s="298" t="s">
        <v>1754</v>
      </c>
      <c r="L1727" s="299"/>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281"/>
      <c r="B1728" s="282"/>
      <c r="C1728" s="20" t="s">
        <v>1755</v>
      </c>
      <c r="D1728" s="126" t="s">
        <v>1756</v>
      </c>
      <c r="E1728" s="126" t="s">
        <v>1757</v>
      </c>
      <c r="F1728" s="126" t="s">
        <v>1758</v>
      </c>
      <c r="G1728" s="126" t="s">
        <v>1759</v>
      </c>
      <c r="H1728" s="126" t="s">
        <v>1760</v>
      </c>
      <c r="I1728" s="126" t="s">
        <v>1761</v>
      </c>
      <c r="J1728" s="434" t="s">
        <v>1762</v>
      </c>
      <c r="K1728" s="435" t="s">
        <v>1763</v>
      </c>
      <c r="L1728" s="208"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283"/>
      <c r="C1729" s="20" t="s">
        <v>1765</v>
      </c>
      <c r="D1729" s="915" t="s">
        <v>1766</v>
      </c>
      <c r="E1729" s="916"/>
      <c r="F1729" s="916"/>
      <c r="G1729" s="916"/>
      <c r="H1729" s="916"/>
      <c r="I1729" s="917"/>
      <c r="J1729" s="436"/>
      <c r="K1729" s="436"/>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283"/>
      <c r="B1730" s="10">
        <v>0</v>
      </c>
      <c r="C1730" s="125" t="s">
        <v>1767</v>
      </c>
      <c r="D1730" s="129"/>
      <c r="E1730" s="129"/>
      <c r="F1730" s="129"/>
      <c r="G1730" s="129"/>
      <c r="H1730" s="129"/>
      <c r="I1730" s="129"/>
      <c r="J1730" s="436"/>
      <c r="K1730" s="436"/>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283"/>
      <c r="B1731" s="10">
        <v>1</v>
      </c>
      <c r="C1731" s="497" t="s">
        <v>1768</v>
      </c>
      <c r="D1731" s="251"/>
      <c r="E1731" s="251">
        <v>1.0083396326386167</v>
      </c>
      <c r="F1731" s="251">
        <v>1.0068144721288348</v>
      </c>
      <c r="G1731" s="251">
        <v>1.0052783852289084</v>
      </c>
      <c r="H1731" s="251">
        <v>1.005159569821475</v>
      </c>
      <c r="I1731" s="251">
        <v>1.005034244714381</v>
      </c>
      <c r="J1731" s="437">
        <f>(I1731-100%)/5</f>
        <v>1.0068489428761928E-3</v>
      </c>
      <c r="K1731" s="438">
        <f t="shared" ref="K1731:K1741" si="345">(I1731/100%)^(1/5)-1</f>
        <v>1.0048275559169095E-3</v>
      </c>
      <c r="L1731" s="284">
        <v>1.0048275559169095E-3</v>
      </c>
      <c r="M1731" s="12"/>
      <c r="N1731" s="252"/>
      <c r="O1731" s="253"/>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283" t="s">
        <v>1769</v>
      </c>
      <c r="B1732" s="10">
        <v>2</v>
      </c>
      <c r="C1732" s="167" t="s">
        <v>1770</v>
      </c>
      <c r="D1732" s="129"/>
      <c r="E1732" s="129">
        <v>0.99220867160133164</v>
      </c>
      <c r="F1732" s="129">
        <v>0.99099332816200558</v>
      </c>
      <c r="G1732" s="129">
        <v>0.99149832442765373</v>
      </c>
      <c r="H1732" s="129">
        <v>0.99306376744162606</v>
      </c>
      <c r="I1732" s="129">
        <v>0.99322960389630777</v>
      </c>
      <c r="J1732" s="437">
        <f t="shared" ref="J1732:J1741" si="346">(I1732-100%)/5</f>
        <v>-1.3540792207384466E-3</v>
      </c>
      <c r="K1732" s="438">
        <f t="shared" si="345"/>
        <v>-1.357761249247913E-3</v>
      </c>
      <c r="L1732" s="256">
        <v>-1.357761249247913E-3</v>
      </c>
      <c r="M1732" s="12"/>
      <c r="N1732" s="252"/>
      <c r="O1732" s="253"/>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283" t="s">
        <v>1769</v>
      </c>
      <c r="B1733" s="10">
        <v>3</v>
      </c>
      <c r="C1733" s="167" t="s">
        <v>1771</v>
      </c>
      <c r="D1733" s="129"/>
      <c r="E1733" s="129">
        <v>1.0143809141680851</v>
      </c>
      <c r="F1733" s="129">
        <v>1.0083971212477236</v>
      </c>
      <c r="G1733" s="129">
        <v>1.003626338830879</v>
      </c>
      <c r="H1733" s="129">
        <v>1.0019091820289452</v>
      </c>
      <c r="I1733" s="129">
        <v>1.0029969851890055</v>
      </c>
      <c r="J1733" s="437">
        <f t="shared" si="346"/>
        <v>5.993970378010971E-4</v>
      </c>
      <c r="K1733" s="438">
        <f t="shared" si="345"/>
        <v>5.9867977357552782E-4</v>
      </c>
      <c r="L1733" s="256">
        <v>5.9867977357552782E-4</v>
      </c>
      <c r="M1733" s="12"/>
      <c r="N1733" s="252"/>
      <c r="O1733" s="253"/>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283" t="s">
        <v>1769</v>
      </c>
      <c r="B1734" s="10">
        <v>4</v>
      </c>
      <c r="C1734" s="167" t="s">
        <v>1772</v>
      </c>
      <c r="D1734" s="129"/>
      <c r="E1734" s="129">
        <v>1.0119831388235714</v>
      </c>
      <c r="F1734" s="129">
        <v>1.0123152749187849</v>
      </c>
      <c r="G1734" s="129">
        <v>1.0092966846901532</v>
      </c>
      <c r="H1734" s="129">
        <v>1.0093024499843755</v>
      </c>
      <c r="I1734" s="129">
        <v>1.0058607612889943</v>
      </c>
      <c r="J1734" s="437">
        <f t="shared" si="346"/>
        <v>1.1721522577988531E-3</v>
      </c>
      <c r="K1734" s="438">
        <f t="shared" si="345"/>
        <v>1.1694139993094765E-3</v>
      </c>
      <c r="L1734" s="256">
        <v>1.1694139993094765E-3</v>
      </c>
      <c r="M1734" s="12"/>
      <c r="N1734" s="252"/>
      <c r="O1734" s="253"/>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283" t="s">
        <v>1769</v>
      </c>
      <c r="B1735" s="10">
        <v>5</v>
      </c>
      <c r="C1735" s="167" t="s">
        <v>1773</v>
      </c>
      <c r="D1735" s="129"/>
      <c r="E1735" s="129">
        <v>0.99868810197260138</v>
      </c>
      <c r="F1735" s="129">
        <v>0.99777419677997459</v>
      </c>
      <c r="G1735" s="129">
        <v>0.99863727568848948</v>
      </c>
      <c r="H1735" s="129">
        <v>0.99899133935284168</v>
      </c>
      <c r="I1735" s="129">
        <v>1.0032834988438057</v>
      </c>
      <c r="J1735" s="437">
        <f t="shared" si="346"/>
        <v>6.5669976876114866E-4</v>
      </c>
      <c r="K1735" s="438">
        <f t="shared" si="345"/>
        <v>6.5583895492138389E-4</v>
      </c>
      <c r="L1735" s="256">
        <v>6.5583895492138389E-4</v>
      </c>
      <c r="M1735" s="12"/>
      <c r="N1735" s="252"/>
      <c r="O1735" s="253"/>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283" t="s">
        <v>1769</v>
      </c>
      <c r="B1736" s="10">
        <v>6</v>
      </c>
      <c r="C1736" s="167" t="s">
        <v>1774</v>
      </c>
      <c r="D1736" s="129"/>
      <c r="E1736" s="129">
        <v>1.0185737392830623</v>
      </c>
      <c r="F1736" s="129">
        <v>1.018863566736369</v>
      </c>
      <c r="G1736" s="129">
        <v>1.0165082772965106</v>
      </c>
      <c r="H1736" s="129">
        <v>1.0156627003170711</v>
      </c>
      <c r="I1736" s="129">
        <v>1.0139248252188859</v>
      </c>
      <c r="J1736" s="437">
        <f t="shared" si="346"/>
        <v>2.784965043777188E-3</v>
      </c>
      <c r="K1736" s="438">
        <f t="shared" si="345"/>
        <v>2.7695813347723419E-3</v>
      </c>
      <c r="L1736" s="256">
        <v>2.7695813347723419E-3</v>
      </c>
      <c r="M1736" s="12"/>
      <c r="N1736" s="252"/>
      <c r="O1736" s="253"/>
      <c r="P1736" s="12"/>
      <c r="Q1736" s="254"/>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283" t="s">
        <v>1769</v>
      </c>
      <c r="B1737" s="10">
        <v>7</v>
      </c>
      <c r="C1737" s="167" t="s">
        <v>1775</v>
      </c>
      <c r="D1737" s="129"/>
      <c r="E1737" s="129">
        <v>1.0186430018515642</v>
      </c>
      <c r="F1737" s="129">
        <v>1.016281083830104</v>
      </c>
      <c r="G1737" s="129">
        <v>1.0168046783204194</v>
      </c>
      <c r="H1737" s="129">
        <v>1.0163751107042418</v>
      </c>
      <c r="I1737" s="129">
        <v>1.0143846521681685</v>
      </c>
      <c r="J1737" s="437">
        <f t="shared" si="346"/>
        <v>2.8769304336337064E-3</v>
      </c>
      <c r="K1737" s="438">
        <f t="shared" si="345"/>
        <v>2.8605184225896085E-3</v>
      </c>
      <c r="L1737" s="256">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283" t="s">
        <v>1769</v>
      </c>
      <c r="B1738" s="10">
        <v>8</v>
      </c>
      <c r="C1738" s="497" t="s">
        <v>1776</v>
      </c>
      <c r="D1738" s="251"/>
      <c r="E1738" s="251">
        <v>1.0115317316189907</v>
      </c>
      <c r="F1738" s="251">
        <v>1.0098854557273558</v>
      </c>
      <c r="G1738" s="251">
        <v>1.0079031437924768</v>
      </c>
      <c r="H1738" s="251">
        <v>1.0074260195736053</v>
      </c>
      <c r="I1738" s="251">
        <v>1.0072146044968846</v>
      </c>
      <c r="J1738" s="437">
        <f t="shared" si="346"/>
        <v>1.4429208993769205E-3</v>
      </c>
      <c r="K1738" s="438">
        <f t="shared" si="345"/>
        <v>1.4387747925457273E-3</v>
      </c>
      <c r="L1738" s="284">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283"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37">
        <f t="shared" si="346"/>
        <v>-1.3540792207384466E-3</v>
      </c>
      <c r="K1739" s="438">
        <f t="shared" si="345"/>
        <v>-1.357761249247913E-3</v>
      </c>
      <c r="L1739" s="256">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283" t="s">
        <v>1769</v>
      </c>
      <c r="B1740" s="10">
        <v>10</v>
      </c>
      <c r="C1740" s="167" t="s">
        <v>1778</v>
      </c>
      <c r="D1740" s="129"/>
      <c r="E1740" s="129">
        <v>1.0101622336917053</v>
      </c>
      <c r="F1740" s="129">
        <v>1.0086801518353343</v>
      </c>
      <c r="G1740" s="129">
        <v>1.0069295256394797</v>
      </c>
      <c r="H1740" s="129">
        <v>1.0064889037252818</v>
      </c>
      <c r="I1740" s="129">
        <v>1.0062891385473149</v>
      </c>
      <c r="J1740" s="437">
        <f t="shared" si="346"/>
        <v>1.2578277094629886E-3</v>
      </c>
      <c r="K1740" s="438">
        <f t="shared" si="345"/>
        <v>1.2546753363396057E-3</v>
      </c>
      <c r="L1740" s="256">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283" t="s">
        <v>1769</v>
      </c>
      <c r="B1741" s="10">
        <v>11</v>
      </c>
      <c r="C1741" s="167" t="s">
        <v>1779</v>
      </c>
      <c r="D1741" s="129"/>
      <c r="E1741" s="129">
        <v>1.0095905530762708</v>
      </c>
      <c r="F1741" s="129">
        <v>1.0083132699804231</v>
      </c>
      <c r="G1741" s="129">
        <v>1.006695740502793</v>
      </c>
      <c r="H1741" s="129">
        <v>1.0063437323937274</v>
      </c>
      <c r="I1741" s="129">
        <v>1.0061665544670078</v>
      </c>
      <c r="J1741" s="437">
        <f t="shared" si="346"/>
        <v>1.2333108934015514E-3</v>
      </c>
      <c r="K1741" s="438">
        <f t="shared" si="345"/>
        <v>1.2302799891306115E-3</v>
      </c>
      <c r="L1741" s="256">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283" t="s">
        <v>1769</v>
      </c>
      <c r="B1742" s="10">
        <v>12</v>
      </c>
      <c r="C1742" s="167"/>
      <c r="D1742" s="125"/>
      <c r="E1742" s="125"/>
      <c r="F1742" s="125"/>
      <c r="G1742" s="125"/>
      <c r="H1742" s="125"/>
      <c r="I1742" s="125"/>
      <c r="J1742" s="437"/>
      <c r="K1742" s="438"/>
      <c r="L1742" s="439"/>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283" t="s">
        <v>1769</v>
      </c>
      <c r="B1743" s="10">
        <v>13</v>
      </c>
      <c r="C1743" s="125"/>
      <c r="D1743" s="125"/>
      <c r="E1743" s="125"/>
      <c r="F1743" s="125"/>
      <c r="G1743" s="125"/>
      <c r="H1743" s="125"/>
      <c r="I1743" s="125"/>
      <c r="J1743" s="437"/>
      <c r="K1743" s="438"/>
      <c r="L1743" s="439"/>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218">
        <v>14</v>
      </c>
      <c r="C1744" s="125"/>
      <c r="D1744" s="125"/>
      <c r="E1744" s="125"/>
      <c r="F1744" s="125"/>
      <c r="G1744" s="125"/>
      <c r="H1744" s="125"/>
      <c r="I1744" s="125"/>
      <c r="J1744" s="437"/>
      <c r="K1744" s="438"/>
      <c r="L1744" s="439"/>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5"/>
      <c r="D1745" s="125"/>
      <c r="E1745" s="125"/>
      <c r="F1745" s="125"/>
      <c r="G1745" s="125"/>
      <c r="H1745" s="125"/>
      <c r="I1745" s="125"/>
      <c r="J1745" s="433" t="s">
        <v>1780</v>
      </c>
      <c r="K1745" s="436"/>
      <c r="L1745" s="207"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433" t="s">
        <v>1782</v>
      </c>
      <c r="K1746" s="436"/>
      <c r="L1746" s="207"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259" t="s">
        <v>1784</v>
      </c>
      <c r="F1747" s="446"/>
      <c r="G1747" s="446"/>
      <c r="H1747" s="446"/>
      <c r="I1747" s="446"/>
      <c r="J1747" s="433" t="s">
        <v>1785</v>
      </c>
      <c r="K1747" s="436"/>
      <c r="L1747" s="207" t="s">
        <v>1786</v>
      </c>
      <c r="M1747" s="12"/>
      <c r="N1747" s="12"/>
      <c r="O1747" s="12"/>
      <c r="P1747" s="12"/>
      <c r="Q1747" s="12"/>
      <c r="R1747" s="255"/>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207" t="s">
        <v>1787</v>
      </c>
      <c r="M1748" s="12"/>
      <c r="N1748" s="12"/>
      <c r="O1748" s="12"/>
      <c r="P1748" s="12"/>
      <c r="Q1748" s="12"/>
      <c r="R1748" s="255"/>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207"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207"/>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207"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207" t="s">
        <v>1790</v>
      </c>
      <c r="M1752" s="12"/>
      <c r="N1752" s="12"/>
      <c r="O1752" s="297"/>
      <c r="P1752" s="298" t="s">
        <v>1791</v>
      </c>
      <c r="Q1752" s="299"/>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85" hidden="1" customHeight="1" x14ac:dyDescent="0.25">
      <c r="C1753" s="10"/>
      <c r="M1753" s="12"/>
      <c r="N1753" s="12"/>
      <c r="O1753" s="445" t="s">
        <v>1762</v>
      </c>
      <c r="P1753" s="445" t="s">
        <v>1763</v>
      </c>
      <c r="Q1753" s="443"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281"/>
      <c r="B1754" s="282"/>
      <c r="C1754" s="497" t="s">
        <v>1768</v>
      </c>
      <c r="D1754" s="251"/>
      <c r="E1754" s="251">
        <f>E1731</f>
        <v>1.0083396326386167</v>
      </c>
      <c r="F1754" s="251">
        <f>F1731</f>
        <v>1.0068144721288348</v>
      </c>
      <c r="G1754" s="251">
        <f>G1731</f>
        <v>1.0052783852289084</v>
      </c>
      <c r="H1754" s="251">
        <f>H1731</f>
        <v>1.005159569821475</v>
      </c>
      <c r="I1754" s="251">
        <f>I1731</f>
        <v>1.005034244714381</v>
      </c>
      <c r="J1754" s="251">
        <v>1.0049046476669568</v>
      </c>
      <c r="K1754" s="251">
        <v>1.0047743417635073</v>
      </c>
      <c r="L1754" s="251">
        <v>1.0046496264171023</v>
      </c>
      <c r="M1754" s="251">
        <v>1.0045344880171496</v>
      </c>
      <c r="N1754" s="251">
        <v>1.0044234456443373</v>
      </c>
      <c r="O1754" s="437">
        <f>(N1754-100%)/10</f>
        <v>4.4234456443372763E-4</v>
      </c>
      <c r="P1754" s="438">
        <f>(N1754/100%)^(1/10)-1</f>
        <v>4.4146651409882054E-4</v>
      </c>
      <c r="Q1754" s="258">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283" t="s">
        <v>1792</v>
      </c>
      <c r="C1755" s="125" t="s">
        <v>1770</v>
      </c>
      <c r="D1755" s="440"/>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37">
        <f t="shared" ref="O1755:O1764" si="348">(N1755-100%)/10</f>
        <v>-2.7495426767735196E-4</v>
      </c>
      <c r="P1755" s="438">
        <f t="shared" ref="P1755:P1764" si="349">(N1755/100%)^(1/10)-1</f>
        <v>-2.7529506059797981E-4</v>
      </c>
      <c r="Q1755" s="444">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283" t="s">
        <v>1792</v>
      </c>
      <c r="C1756" s="125" t="s">
        <v>1771</v>
      </c>
      <c r="D1756" s="440"/>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37">
        <f t="shared" si="348"/>
        <v>-1.8398147543005061E-4</v>
      </c>
      <c r="P1756" s="438">
        <f t="shared" si="349"/>
        <v>-1.8413397447925028E-4</v>
      </c>
      <c r="Q1756" s="444">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283" t="s">
        <v>1792</v>
      </c>
      <c r="C1757" s="125" t="s">
        <v>1772</v>
      </c>
      <c r="D1757" s="440"/>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37">
        <f t="shared" si="348"/>
        <v>2.8297433769999272E-4</v>
      </c>
      <c r="P1757" s="438">
        <f t="shared" si="349"/>
        <v>2.8261464701917483E-4</v>
      </c>
      <c r="Q1757" s="444">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283" t="s">
        <v>1792</v>
      </c>
      <c r="C1758" s="125" t="s">
        <v>1773</v>
      </c>
      <c r="D1758" s="440"/>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37">
        <f t="shared" si="348"/>
        <v>1.4722659182130116E-3</v>
      </c>
      <c r="P1758" s="438">
        <f t="shared" si="349"/>
        <v>1.4626018574257493E-3</v>
      </c>
      <c r="Q1758" s="444">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283" t="s">
        <v>1792</v>
      </c>
      <c r="C1759" s="125" t="s">
        <v>1774</v>
      </c>
      <c r="D1759" s="440"/>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37">
        <f t="shared" si="348"/>
        <v>-1.2706952153392903E-4</v>
      </c>
      <c r="P1759" s="438">
        <f t="shared" si="349"/>
        <v>-1.2714224004750641E-4</v>
      </c>
      <c r="Q1759" s="444">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283" t="s">
        <v>1792</v>
      </c>
      <c r="C1760" s="125" t="s">
        <v>1775</v>
      </c>
      <c r="D1760" s="440"/>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37">
        <f t="shared" si="348"/>
        <v>1.997144648803051E-3</v>
      </c>
      <c r="P1760" s="438">
        <f t="shared" si="349"/>
        <v>1.9794197965237181E-3</v>
      </c>
      <c r="Q1760" s="444">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283" t="s">
        <v>1792</v>
      </c>
      <c r="C1761" s="497" t="s">
        <v>1776</v>
      </c>
      <c r="D1761" s="251"/>
      <c r="E1761" s="251">
        <f t="shared" si="347"/>
        <v>1.0115317316189907</v>
      </c>
      <c r="F1761" s="251">
        <f t="shared" si="347"/>
        <v>1.0098854557273558</v>
      </c>
      <c r="G1761" s="251">
        <f t="shared" si="347"/>
        <v>1.0079031437924768</v>
      </c>
      <c r="H1761" s="251">
        <f t="shared" si="347"/>
        <v>1.0074260195736053</v>
      </c>
      <c r="I1761" s="251">
        <f t="shared" si="347"/>
        <v>1.0072146044968846</v>
      </c>
      <c r="J1761" s="251">
        <v>1.0071891367326733</v>
      </c>
      <c r="K1761" s="251">
        <v>1.0067029595434946</v>
      </c>
      <c r="L1761" s="251">
        <v>1.0062767419722747</v>
      </c>
      <c r="M1761" s="251">
        <v>1.005993095083189</v>
      </c>
      <c r="N1761" s="251">
        <v>1.0056686088348645</v>
      </c>
      <c r="O1761" s="437">
        <f t="shared" si="348"/>
        <v>5.6686088348645303E-4</v>
      </c>
      <c r="P1761" s="438">
        <f t="shared" si="349"/>
        <v>5.6542006284843183E-4</v>
      </c>
      <c r="Q1761" s="258">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283" t="s">
        <v>1792</v>
      </c>
      <c r="C1762" s="125" t="s">
        <v>1777</v>
      </c>
      <c r="D1762" s="440"/>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37">
        <f t="shared" si="348"/>
        <v>-2.7495426767735196E-4</v>
      </c>
      <c r="P1762" s="438">
        <f t="shared" si="349"/>
        <v>-2.7529506059797981E-4</v>
      </c>
      <c r="Q1762" s="444">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283" t="s">
        <v>1792</v>
      </c>
      <c r="C1763" s="125" t="s">
        <v>1778</v>
      </c>
      <c r="D1763" s="440"/>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37">
        <f t="shared" si="348"/>
        <v>5.0246174221415532E-4</v>
      </c>
      <c r="P1763" s="438">
        <f t="shared" si="349"/>
        <v>5.0132923936385687E-4</v>
      </c>
      <c r="Q1763" s="444">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283" t="s">
        <v>1792</v>
      </c>
      <c r="C1764" s="125" t="s">
        <v>1779</v>
      </c>
      <c r="D1764" s="440"/>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37">
        <f t="shared" si="348"/>
        <v>4.9267004020239205E-4</v>
      </c>
      <c r="P1764" s="438">
        <f t="shared" si="349"/>
        <v>4.9158117922520894E-4</v>
      </c>
      <c r="Q1764" s="444">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283" t="s">
        <v>1792</v>
      </c>
      <c r="C1765" s="125"/>
      <c r="D1765" s="440"/>
      <c r="E1765" s="440"/>
      <c r="F1765" s="440"/>
      <c r="G1765" s="440"/>
      <c r="H1765" s="440"/>
      <c r="I1765" s="440"/>
      <c r="J1765" s="440"/>
      <c r="K1765" s="440"/>
      <c r="L1765" s="440"/>
      <c r="M1765" s="440"/>
      <c r="N1765" s="440"/>
      <c r="O1765" s="437"/>
      <c r="P1765" s="438"/>
      <c r="Q1765" s="441"/>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283" t="s">
        <v>1792</v>
      </c>
      <c r="C1766" s="125"/>
      <c r="D1766" s="440"/>
      <c r="E1766" s="440"/>
      <c r="F1766" s="440"/>
      <c r="G1766" s="440"/>
      <c r="H1766" s="440"/>
      <c r="I1766" s="440"/>
      <c r="J1766" s="440"/>
      <c r="K1766" s="440"/>
      <c r="L1766" s="440"/>
      <c r="M1766" s="440"/>
      <c r="N1766" s="440"/>
      <c r="O1766" s="437"/>
      <c r="P1766" s="438"/>
      <c r="Q1766" s="441"/>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218"/>
      <c r="C1767" s="125"/>
      <c r="D1767" s="440"/>
      <c r="E1767" s="440"/>
      <c r="F1767" s="440"/>
      <c r="G1767" s="440"/>
      <c r="H1767" s="440"/>
      <c r="I1767" s="440"/>
      <c r="J1767" s="440"/>
      <c r="K1767" s="440"/>
      <c r="L1767" s="440"/>
      <c r="M1767" s="440"/>
      <c r="N1767" s="440"/>
      <c r="O1767" s="437"/>
      <c r="P1767" s="438"/>
      <c r="Q1767" s="441"/>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433" t="s">
        <v>1780</v>
      </c>
      <c r="P1768" s="436"/>
      <c r="Q1768" s="442"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259" t="s">
        <v>1784</v>
      </c>
      <c r="F1769" s="446"/>
      <c r="G1769" s="259"/>
      <c r="H1769" s="446"/>
      <c r="I1769" s="446"/>
      <c r="M1769" s="12"/>
      <c r="N1769" s="12"/>
      <c r="O1769" s="433" t="s">
        <v>1782</v>
      </c>
      <c r="P1769" s="436"/>
      <c r="Q1769" s="442"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433" t="s">
        <v>1785</v>
      </c>
      <c r="P1770" s="436"/>
      <c r="Q1770" s="442"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448" t="s">
        <v>1753</v>
      </c>
      <c r="B1771" s="449"/>
      <c r="C1771" s="450"/>
      <c r="D1771" s="447"/>
      <c r="E1771" s="447"/>
      <c r="F1771" s="447"/>
      <c r="G1771" s="447"/>
      <c r="H1771" s="447"/>
      <c r="I1771" s="447"/>
      <c r="J1771" s="447"/>
      <c r="K1771" s="447"/>
      <c r="L1771" s="447"/>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298" t="s">
        <v>2074</v>
      </c>
      <c r="E1772" s="298" t="s">
        <v>1754</v>
      </c>
      <c r="F1772" s="298" t="s">
        <v>1791</v>
      </c>
      <c r="M1772" s="12"/>
      <c r="N1772" s="12"/>
      <c r="O1772" s="12"/>
      <c r="P1772" s="12"/>
      <c r="Q1772" s="442"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281"/>
      <c r="B1773" s="282"/>
      <c r="C1773" s="20" t="s">
        <v>1755</v>
      </c>
      <c r="D1773" s="208" t="s">
        <v>1764</v>
      </c>
      <c r="E1773" s="208" t="s">
        <v>1764</v>
      </c>
      <c r="F1773" s="208" t="s">
        <v>1764</v>
      </c>
      <c r="M1773" s="12"/>
      <c r="N1773" s="12"/>
      <c r="O1773" s="12"/>
      <c r="P1773" s="12"/>
      <c r="Q1773" s="44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283"/>
      <c r="C1774" s="20" t="s">
        <v>1765</v>
      </c>
      <c r="E1774" s="14"/>
      <c r="M1774" s="12"/>
      <c r="N1774" s="12"/>
      <c r="O1774" s="12"/>
      <c r="P1774" s="12"/>
      <c r="Q1774" s="442"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283"/>
      <c r="B1775" s="10">
        <v>0</v>
      </c>
      <c r="C1775" s="125" t="s">
        <v>1767</v>
      </c>
      <c r="E1775" s="14"/>
      <c r="M1775" s="12"/>
      <c r="N1775" s="12"/>
      <c r="O1775" s="12"/>
      <c r="P1775" s="12"/>
      <c r="Q1775" s="442"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283"/>
      <c r="B1776" s="10">
        <v>1</v>
      </c>
      <c r="C1776" s="497" t="s">
        <v>1768</v>
      </c>
      <c r="D1776" s="500">
        <v>6.8100543386244716E-3</v>
      </c>
      <c r="E1776" s="500">
        <v>6.1244446078418946E-3</v>
      </c>
      <c r="F1776" s="500">
        <v>5.3906024298502331E-3</v>
      </c>
      <c r="G1776" s="207"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283" t="s">
        <v>1769</v>
      </c>
      <c r="B1777" s="10">
        <v>2</v>
      </c>
      <c r="C1777" s="167" t="s">
        <v>1770</v>
      </c>
      <c r="D1777" s="499">
        <v>-8.43335057763284E-3</v>
      </c>
      <c r="E1777" s="499">
        <v>-7.8016393354566338E-3</v>
      </c>
      <c r="F1777" s="499">
        <v>-6.3705142428090999E-3</v>
      </c>
      <c r="G1777" s="207" t="s">
        <v>2075</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283" t="s">
        <v>1769</v>
      </c>
      <c r="B1778" s="10">
        <v>3</v>
      </c>
      <c r="C1778" s="167" t="s">
        <v>1771</v>
      </c>
      <c r="D1778" s="499">
        <v>8.7918669839650593E-3</v>
      </c>
      <c r="E1778" s="499">
        <v>6.2514987067481265E-3</v>
      </c>
      <c r="F1778" s="499">
        <v>3.5265583166539383E-3</v>
      </c>
      <c r="G1778" s="207" t="s">
        <v>2076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283" t="s">
        <v>1769</v>
      </c>
      <c r="B1779" s="10">
        <v>4</v>
      </c>
      <c r="C1779" s="167" t="s">
        <v>1772</v>
      </c>
      <c r="D1779" s="499">
        <v>1.11974624231315E-2</v>
      </c>
      <c r="E1779" s="499">
        <v>9.748976115757868E-3</v>
      </c>
      <c r="F1779" s="499">
        <v>6.7166791378556745E-3</v>
      </c>
      <c r="G1779" s="207" t="s">
        <v>2073</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283" t="s">
        <v>1769</v>
      </c>
      <c r="B1780" s="10">
        <v>5</v>
      </c>
      <c r="C1780" s="167" t="s">
        <v>1773</v>
      </c>
      <c r="D1780" s="499">
        <v>-1.63356327583108E-3</v>
      </c>
      <c r="E1780" s="499">
        <v>-5.2701042928582353E-4</v>
      </c>
      <c r="F1780" s="499">
        <v>4.4497734674939782E-3</v>
      </c>
      <c r="G1780" s="207"/>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283" t="s">
        <v>1769</v>
      </c>
      <c r="B1781" s="10">
        <v>6</v>
      </c>
      <c r="C1781" s="167" t="s">
        <v>1774</v>
      </c>
      <c r="D1781" s="499">
        <v>1.79813207082524E-2</v>
      </c>
      <c r="E1781" s="499">
        <v>1.670494871211603E-2</v>
      </c>
      <c r="F1781" s="499">
        <v>1.0992356943558379E-2</v>
      </c>
      <c r="G1781" s="207"/>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283" t="s">
        <v>1769</v>
      </c>
      <c r="B1782" s="10">
        <v>7</v>
      </c>
      <c r="C1782" s="167" t="s">
        <v>1775</v>
      </c>
      <c r="D1782" s="499">
        <v>1.7242417315614E-2</v>
      </c>
      <c r="E1782" s="499">
        <v>1.649679802463222E-2</v>
      </c>
      <c r="F1782" s="499">
        <v>1.7408508457293692E-2</v>
      </c>
      <c r="G1782" s="207"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283" t="s">
        <v>1769</v>
      </c>
      <c r="B1783" s="10">
        <v>8</v>
      </c>
      <c r="C1783" s="497" t="s">
        <v>1776</v>
      </c>
      <c r="D1783" s="500">
        <v>9.7723538840641701E-3</v>
      </c>
      <c r="E1783" s="500">
        <v>8.7908194773067497E-3</v>
      </c>
      <c r="F1783" s="500">
        <v>7.5776637279063586E-3</v>
      </c>
      <c r="G1783" s="207"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283" t="s">
        <v>1769</v>
      </c>
      <c r="B1784" s="10">
        <v>9</v>
      </c>
      <c r="C1784" s="167" t="s">
        <v>1777</v>
      </c>
      <c r="D1784" s="499">
        <v>-8.43335057763284E-3</v>
      </c>
      <c r="E1784" s="499">
        <f>E1777</f>
        <v>-7.8016393354566338E-3</v>
      </c>
      <c r="F1784" s="499">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283" t="s">
        <v>1769</v>
      </c>
      <c r="B1785" s="10">
        <v>10</v>
      </c>
      <c r="C1785" s="167" t="s">
        <v>1778</v>
      </c>
      <c r="D1785" s="499">
        <v>1.02567760144259E-2</v>
      </c>
      <c r="E1785" s="499">
        <v>9.1877436581744298E-3</v>
      </c>
      <c r="F1785" s="499">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283" t="s">
        <v>1769</v>
      </c>
      <c r="B1786" s="10">
        <v>11</v>
      </c>
      <c r="C1786" s="167" t="s">
        <v>1779</v>
      </c>
      <c r="D1786" s="499">
        <v>9.3123154430747607E-3</v>
      </c>
      <c r="E1786" s="499">
        <v>8.4136487204315991E-3</v>
      </c>
      <c r="F1786" s="499">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283"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283"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218">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5"/>
      <c r="E1790" s="259"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546875" defaultRowHeight="14.4" x14ac:dyDescent="0.3"/>
  <cols>
    <col min="1" max="1" width="13.5546875" customWidth="1"/>
    <col min="2" max="2" width="32.5546875" customWidth="1"/>
    <col min="3" max="3" width="12.5546875" customWidth="1"/>
    <col min="4" max="4" width="11.5546875" customWidth="1"/>
    <col min="5" max="5" width="10.44140625" style="238" customWidth="1"/>
    <col min="6" max="6" width="11.5546875" customWidth="1"/>
    <col min="7" max="7" width="12.5546875" customWidth="1"/>
    <col min="8" max="8" width="12.109375" customWidth="1"/>
    <col min="9" max="10" width="15.109375" customWidth="1"/>
    <col min="11" max="11" width="11.109375" customWidth="1"/>
    <col min="12" max="12" width="3.44140625" customWidth="1"/>
    <col min="13" max="14" width="12.109375" customWidth="1"/>
    <col min="15" max="15" width="3.44140625" customWidth="1"/>
    <col min="16" max="16" width="47.44140625" bestFit="1" customWidth="1"/>
    <col min="17" max="17" width="10" customWidth="1"/>
    <col min="18" max="18" width="1.88671875" customWidth="1"/>
    <col min="19" max="19" width="5.5546875" customWidth="1"/>
  </cols>
  <sheetData>
    <row r="1" spans="1:19" x14ac:dyDescent="0.3">
      <c r="A1" t="str">
        <f>'Population and treatments'!A1</f>
        <v>Treatments with chemotherapy before surgery (neoadjuvant) then alone after surgery (adjuvant) for treating resectable non-small-cell lung cancer</v>
      </c>
    </row>
    <row r="2" spans="1:19" ht="21" customHeight="1" x14ac:dyDescent="0.3">
      <c r="A2" s="324" t="s">
        <v>1916</v>
      </c>
      <c r="B2" s="324"/>
      <c r="C2" s="324"/>
      <c r="D2" s="324"/>
      <c r="E2" s="324"/>
      <c r="F2" s="324"/>
      <c r="G2" s="324"/>
      <c r="H2" s="324"/>
      <c r="I2" s="324"/>
      <c r="J2" s="324"/>
      <c r="K2" s="324"/>
      <c r="L2" s="324"/>
      <c r="M2" s="324"/>
      <c r="N2" s="324"/>
      <c r="O2" s="324"/>
      <c r="P2" s="324"/>
      <c r="Q2" s="324"/>
      <c r="R2" s="324"/>
      <c r="S2" s="324"/>
    </row>
    <row r="3" spans="1:19" ht="14.85" customHeight="1" x14ac:dyDescent="0.3">
      <c r="A3" s="116"/>
      <c r="B3" s="116"/>
      <c r="C3" s="116"/>
      <c r="D3" s="116"/>
      <c r="E3" s="116"/>
      <c r="F3" s="116"/>
      <c r="G3" s="116"/>
      <c r="H3" s="116"/>
      <c r="I3" s="116"/>
      <c r="J3" s="116"/>
      <c r="K3" s="116"/>
      <c r="L3" s="116"/>
      <c r="M3" s="116"/>
      <c r="N3" s="116"/>
      <c r="O3" s="116"/>
    </row>
    <row r="4" spans="1:19" ht="14.4" customHeight="1" x14ac:dyDescent="0.3">
      <c r="A4" s="664" t="s">
        <v>2048</v>
      </c>
      <c r="B4" s="665"/>
      <c r="C4" s="665"/>
      <c r="D4" s="665"/>
      <c r="E4" s="665"/>
      <c r="F4" s="665"/>
      <c r="G4" s="665"/>
      <c r="H4" s="665"/>
      <c r="I4" s="665"/>
      <c r="J4" s="665"/>
      <c r="K4" s="665"/>
      <c r="L4" s="665"/>
      <c r="M4" s="599"/>
      <c r="N4" s="665"/>
      <c r="O4" s="665"/>
      <c r="P4" s="599"/>
      <c r="Q4" s="600"/>
      <c r="R4" s="600"/>
      <c r="S4" s="600"/>
    </row>
    <row r="5" spans="1:19" ht="14.85" customHeight="1" thickBot="1" x14ac:dyDescent="0.35">
      <c r="A5" s="116"/>
      <c r="B5" s="116"/>
      <c r="C5" s="116"/>
      <c r="D5" s="116"/>
      <c r="E5" s="116"/>
      <c r="F5" s="116"/>
      <c r="G5" s="116"/>
      <c r="H5" s="116"/>
      <c r="I5" s="116"/>
      <c r="J5" s="116"/>
      <c r="K5" s="116"/>
      <c r="L5" s="116"/>
      <c r="M5" s="116"/>
      <c r="N5" s="116"/>
      <c r="O5" s="116"/>
    </row>
    <row r="6" spans="1:19" ht="14.85" customHeight="1" x14ac:dyDescent="0.3">
      <c r="A6" s="116"/>
      <c r="B6" s="325" t="s">
        <v>6</v>
      </c>
      <c r="C6" s="326"/>
      <c r="D6" s="116"/>
      <c r="E6" s="116"/>
      <c r="F6" s="116"/>
      <c r="G6" s="116"/>
      <c r="H6" s="116"/>
      <c r="I6" s="116"/>
      <c r="J6" s="116"/>
      <c r="K6" s="116"/>
      <c r="L6" s="116"/>
      <c r="M6" s="116"/>
      <c r="N6" s="116"/>
      <c r="O6" s="116"/>
    </row>
    <row r="7" spans="1:19" ht="14.85" customHeight="1" x14ac:dyDescent="0.3">
      <c r="A7" s="116"/>
      <c r="B7" s="327" t="s">
        <v>1917</v>
      </c>
      <c r="C7" s="343" t="s">
        <v>1918</v>
      </c>
      <c r="D7" s="328" t="s">
        <v>1919</v>
      </c>
      <c r="E7" s="116"/>
      <c r="F7" s="116"/>
      <c r="G7" s="116"/>
      <c r="H7" s="116"/>
      <c r="I7" s="116"/>
      <c r="J7" s="116"/>
      <c r="K7" s="116"/>
      <c r="L7" s="116"/>
      <c r="M7" s="116"/>
      <c r="N7" s="116"/>
      <c r="O7" s="116"/>
    </row>
    <row r="8" spans="1:19" ht="14.85" customHeight="1" x14ac:dyDescent="0.3">
      <c r="A8" s="116"/>
      <c r="B8" s="327" t="s">
        <v>1920</v>
      </c>
      <c r="C8" s="344">
        <v>5000</v>
      </c>
      <c r="D8" s="116"/>
      <c r="E8" s="116"/>
      <c r="F8" s="116"/>
      <c r="G8" s="116"/>
      <c r="H8" s="116"/>
      <c r="I8" s="116"/>
      <c r="J8" s="116"/>
      <c r="K8" s="116"/>
      <c r="L8" s="116"/>
      <c r="M8" s="116"/>
      <c r="N8" s="116"/>
      <c r="O8" s="116"/>
    </row>
    <row r="9" spans="1:19" ht="14.85" customHeight="1" x14ac:dyDescent="0.3">
      <c r="A9" s="116"/>
      <c r="B9" s="327" t="s">
        <v>1921</v>
      </c>
      <c r="C9" s="345">
        <v>0.15</v>
      </c>
      <c r="D9" s="116"/>
      <c r="E9" s="116"/>
      <c r="F9" s="116"/>
      <c r="G9" s="116"/>
      <c r="H9" s="116"/>
      <c r="I9" s="116"/>
      <c r="J9" s="116"/>
      <c r="K9" s="116"/>
      <c r="L9" s="116"/>
      <c r="M9" s="116"/>
      <c r="N9" s="116"/>
      <c r="O9" s="116"/>
    </row>
    <row r="10" spans="1:19" ht="14.85" customHeight="1" x14ac:dyDescent="0.3">
      <c r="A10" s="116"/>
      <c r="B10" s="327" t="s">
        <v>1922</v>
      </c>
      <c r="C10" s="345">
        <v>0.23780000000000001</v>
      </c>
      <c r="D10" s="116"/>
      <c r="E10" s="116"/>
      <c r="F10" s="116"/>
      <c r="G10" s="116"/>
      <c r="H10" s="116"/>
      <c r="I10" s="116"/>
      <c r="J10" s="116"/>
      <c r="K10" s="116"/>
      <c r="L10" s="116"/>
      <c r="M10" s="116"/>
      <c r="N10" s="116"/>
      <c r="O10" s="116"/>
    </row>
    <row r="11" spans="1:19" ht="14.85" customHeight="1" thickBot="1" x14ac:dyDescent="0.35">
      <c r="A11" s="116"/>
      <c r="B11" s="329" t="s">
        <v>1923</v>
      </c>
      <c r="C11" s="346">
        <v>5.0000000000000001E-3</v>
      </c>
      <c r="D11" s="116"/>
      <c r="E11" s="116"/>
      <c r="F11" s="116"/>
      <c r="G11" s="116"/>
      <c r="H11" s="116"/>
      <c r="I11" s="116"/>
      <c r="J11" s="116"/>
      <c r="K11" s="116"/>
      <c r="L11" s="116"/>
      <c r="M11" s="116"/>
      <c r="N11" s="116"/>
      <c r="O11" s="116"/>
    </row>
    <row r="12" spans="1:19" ht="15" thickBot="1" x14ac:dyDescent="0.35">
      <c r="M12" s="679" t="s">
        <v>2060</v>
      </c>
      <c r="N12" s="680"/>
    </row>
    <row r="13" spans="1:19" ht="109.5" customHeight="1" thickBot="1" x14ac:dyDescent="0.35">
      <c r="A13" s="330" t="s">
        <v>1924</v>
      </c>
      <c r="B13" s="331" t="s">
        <v>1925</v>
      </c>
      <c r="C13" s="332" t="s">
        <v>1926</v>
      </c>
      <c r="D13" s="332" t="s">
        <v>1927</v>
      </c>
      <c r="E13" s="333" t="s">
        <v>1928</v>
      </c>
      <c r="F13" s="332" t="s">
        <v>1929</v>
      </c>
      <c r="G13" s="334" t="s">
        <v>1930</v>
      </c>
      <c r="H13" s="335" t="s">
        <v>2049</v>
      </c>
      <c r="I13" s="666" t="s">
        <v>2050</v>
      </c>
      <c r="J13" s="666" t="s">
        <v>2051</v>
      </c>
      <c r="K13" s="685" t="s">
        <v>1915</v>
      </c>
      <c r="M13" s="335" t="s">
        <v>1931</v>
      </c>
      <c r="N13" s="336" t="s">
        <v>1932</v>
      </c>
      <c r="P13" s="668" t="s">
        <v>2052</v>
      </c>
      <c r="Q13" s="669"/>
      <c r="R13" s="670"/>
    </row>
    <row r="14" spans="1:19" x14ac:dyDescent="0.3">
      <c r="A14" s="693">
        <v>2</v>
      </c>
      <c r="B14" s="694" t="s">
        <v>1933</v>
      </c>
      <c r="C14" s="695">
        <v>24465</v>
      </c>
      <c r="D14" s="695">
        <f t="shared" ref="D14:D49" si="0">(C14-$C$8)*$C$9</f>
        <v>2919.75</v>
      </c>
      <c r="E14" s="696">
        <f>C14*$C$11</f>
        <v>122.325</v>
      </c>
      <c r="F14" s="695">
        <f>C14*$C$10</f>
        <v>5817.777</v>
      </c>
      <c r="G14" s="697">
        <f>SUM(C14:F14)</f>
        <v>33324.851999999999</v>
      </c>
      <c r="H14" s="686">
        <f t="shared" ref="H14:H43" si="1">Q$21</f>
        <v>1551.1499999999999</v>
      </c>
      <c r="I14" s="667">
        <v>1</v>
      </c>
      <c r="J14" s="678">
        <f t="shared" ref="J14:J43" si="2">Q$21*I14</f>
        <v>1551.1499999999999</v>
      </c>
      <c r="K14" s="687">
        <f>ROUND(G14/H14,2)</f>
        <v>21.48</v>
      </c>
      <c r="M14" s="681">
        <v>0.41</v>
      </c>
      <c r="N14" s="340">
        <v>0.83</v>
      </c>
      <c r="P14" s="152"/>
      <c r="Q14" s="453"/>
      <c r="R14" s="431"/>
    </row>
    <row r="15" spans="1:19" x14ac:dyDescent="0.3">
      <c r="A15" s="244">
        <v>2</v>
      </c>
      <c r="B15" s="240" t="s">
        <v>1934</v>
      </c>
      <c r="C15" s="239">
        <v>24465</v>
      </c>
      <c r="D15" s="337">
        <f t="shared" si="0"/>
        <v>2919.75</v>
      </c>
      <c r="E15" s="338">
        <f t="shared" ref="E15:E49" si="3">C15*$C$11</f>
        <v>122.325</v>
      </c>
      <c r="F15" s="337">
        <f t="shared" ref="F15:F49" si="4">C15*$C$10</f>
        <v>5817.777</v>
      </c>
      <c r="G15" s="339">
        <f t="shared" ref="G15:G49" si="5">SUM(C15:F15)</f>
        <v>33324.851999999999</v>
      </c>
      <c r="H15" s="686">
        <f t="shared" si="1"/>
        <v>1551.1499999999999</v>
      </c>
      <c r="I15" s="667">
        <v>1</v>
      </c>
      <c r="J15" s="678">
        <f t="shared" si="2"/>
        <v>1551.1499999999999</v>
      </c>
      <c r="K15" s="687">
        <f t="shared" ref="K15:K49" si="6">ROUND(G15/H15,2)</f>
        <v>21.48</v>
      </c>
      <c r="M15" s="682">
        <v>0.41</v>
      </c>
      <c r="N15" s="321">
        <v>0.83</v>
      </c>
      <c r="P15" s="671" t="s">
        <v>1935</v>
      </c>
      <c r="Q15" s="172"/>
      <c r="R15" s="142"/>
    </row>
    <row r="16" spans="1:19" x14ac:dyDescent="0.3">
      <c r="A16" s="244">
        <v>3</v>
      </c>
      <c r="B16" s="240" t="s">
        <v>1936</v>
      </c>
      <c r="C16" s="239">
        <v>24937</v>
      </c>
      <c r="D16" s="337">
        <f t="shared" si="0"/>
        <v>2990.5499999999997</v>
      </c>
      <c r="E16" s="338">
        <f t="shared" si="3"/>
        <v>124.685</v>
      </c>
      <c r="F16" s="337">
        <f t="shared" si="4"/>
        <v>5930.0186000000003</v>
      </c>
      <c r="G16" s="339">
        <f t="shared" si="5"/>
        <v>33982.253600000004</v>
      </c>
      <c r="H16" s="686">
        <f t="shared" si="1"/>
        <v>1551.1499999999999</v>
      </c>
      <c r="I16" s="667">
        <v>1</v>
      </c>
      <c r="J16" s="678">
        <f t="shared" si="2"/>
        <v>1551.1499999999999</v>
      </c>
      <c r="K16" s="687">
        <f t="shared" si="6"/>
        <v>21.91</v>
      </c>
      <c r="M16" s="682">
        <v>0.35</v>
      </c>
      <c r="N16" s="321">
        <v>0.69</v>
      </c>
      <c r="P16" s="261" t="s">
        <v>1937</v>
      </c>
      <c r="Q16" s="673">
        <v>260</v>
      </c>
      <c r="R16" s="142"/>
    </row>
    <row r="17" spans="1:18" x14ac:dyDescent="0.3">
      <c r="A17" s="244">
        <v>3</v>
      </c>
      <c r="B17" s="240" t="s">
        <v>1938</v>
      </c>
      <c r="C17" s="239">
        <v>26598</v>
      </c>
      <c r="D17" s="337">
        <f t="shared" si="0"/>
        <v>3239.7</v>
      </c>
      <c r="E17" s="338">
        <f t="shared" si="3"/>
        <v>132.99</v>
      </c>
      <c r="F17" s="337">
        <f t="shared" si="4"/>
        <v>6325.0044000000007</v>
      </c>
      <c r="G17" s="339">
        <f t="shared" si="5"/>
        <v>36295.6944</v>
      </c>
      <c r="H17" s="686">
        <f t="shared" si="1"/>
        <v>1551.1499999999999</v>
      </c>
      <c r="I17" s="667">
        <v>1</v>
      </c>
      <c r="J17" s="678">
        <f t="shared" si="2"/>
        <v>1551.1499999999999</v>
      </c>
      <c r="K17" s="687">
        <f t="shared" si="6"/>
        <v>23.4</v>
      </c>
      <c r="M17" s="682">
        <v>0.35</v>
      </c>
      <c r="N17" s="321">
        <v>0.69</v>
      </c>
      <c r="P17" s="261" t="s">
        <v>1939</v>
      </c>
      <c r="Q17" s="673">
        <v>-40</v>
      </c>
      <c r="R17" s="142"/>
    </row>
    <row r="18" spans="1:18" x14ac:dyDescent="0.3">
      <c r="A18" s="244">
        <v>4</v>
      </c>
      <c r="B18" s="240" t="s">
        <v>1940</v>
      </c>
      <c r="C18" s="239">
        <v>27485</v>
      </c>
      <c r="D18" s="337">
        <f t="shared" si="0"/>
        <v>3372.75</v>
      </c>
      <c r="E18" s="338">
        <f t="shared" si="3"/>
        <v>137.42500000000001</v>
      </c>
      <c r="F18" s="337">
        <f t="shared" si="4"/>
        <v>6535.933</v>
      </c>
      <c r="G18" s="339">
        <f t="shared" si="5"/>
        <v>37531.108</v>
      </c>
      <c r="H18" s="686">
        <f t="shared" si="1"/>
        <v>1551.1499999999999</v>
      </c>
      <c r="I18" s="667">
        <v>1</v>
      </c>
      <c r="J18" s="678">
        <f t="shared" si="2"/>
        <v>1551.1499999999999</v>
      </c>
      <c r="K18" s="687">
        <f t="shared" si="6"/>
        <v>24.2</v>
      </c>
      <c r="M18" s="682">
        <v>0.3</v>
      </c>
      <c r="N18" s="321">
        <v>0.6</v>
      </c>
      <c r="P18" s="261" t="s">
        <v>1941</v>
      </c>
      <c r="Q18" s="673">
        <v>-2</v>
      </c>
      <c r="R18" s="142"/>
    </row>
    <row r="19" spans="1:18" x14ac:dyDescent="0.3">
      <c r="A19" s="244">
        <v>4</v>
      </c>
      <c r="B19" s="240" t="s">
        <v>1942</v>
      </c>
      <c r="C19" s="239">
        <v>30162</v>
      </c>
      <c r="D19" s="337">
        <f t="shared" si="0"/>
        <v>3774.2999999999997</v>
      </c>
      <c r="E19" s="338">
        <f t="shared" si="3"/>
        <v>150.81</v>
      </c>
      <c r="F19" s="337">
        <f t="shared" si="4"/>
        <v>7172.5236000000004</v>
      </c>
      <c r="G19" s="339">
        <f t="shared" si="5"/>
        <v>41259.633600000001</v>
      </c>
      <c r="H19" s="686">
        <f t="shared" si="1"/>
        <v>1551.1499999999999</v>
      </c>
      <c r="I19" s="667">
        <v>1</v>
      </c>
      <c r="J19" s="678">
        <f t="shared" si="2"/>
        <v>1551.1499999999999</v>
      </c>
      <c r="K19" s="687">
        <f t="shared" si="6"/>
        <v>26.6</v>
      </c>
      <c r="M19" s="682">
        <v>0.3</v>
      </c>
      <c r="N19" s="321">
        <v>0.6</v>
      </c>
      <c r="P19" s="261" t="s">
        <v>2053</v>
      </c>
      <c r="Q19" s="673">
        <f>-4.3%*Q16</f>
        <v>-11.18</v>
      </c>
      <c r="R19" s="142"/>
    </row>
    <row r="20" spans="1:18" x14ac:dyDescent="0.3">
      <c r="A20" s="244">
        <v>5</v>
      </c>
      <c r="B20" s="240" t="s">
        <v>1943</v>
      </c>
      <c r="C20" s="239">
        <v>31049</v>
      </c>
      <c r="D20" s="337">
        <f t="shared" si="0"/>
        <v>3907.35</v>
      </c>
      <c r="E20" s="338">
        <f t="shared" si="3"/>
        <v>155.245</v>
      </c>
      <c r="F20" s="337">
        <f t="shared" si="4"/>
        <v>7383.4522000000006</v>
      </c>
      <c r="G20" s="339">
        <f t="shared" si="5"/>
        <v>42495.047200000001</v>
      </c>
      <c r="H20" s="686">
        <f t="shared" si="1"/>
        <v>1551.1499999999999</v>
      </c>
      <c r="I20" s="667">
        <v>1</v>
      </c>
      <c r="J20" s="678">
        <f t="shared" si="2"/>
        <v>1551.1499999999999</v>
      </c>
      <c r="K20" s="687">
        <f t="shared" si="6"/>
        <v>27.4</v>
      </c>
      <c r="M20" s="682">
        <v>0.3</v>
      </c>
      <c r="N20" s="321">
        <v>0.6</v>
      </c>
      <c r="P20" s="261"/>
      <c r="Q20" s="672">
        <f>SUM(Q16:Q19)</f>
        <v>206.82</v>
      </c>
      <c r="R20" s="142"/>
    </row>
    <row r="21" spans="1:18" x14ac:dyDescent="0.3">
      <c r="A21" s="244">
        <v>5</v>
      </c>
      <c r="B21" s="240" t="s">
        <v>1944</v>
      </c>
      <c r="C21" s="239">
        <v>33487</v>
      </c>
      <c r="D21" s="337">
        <f t="shared" si="0"/>
        <v>4273.05</v>
      </c>
      <c r="E21" s="338">
        <f t="shared" si="3"/>
        <v>167.435</v>
      </c>
      <c r="F21" s="337">
        <f t="shared" si="4"/>
        <v>7963.2085999999999</v>
      </c>
      <c r="G21" s="339">
        <f t="shared" si="5"/>
        <v>45890.693599999999</v>
      </c>
      <c r="H21" s="686">
        <f t="shared" si="1"/>
        <v>1551.1499999999999</v>
      </c>
      <c r="I21" s="667">
        <v>1</v>
      </c>
      <c r="J21" s="678">
        <f t="shared" si="2"/>
        <v>1551.1499999999999</v>
      </c>
      <c r="K21" s="687">
        <f t="shared" si="6"/>
        <v>29.58</v>
      </c>
      <c r="M21" s="682">
        <v>0.3</v>
      </c>
      <c r="N21" s="321">
        <v>0.6</v>
      </c>
      <c r="P21" s="260" t="s">
        <v>1945</v>
      </c>
      <c r="Q21" s="212">
        <f>7.5*Q20</f>
        <v>1551.1499999999999</v>
      </c>
      <c r="R21" s="142"/>
    </row>
    <row r="22" spans="1:18" x14ac:dyDescent="0.3">
      <c r="A22" s="244">
        <v>5</v>
      </c>
      <c r="B22" s="240" t="s">
        <v>1946</v>
      </c>
      <c r="C22" s="239">
        <v>37796</v>
      </c>
      <c r="D22" s="337">
        <f t="shared" si="0"/>
        <v>4919.3999999999996</v>
      </c>
      <c r="E22" s="338">
        <f t="shared" si="3"/>
        <v>188.98</v>
      </c>
      <c r="F22" s="337">
        <f t="shared" si="4"/>
        <v>8987.8888000000006</v>
      </c>
      <c r="G22" s="339">
        <f t="shared" si="5"/>
        <v>51892.268800000005</v>
      </c>
      <c r="H22" s="686">
        <f t="shared" si="1"/>
        <v>1551.1499999999999</v>
      </c>
      <c r="I22" s="667">
        <v>1</v>
      </c>
      <c r="J22" s="678">
        <f t="shared" si="2"/>
        <v>1551.1499999999999</v>
      </c>
      <c r="K22" s="687">
        <f t="shared" si="6"/>
        <v>33.450000000000003</v>
      </c>
      <c r="M22" s="682">
        <v>0.3</v>
      </c>
      <c r="N22" s="321">
        <v>0.6</v>
      </c>
      <c r="P22" s="143"/>
      <c r="R22" s="142"/>
    </row>
    <row r="23" spans="1:18" x14ac:dyDescent="0.3">
      <c r="A23" s="244">
        <v>6</v>
      </c>
      <c r="B23" s="240" t="s">
        <v>1947</v>
      </c>
      <c r="C23" s="239">
        <v>38682</v>
      </c>
      <c r="D23" s="337">
        <f t="shared" si="0"/>
        <v>5052.3</v>
      </c>
      <c r="E23" s="338">
        <f t="shared" si="3"/>
        <v>193.41</v>
      </c>
      <c r="F23" s="337">
        <f t="shared" si="4"/>
        <v>9198.5796000000009</v>
      </c>
      <c r="G23" s="339">
        <f t="shared" si="5"/>
        <v>53126.289600000004</v>
      </c>
      <c r="H23" s="686">
        <f t="shared" si="1"/>
        <v>1551.1499999999999</v>
      </c>
      <c r="I23" s="667">
        <v>1</v>
      </c>
      <c r="J23" s="678">
        <f t="shared" si="2"/>
        <v>1551.1499999999999</v>
      </c>
      <c r="K23" s="687">
        <f t="shared" si="6"/>
        <v>34.25</v>
      </c>
      <c r="M23" s="682">
        <v>0.3</v>
      </c>
      <c r="N23" s="321">
        <v>0.6</v>
      </c>
      <c r="P23" s="261"/>
      <c r="R23" s="142"/>
    </row>
    <row r="24" spans="1:18" x14ac:dyDescent="0.3">
      <c r="A24" s="244">
        <v>6</v>
      </c>
      <c r="B24" s="240" t="s">
        <v>1878</v>
      </c>
      <c r="C24" s="239">
        <v>40823</v>
      </c>
      <c r="D24" s="337">
        <f t="shared" si="0"/>
        <v>5373.45</v>
      </c>
      <c r="E24" s="338">
        <f t="shared" si="3"/>
        <v>204.11500000000001</v>
      </c>
      <c r="F24" s="337">
        <f t="shared" si="4"/>
        <v>9707.7093999999997</v>
      </c>
      <c r="G24" s="339">
        <f t="shared" si="5"/>
        <v>56108.274399999995</v>
      </c>
      <c r="H24" s="686">
        <f t="shared" si="1"/>
        <v>1551.1499999999999</v>
      </c>
      <c r="I24" s="667">
        <v>1</v>
      </c>
      <c r="J24" s="678">
        <f t="shared" si="2"/>
        <v>1551.1499999999999</v>
      </c>
      <c r="K24" s="687">
        <f t="shared" si="6"/>
        <v>36.17</v>
      </c>
      <c r="M24" s="682">
        <v>0.3</v>
      </c>
      <c r="N24" s="321">
        <v>0.6</v>
      </c>
      <c r="P24" s="671" t="s">
        <v>1948</v>
      </c>
      <c r="Q24" s="172"/>
      <c r="R24" s="142"/>
    </row>
    <row r="25" spans="1:18" x14ac:dyDescent="0.3">
      <c r="A25" s="244">
        <v>6</v>
      </c>
      <c r="B25" s="240" t="s">
        <v>1949</v>
      </c>
      <c r="C25" s="239">
        <v>46580</v>
      </c>
      <c r="D25" s="337">
        <f t="shared" si="0"/>
        <v>6237</v>
      </c>
      <c r="E25" s="338">
        <f t="shared" si="3"/>
        <v>232.9</v>
      </c>
      <c r="F25" s="337">
        <f t="shared" si="4"/>
        <v>11076.724</v>
      </c>
      <c r="G25" s="339">
        <f t="shared" si="5"/>
        <v>64126.624000000003</v>
      </c>
      <c r="H25" s="686">
        <f t="shared" si="1"/>
        <v>1551.1499999999999</v>
      </c>
      <c r="I25" s="667">
        <v>1</v>
      </c>
      <c r="J25" s="678">
        <f t="shared" si="2"/>
        <v>1551.1499999999999</v>
      </c>
      <c r="K25" s="687">
        <f t="shared" si="6"/>
        <v>41.34</v>
      </c>
      <c r="M25" s="682">
        <v>0.3</v>
      </c>
      <c r="N25" s="321">
        <v>0.6</v>
      </c>
      <c r="P25" s="261" t="s">
        <v>2054</v>
      </c>
      <c r="Q25" s="673">
        <v>43</v>
      </c>
      <c r="R25" s="142"/>
    </row>
    <row r="26" spans="1:18" x14ac:dyDescent="0.3">
      <c r="A26" s="244">
        <v>7</v>
      </c>
      <c r="B26" s="240" t="s">
        <v>1950</v>
      </c>
      <c r="C26" s="239">
        <v>47810</v>
      </c>
      <c r="D26" s="337">
        <f t="shared" si="0"/>
        <v>6421.5</v>
      </c>
      <c r="E26" s="338">
        <f t="shared" si="3"/>
        <v>239.05</v>
      </c>
      <c r="F26" s="337">
        <f t="shared" si="4"/>
        <v>11369.218000000001</v>
      </c>
      <c r="G26" s="339">
        <f t="shared" si="5"/>
        <v>65839.768000000011</v>
      </c>
      <c r="H26" s="686">
        <f t="shared" si="1"/>
        <v>1551.1499999999999</v>
      </c>
      <c r="I26" s="667">
        <v>1</v>
      </c>
      <c r="J26" s="678">
        <f t="shared" si="2"/>
        <v>1551.1499999999999</v>
      </c>
      <c r="K26" s="687">
        <f t="shared" si="6"/>
        <v>42.45</v>
      </c>
      <c r="M26" s="682">
        <v>0.3</v>
      </c>
      <c r="N26" s="321">
        <v>0.6</v>
      </c>
      <c r="P26" s="261" t="s">
        <v>1951</v>
      </c>
      <c r="Q26" s="673">
        <v>10</v>
      </c>
      <c r="R26" s="142"/>
    </row>
    <row r="27" spans="1:18" x14ac:dyDescent="0.3">
      <c r="A27" s="244">
        <v>7</v>
      </c>
      <c r="B27" s="240" t="s">
        <v>1876</v>
      </c>
      <c r="C27" s="239">
        <v>50273</v>
      </c>
      <c r="D27" s="337">
        <f t="shared" si="0"/>
        <v>6790.95</v>
      </c>
      <c r="E27" s="338">
        <f t="shared" si="3"/>
        <v>251.36500000000001</v>
      </c>
      <c r="F27" s="337">
        <f t="shared" si="4"/>
        <v>11954.919400000001</v>
      </c>
      <c r="G27" s="339">
        <f t="shared" si="5"/>
        <v>69270.234400000001</v>
      </c>
      <c r="H27" s="686">
        <f t="shared" si="1"/>
        <v>1551.1499999999999</v>
      </c>
      <c r="I27" s="667">
        <v>1</v>
      </c>
      <c r="J27" s="678">
        <f t="shared" si="2"/>
        <v>1551.1499999999999</v>
      </c>
      <c r="K27" s="687">
        <f t="shared" si="6"/>
        <v>44.66</v>
      </c>
      <c r="M27" s="682">
        <v>0.3</v>
      </c>
      <c r="N27" s="321">
        <v>0.6</v>
      </c>
      <c r="P27" s="261" t="s">
        <v>2055</v>
      </c>
      <c r="Q27" s="673">
        <v>-2</v>
      </c>
      <c r="R27" s="142"/>
    </row>
    <row r="28" spans="1:18" x14ac:dyDescent="0.3">
      <c r="A28" s="244">
        <v>7</v>
      </c>
      <c r="B28" s="240" t="s">
        <v>1952</v>
      </c>
      <c r="C28" s="239">
        <v>54710</v>
      </c>
      <c r="D28" s="337">
        <f t="shared" si="0"/>
        <v>7456.5</v>
      </c>
      <c r="E28" s="338">
        <f t="shared" si="3"/>
        <v>273.55</v>
      </c>
      <c r="F28" s="337">
        <f t="shared" si="4"/>
        <v>13010.038</v>
      </c>
      <c r="G28" s="339">
        <f t="shared" si="5"/>
        <v>75450.088000000003</v>
      </c>
      <c r="H28" s="686">
        <f t="shared" si="1"/>
        <v>1551.1499999999999</v>
      </c>
      <c r="I28" s="667">
        <v>1</v>
      </c>
      <c r="J28" s="678">
        <f t="shared" si="2"/>
        <v>1551.1499999999999</v>
      </c>
      <c r="K28" s="687">
        <f t="shared" si="6"/>
        <v>48.64</v>
      </c>
      <c r="M28" s="682">
        <v>0.3</v>
      </c>
      <c r="N28" s="321">
        <v>0.6</v>
      </c>
      <c r="P28" s="261"/>
      <c r="Q28" s="453">
        <v>8</v>
      </c>
      <c r="R28" s="142"/>
    </row>
    <row r="29" spans="1:18" x14ac:dyDescent="0.3">
      <c r="A29" s="244" t="s">
        <v>1953</v>
      </c>
      <c r="B29" s="240" t="s">
        <v>1877</v>
      </c>
      <c r="C29" s="239">
        <v>55690</v>
      </c>
      <c r="D29" s="337">
        <f t="shared" si="0"/>
        <v>7603.5</v>
      </c>
      <c r="E29" s="338">
        <f t="shared" si="3"/>
        <v>278.45</v>
      </c>
      <c r="F29" s="337">
        <f t="shared" si="4"/>
        <v>13243.082</v>
      </c>
      <c r="G29" s="339">
        <f t="shared" si="5"/>
        <v>76815.031999999992</v>
      </c>
      <c r="H29" s="686">
        <f t="shared" si="1"/>
        <v>1551.1499999999999</v>
      </c>
      <c r="I29" s="667">
        <v>1</v>
      </c>
      <c r="J29" s="678">
        <f t="shared" si="2"/>
        <v>1551.1499999999999</v>
      </c>
      <c r="K29" s="687">
        <f t="shared" si="6"/>
        <v>49.52</v>
      </c>
      <c r="M29" s="682">
        <v>0.3</v>
      </c>
      <c r="N29" s="321">
        <v>0.6</v>
      </c>
      <c r="P29" s="261" t="s">
        <v>1955</v>
      </c>
      <c r="Q29">
        <f>Q25*Q28*4</f>
        <v>1376</v>
      </c>
      <c r="R29" s="142"/>
    </row>
    <row r="30" spans="1:18" x14ac:dyDescent="0.3">
      <c r="A30" s="244" t="s">
        <v>1953</v>
      </c>
      <c r="B30" s="240" t="s">
        <v>1954</v>
      </c>
      <c r="C30" s="239">
        <v>58487</v>
      </c>
      <c r="D30" s="337">
        <f t="shared" si="0"/>
        <v>8023.0499999999993</v>
      </c>
      <c r="E30" s="338">
        <f t="shared" si="3"/>
        <v>292.435</v>
      </c>
      <c r="F30" s="337">
        <f t="shared" si="4"/>
        <v>13908.2086</v>
      </c>
      <c r="G30" s="339">
        <f t="shared" si="5"/>
        <v>80710.693599999999</v>
      </c>
      <c r="H30" s="686">
        <f t="shared" si="1"/>
        <v>1551.1499999999999</v>
      </c>
      <c r="I30" s="667">
        <v>1</v>
      </c>
      <c r="J30" s="678">
        <f t="shared" si="2"/>
        <v>1551.1499999999999</v>
      </c>
      <c r="K30" s="687">
        <f t="shared" si="6"/>
        <v>52.03</v>
      </c>
      <c r="M30" s="682">
        <v>0.3</v>
      </c>
      <c r="N30" s="321">
        <v>0.6</v>
      </c>
      <c r="P30" s="261" t="s">
        <v>2053</v>
      </c>
      <c r="Q30" s="673">
        <f>-1.5%*Q29</f>
        <v>-20.64</v>
      </c>
      <c r="R30" s="142"/>
    </row>
    <row r="31" spans="1:18" x14ac:dyDescent="0.3">
      <c r="A31" s="244" t="s">
        <v>1953</v>
      </c>
      <c r="B31" s="240" t="s">
        <v>1956</v>
      </c>
      <c r="C31" s="239">
        <v>62682</v>
      </c>
      <c r="D31" s="337">
        <f t="shared" si="0"/>
        <v>8652.2999999999993</v>
      </c>
      <c r="E31" s="338">
        <f t="shared" si="3"/>
        <v>313.41000000000003</v>
      </c>
      <c r="F31" s="337">
        <f t="shared" si="4"/>
        <v>14905.7796</v>
      </c>
      <c r="G31" s="339">
        <f t="shared" si="5"/>
        <v>86553.489600000001</v>
      </c>
      <c r="H31" s="686">
        <f t="shared" si="1"/>
        <v>1551.1499999999999</v>
      </c>
      <c r="I31" s="667">
        <v>1</v>
      </c>
      <c r="J31" s="678">
        <f t="shared" si="2"/>
        <v>1551.1499999999999</v>
      </c>
      <c r="K31" s="687">
        <f t="shared" si="6"/>
        <v>55.8</v>
      </c>
      <c r="M31" s="682">
        <v>0.3</v>
      </c>
      <c r="N31" s="321">
        <v>0.6</v>
      </c>
      <c r="P31" s="260" t="s">
        <v>1945</v>
      </c>
      <c r="Q31" s="212">
        <f>SUM(Q29:Q30)</f>
        <v>1355.36</v>
      </c>
      <c r="R31" s="142"/>
    </row>
    <row r="32" spans="1:18" x14ac:dyDescent="0.3">
      <c r="A32" s="244" t="s">
        <v>1957</v>
      </c>
      <c r="B32" s="240" t="s">
        <v>1958</v>
      </c>
      <c r="C32" s="239">
        <v>64455</v>
      </c>
      <c r="D32" s="337">
        <f t="shared" si="0"/>
        <v>8918.25</v>
      </c>
      <c r="E32" s="338">
        <f t="shared" si="3"/>
        <v>322.27500000000003</v>
      </c>
      <c r="F32" s="337">
        <f t="shared" si="4"/>
        <v>15327.399000000001</v>
      </c>
      <c r="G32" s="339">
        <f t="shared" si="5"/>
        <v>89022.923999999999</v>
      </c>
      <c r="H32" s="686">
        <f t="shared" si="1"/>
        <v>1551.1499999999999</v>
      </c>
      <c r="I32" s="667">
        <v>1</v>
      </c>
      <c r="J32" s="678">
        <f t="shared" si="2"/>
        <v>1551.1499999999999</v>
      </c>
      <c r="K32" s="687">
        <f t="shared" si="6"/>
        <v>57.39</v>
      </c>
      <c r="M32" s="682">
        <v>0.3</v>
      </c>
      <c r="N32" s="321">
        <v>0.6</v>
      </c>
      <c r="P32" s="143"/>
      <c r="R32" s="142"/>
    </row>
    <row r="33" spans="1:18" x14ac:dyDescent="0.3">
      <c r="A33" s="244" t="s">
        <v>1957</v>
      </c>
      <c r="B33" s="240" t="s">
        <v>1959</v>
      </c>
      <c r="C33" s="239">
        <v>68631</v>
      </c>
      <c r="D33" s="337">
        <f t="shared" si="0"/>
        <v>9544.65</v>
      </c>
      <c r="E33" s="338">
        <f t="shared" si="3"/>
        <v>343.15500000000003</v>
      </c>
      <c r="F33" s="337">
        <f t="shared" si="4"/>
        <v>16320.451800000001</v>
      </c>
      <c r="G33" s="339">
        <f t="shared" si="5"/>
        <v>94839.256799999988</v>
      </c>
      <c r="H33" s="686">
        <f t="shared" si="1"/>
        <v>1551.1499999999999</v>
      </c>
      <c r="I33" s="667">
        <v>1</v>
      </c>
      <c r="J33" s="678">
        <f t="shared" si="2"/>
        <v>1551.1499999999999</v>
      </c>
      <c r="K33" s="687">
        <f t="shared" si="6"/>
        <v>61.14</v>
      </c>
      <c r="M33" s="682">
        <v>0.3</v>
      </c>
      <c r="N33" s="321">
        <v>0.6</v>
      </c>
      <c r="P33" s="261"/>
      <c r="R33" s="142"/>
    </row>
    <row r="34" spans="1:18" x14ac:dyDescent="0.3">
      <c r="A34" s="244" t="s">
        <v>1957</v>
      </c>
      <c r="B34" s="240" t="s">
        <v>1961</v>
      </c>
      <c r="C34" s="239">
        <v>74896</v>
      </c>
      <c r="D34" s="337">
        <f t="shared" si="0"/>
        <v>10484.4</v>
      </c>
      <c r="E34" s="338">
        <f t="shared" si="3"/>
        <v>374.48</v>
      </c>
      <c r="F34" s="337">
        <f t="shared" si="4"/>
        <v>17810.268800000002</v>
      </c>
      <c r="G34" s="339">
        <f t="shared" si="5"/>
        <v>103565.1488</v>
      </c>
      <c r="H34" s="686">
        <f t="shared" si="1"/>
        <v>1551.1499999999999</v>
      </c>
      <c r="I34" s="667">
        <v>1</v>
      </c>
      <c r="J34" s="678">
        <f t="shared" si="2"/>
        <v>1551.1499999999999</v>
      </c>
      <c r="K34" s="687">
        <f t="shared" si="6"/>
        <v>66.77</v>
      </c>
      <c r="M34" s="682">
        <v>0.3</v>
      </c>
      <c r="N34" s="321">
        <v>0.6</v>
      </c>
      <c r="P34" s="671" t="s">
        <v>1960</v>
      </c>
      <c r="Q34" s="172"/>
      <c r="R34" s="142"/>
    </row>
    <row r="35" spans="1:18" x14ac:dyDescent="0.3">
      <c r="A35" s="244" t="s">
        <v>1962</v>
      </c>
      <c r="B35" s="240" t="s">
        <v>1963</v>
      </c>
      <c r="C35" s="239">
        <v>76965</v>
      </c>
      <c r="D35" s="337">
        <f t="shared" si="0"/>
        <v>10794.75</v>
      </c>
      <c r="E35" s="338">
        <f t="shared" si="3"/>
        <v>384.82499999999999</v>
      </c>
      <c r="F35" s="337">
        <f t="shared" si="4"/>
        <v>18302.277000000002</v>
      </c>
      <c r="G35" s="339">
        <f t="shared" si="5"/>
        <v>106446.852</v>
      </c>
      <c r="H35" s="686">
        <f t="shared" si="1"/>
        <v>1551.1499999999999</v>
      </c>
      <c r="I35" s="667">
        <v>1</v>
      </c>
      <c r="J35" s="678">
        <f t="shared" si="2"/>
        <v>1551.1499999999999</v>
      </c>
      <c r="K35" s="687">
        <f t="shared" si="6"/>
        <v>68.62</v>
      </c>
      <c r="M35" s="682">
        <v>0.3</v>
      </c>
      <c r="N35" s="321">
        <v>0.6</v>
      </c>
      <c r="P35" s="261" t="s">
        <v>2054</v>
      </c>
      <c r="Q35" s="673">
        <v>44.7</v>
      </c>
      <c r="R35" s="142"/>
    </row>
    <row r="36" spans="1:18" x14ac:dyDescent="0.3">
      <c r="A36" s="244" t="s">
        <v>1962</v>
      </c>
      <c r="B36" s="240" t="s">
        <v>1965</v>
      </c>
      <c r="C36" s="239">
        <v>81652</v>
      </c>
      <c r="D36" s="337">
        <f t="shared" si="0"/>
        <v>11497.8</v>
      </c>
      <c r="E36" s="338">
        <f t="shared" si="3"/>
        <v>408.26</v>
      </c>
      <c r="F36" s="337">
        <f t="shared" si="4"/>
        <v>19416.845600000001</v>
      </c>
      <c r="G36" s="339">
        <f t="shared" si="5"/>
        <v>112974.9056</v>
      </c>
      <c r="H36" s="686">
        <f t="shared" si="1"/>
        <v>1551.1499999999999</v>
      </c>
      <c r="I36" s="667">
        <v>1</v>
      </c>
      <c r="J36" s="678">
        <f t="shared" si="2"/>
        <v>1551.1499999999999</v>
      </c>
      <c r="K36" s="687">
        <f t="shared" si="6"/>
        <v>72.83</v>
      </c>
      <c r="M36" s="682">
        <v>0.3</v>
      </c>
      <c r="N36" s="321">
        <v>0.6</v>
      </c>
      <c r="P36" s="261" t="s">
        <v>1964</v>
      </c>
      <c r="Q36" s="673">
        <v>48</v>
      </c>
      <c r="R36" s="142"/>
    </row>
    <row r="37" spans="1:18" x14ac:dyDescent="0.3">
      <c r="A37" s="244" t="s">
        <v>1962</v>
      </c>
      <c r="B37" s="240" t="s">
        <v>1967</v>
      </c>
      <c r="C37" s="239">
        <v>88682</v>
      </c>
      <c r="D37" s="337">
        <f t="shared" si="0"/>
        <v>12552.3</v>
      </c>
      <c r="E37" s="338">
        <f t="shared" si="3"/>
        <v>443.41</v>
      </c>
      <c r="F37" s="337">
        <f t="shared" si="4"/>
        <v>21088.579600000001</v>
      </c>
      <c r="G37" s="339">
        <f t="shared" si="5"/>
        <v>122766.2896</v>
      </c>
      <c r="H37" s="686">
        <f t="shared" si="1"/>
        <v>1551.1499999999999</v>
      </c>
      <c r="I37" s="667">
        <v>1</v>
      </c>
      <c r="J37" s="678">
        <f t="shared" si="2"/>
        <v>1551.1499999999999</v>
      </c>
      <c r="K37" s="687">
        <f t="shared" si="6"/>
        <v>79.150000000000006</v>
      </c>
      <c r="M37" s="682">
        <v>0.3</v>
      </c>
      <c r="N37" s="321">
        <v>0.6</v>
      </c>
      <c r="P37" s="261" t="s">
        <v>1966</v>
      </c>
      <c r="Q37" s="673">
        <v>2145.6</v>
      </c>
      <c r="R37" s="142"/>
    </row>
    <row r="38" spans="1:18" x14ac:dyDescent="0.3">
      <c r="A38" s="244" t="s">
        <v>1968</v>
      </c>
      <c r="B38" s="240" t="s">
        <v>1969</v>
      </c>
      <c r="C38" s="239">
        <v>91342</v>
      </c>
      <c r="D38" s="337">
        <f t="shared" si="0"/>
        <v>12951.3</v>
      </c>
      <c r="E38" s="338">
        <f t="shared" si="3"/>
        <v>456.71000000000004</v>
      </c>
      <c r="F38" s="337">
        <f t="shared" si="4"/>
        <v>21721.1276</v>
      </c>
      <c r="G38" s="339">
        <f t="shared" si="5"/>
        <v>126471.13760000002</v>
      </c>
      <c r="H38" s="686">
        <f t="shared" si="1"/>
        <v>1551.1499999999999</v>
      </c>
      <c r="I38" s="667">
        <v>1</v>
      </c>
      <c r="J38" s="678">
        <f t="shared" si="2"/>
        <v>1551.1499999999999</v>
      </c>
      <c r="K38" s="687">
        <f t="shared" si="6"/>
        <v>81.53</v>
      </c>
      <c r="M38" s="682">
        <v>0.3</v>
      </c>
      <c r="N38" s="321">
        <v>0.6</v>
      </c>
      <c r="P38" s="261" t="s">
        <v>2053</v>
      </c>
      <c r="Q38" s="676">
        <f>-1.5%*Q37</f>
        <v>-32.183999999999997</v>
      </c>
      <c r="R38" s="142"/>
    </row>
    <row r="39" spans="1:18" x14ac:dyDescent="0.3">
      <c r="A39" s="244" t="s">
        <v>1968</v>
      </c>
      <c r="B39" s="240" t="s">
        <v>1970</v>
      </c>
      <c r="C39" s="239">
        <v>96941</v>
      </c>
      <c r="D39" s="337">
        <f t="shared" si="0"/>
        <v>13791.15</v>
      </c>
      <c r="E39" s="338">
        <f t="shared" si="3"/>
        <v>484.70499999999998</v>
      </c>
      <c r="F39" s="337">
        <f t="shared" si="4"/>
        <v>23052.569800000001</v>
      </c>
      <c r="G39" s="339">
        <f t="shared" si="5"/>
        <v>134269.42480000001</v>
      </c>
      <c r="H39" s="686">
        <f t="shared" si="1"/>
        <v>1551.1499999999999</v>
      </c>
      <c r="I39" s="667">
        <v>1</v>
      </c>
      <c r="J39" s="678">
        <f t="shared" si="2"/>
        <v>1551.1499999999999</v>
      </c>
      <c r="K39" s="687">
        <f t="shared" si="6"/>
        <v>86.56</v>
      </c>
      <c r="M39" s="682">
        <v>0.3</v>
      </c>
      <c r="N39" s="321">
        <v>0.6</v>
      </c>
      <c r="P39" s="261" t="s">
        <v>2056</v>
      </c>
      <c r="Q39" s="674">
        <f>Q38+Q37</f>
        <v>2113.4159999999997</v>
      </c>
      <c r="R39" s="142"/>
    </row>
    <row r="40" spans="1:18" x14ac:dyDescent="0.3">
      <c r="A40" s="244" t="s">
        <v>1968</v>
      </c>
      <c r="B40" s="240" t="s">
        <v>1971</v>
      </c>
      <c r="C40" s="239">
        <v>105337</v>
      </c>
      <c r="D40" s="337">
        <f t="shared" si="0"/>
        <v>15050.55</v>
      </c>
      <c r="E40" s="338">
        <f t="shared" si="3"/>
        <v>526.68500000000006</v>
      </c>
      <c r="F40" s="337">
        <f t="shared" si="4"/>
        <v>25049.138600000002</v>
      </c>
      <c r="G40" s="339">
        <f t="shared" si="5"/>
        <v>145963.37359999999</v>
      </c>
      <c r="H40" s="686">
        <f t="shared" si="1"/>
        <v>1551.1499999999999</v>
      </c>
      <c r="I40" s="667">
        <v>1</v>
      </c>
      <c r="J40" s="678">
        <f t="shared" si="2"/>
        <v>1551.1499999999999</v>
      </c>
      <c r="K40" s="687">
        <f t="shared" si="6"/>
        <v>94.1</v>
      </c>
      <c r="M40" s="682">
        <v>0.3</v>
      </c>
      <c r="N40" s="321">
        <v>0.6</v>
      </c>
      <c r="P40" s="261" t="s">
        <v>2057</v>
      </c>
      <c r="Q40" s="675">
        <v>0.6</v>
      </c>
      <c r="R40" s="142"/>
    </row>
    <row r="41" spans="1:18" x14ac:dyDescent="0.3">
      <c r="A41" s="244">
        <v>9</v>
      </c>
      <c r="B41" s="240" t="s">
        <v>1972</v>
      </c>
      <c r="C41" s="239">
        <v>109179</v>
      </c>
      <c r="D41" s="337">
        <f t="shared" si="0"/>
        <v>15626.849999999999</v>
      </c>
      <c r="E41" s="338">
        <f t="shared" si="3"/>
        <v>545.89499999999998</v>
      </c>
      <c r="F41" s="337">
        <f t="shared" si="4"/>
        <v>25962.766200000002</v>
      </c>
      <c r="G41" s="339">
        <f t="shared" si="5"/>
        <v>151314.51120000001</v>
      </c>
      <c r="H41" s="686">
        <f t="shared" si="1"/>
        <v>1551.1499999999999</v>
      </c>
      <c r="I41" s="667">
        <v>1</v>
      </c>
      <c r="J41" s="678">
        <f t="shared" si="2"/>
        <v>1551.1499999999999</v>
      </c>
      <c r="K41" s="687">
        <f t="shared" si="6"/>
        <v>97.55</v>
      </c>
      <c r="M41" s="682">
        <v>0.3</v>
      </c>
      <c r="N41" s="321">
        <v>0.6</v>
      </c>
      <c r="P41" s="260" t="s">
        <v>2058</v>
      </c>
      <c r="Q41" s="496">
        <f>Q40*Q39</f>
        <v>1268.0495999999998</v>
      </c>
      <c r="R41" s="142"/>
    </row>
    <row r="42" spans="1:18" x14ac:dyDescent="0.3">
      <c r="A42" s="244">
        <v>9</v>
      </c>
      <c r="B42" s="240" t="s">
        <v>1973</v>
      </c>
      <c r="C42" s="239">
        <v>115763</v>
      </c>
      <c r="D42" s="337">
        <f t="shared" si="0"/>
        <v>16614.45</v>
      </c>
      <c r="E42" s="338">
        <f t="shared" si="3"/>
        <v>578.81500000000005</v>
      </c>
      <c r="F42" s="337">
        <f t="shared" si="4"/>
        <v>27528.4414</v>
      </c>
      <c r="G42" s="339">
        <f t="shared" si="5"/>
        <v>160484.70640000002</v>
      </c>
      <c r="H42" s="686">
        <f t="shared" si="1"/>
        <v>1551.1499999999999</v>
      </c>
      <c r="I42" s="667">
        <v>1</v>
      </c>
      <c r="J42" s="678">
        <f t="shared" si="2"/>
        <v>1551.1499999999999</v>
      </c>
      <c r="K42" s="687">
        <f t="shared" si="6"/>
        <v>103.46</v>
      </c>
      <c r="M42" s="682">
        <v>0.3</v>
      </c>
      <c r="N42" s="321">
        <v>0.6</v>
      </c>
      <c r="P42" s="143"/>
      <c r="R42" s="142"/>
    </row>
    <row r="43" spans="1:18" x14ac:dyDescent="0.3">
      <c r="A43" s="244">
        <v>9</v>
      </c>
      <c r="B43" s="240" t="s">
        <v>1974</v>
      </c>
      <c r="C43" s="239">
        <v>125637</v>
      </c>
      <c r="D43" s="337">
        <f t="shared" si="0"/>
        <v>18095.55</v>
      </c>
      <c r="E43" s="338">
        <f t="shared" si="3"/>
        <v>628.18500000000006</v>
      </c>
      <c r="F43" s="337">
        <f t="shared" si="4"/>
        <v>29876.478600000002</v>
      </c>
      <c r="G43" s="339">
        <f t="shared" si="5"/>
        <v>174237.21359999999</v>
      </c>
      <c r="H43" s="686">
        <f t="shared" si="1"/>
        <v>1551.1499999999999</v>
      </c>
      <c r="I43" s="667">
        <v>1</v>
      </c>
      <c r="J43" s="678">
        <f t="shared" si="2"/>
        <v>1551.1499999999999</v>
      </c>
      <c r="K43" s="687">
        <f t="shared" si="6"/>
        <v>112.33</v>
      </c>
      <c r="M43" s="682">
        <v>0.3</v>
      </c>
      <c r="N43" s="321">
        <v>0.6</v>
      </c>
      <c r="P43" s="677" t="s">
        <v>2059</v>
      </c>
      <c r="R43" s="142"/>
    </row>
    <row r="44" spans="1:18" x14ac:dyDescent="0.3">
      <c r="A44" s="244" t="s">
        <v>1960</v>
      </c>
      <c r="B44" s="134" t="s">
        <v>1975</v>
      </c>
      <c r="C44" s="239">
        <v>76037.52</v>
      </c>
      <c r="D44" s="337">
        <f t="shared" si="0"/>
        <v>10655.628000000001</v>
      </c>
      <c r="E44" s="338">
        <f t="shared" si="3"/>
        <v>380.18760000000003</v>
      </c>
      <c r="F44" s="337">
        <f t="shared" si="4"/>
        <v>18081.722256000001</v>
      </c>
      <c r="G44" s="339">
        <f t="shared" si="5"/>
        <v>105155.057856</v>
      </c>
      <c r="H44" s="686">
        <f>Q39</f>
        <v>2113.4159999999997</v>
      </c>
      <c r="I44" s="667">
        <v>0.6</v>
      </c>
      <c r="J44" s="678">
        <f>Q$41*I44</f>
        <v>760.82975999999985</v>
      </c>
      <c r="K44" s="687">
        <f t="shared" si="6"/>
        <v>49.76</v>
      </c>
      <c r="M44" s="683">
        <v>0</v>
      </c>
      <c r="N44" s="322">
        <v>0</v>
      </c>
      <c r="P44" s="144"/>
      <c r="Q44" s="145"/>
      <c r="R44" s="146"/>
    </row>
    <row r="45" spans="1:18" x14ac:dyDescent="0.3">
      <c r="A45" s="244" t="s">
        <v>1960</v>
      </c>
      <c r="B45" s="134" t="s">
        <v>1976</v>
      </c>
      <c r="C45" s="239">
        <v>95390.36</v>
      </c>
      <c r="D45" s="337">
        <f t="shared" si="0"/>
        <v>13558.554</v>
      </c>
      <c r="E45" s="338">
        <f t="shared" si="3"/>
        <v>476.95179999999999</v>
      </c>
      <c r="F45" s="337">
        <f t="shared" si="4"/>
        <v>22683.827608</v>
      </c>
      <c r="G45" s="339">
        <f t="shared" si="5"/>
        <v>132109.69340799999</v>
      </c>
      <c r="H45" s="686">
        <f>Q39</f>
        <v>2113.4159999999997</v>
      </c>
      <c r="I45" s="667">
        <v>0.6</v>
      </c>
      <c r="J45" s="678">
        <f>Q$41*I45</f>
        <v>760.82975999999985</v>
      </c>
      <c r="K45" s="687">
        <f t="shared" si="6"/>
        <v>62.51</v>
      </c>
      <c r="M45" s="683">
        <v>0</v>
      </c>
      <c r="N45" s="322">
        <v>0</v>
      </c>
    </row>
    <row r="46" spans="1:18" x14ac:dyDescent="0.3">
      <c r="A46" s="341" t="s">
        <v>1960</v>
      </c>
      <c r="B46" s="342" t="s">
        <v>2047</v>
      </c>
      <c r="C46" s="264">
        <v>114743.2</v>
      </c>
      <c r="D46" s="337">
        <f t="shared" si="0"/>
        <v>16461.48</v>
      </c>
      <c r="E46" s="338">
        <f t="shared" si="3"/>
        <v>573.71600000000001</v>
      </c>
      <c r="F46" s="337">
        <f t="shared" si="4"/>
        <v>27285.932960000002</v>
      </c>
      <c r="G46" s="339">
        <f t="shared" si="5"/>
        <v>159064.32895999998</v>
      </c>
      <c r="H46" s="686">
        <f>Q39</f>
        <v>2113.4159999999997</v>
      </c>
      <c r="I46" s="667">
        <v>0.6</v>
      </c>
      <c r="J46" s="678">
        <f>Q$41*I46</f>
        <v>760.82975999999985</v>
      </c>
      <c r="K46" s="687">
        <f t="shared" si="6"/>
        <v>75.260000000000005</v>
      </c>
      <c r="M46" s="683">
        <v>0</v>
      </c>
      <c r="N46" s="322">
        <v>0</v>
      </c>
    </row>
    <row r="47" spans="1:18" x14ac:dyDescent="0.3">
      <c r="A47" s="244" t="s">
        <v>1948</v>
      </c>
      <c r="B47" s="134" t="s">
        <v>1977</v>
      </c>
      <c r="C47" s="239">
        <v>109724.16</v>
      </c>
      <c r="D47" s="337">
        <f t="shared" si="0"/>
        <v>15708.624</v>
      </c>
      <c r="E47" s="338">
        <f t="shared" si="3"/>
        <v>548.62080000000003</v>
      </c>
      <c r="F47" s="337">
        <f t="shared" si="4"/>
        <v>26092.405248000003</v>
      </c>
      <c r="G47" s="339">
        <f t="shared" si="5"/>
        <v>152073.81004800001</v>
      </c>
      <c r="H47" s="688">
        <f>Q31</f>
        <v>1355.36</v>
      </c>
      <c r="I47" s="667">
        <v>1</v>
      </c>
      <c r="J47" s="678">
        <f>Q$31*I47</f>
        <v>1355.36</v>
      </c>
      <c r="K47" s="687">
        <f t="shared" si="6"/>
        <v>112.2</v>
      </c>
      <c r="M47" s="683">
        <v>0</v>
      </c>
      <c r="N47" s="322">
        <v>0</v>
      </c>
    </row>
    <row r="48" spans="1:18" x14ac:dyDescent="0.3">
      <c r="A48" s="244" t="s">
        <v>1948</v>
      </c>
      <c r="B48" s="134" t="s">
        <v>1875</v>
      </c>
      <c r="C48" s="239">
        <v>126431.136</v>
      </c>
      <c r="D48" s="337">
        <f t="shared" si="0"/>
        <v>18214.670399999999</v>
      </c>
      <c r="E48" s="338">
        <f t="shared" si="3"/>
        <v>632.15567999999996</v>
      </c>
      <c r="F48" s="337">
        <f t="shared" si="4"/>
        <v>30065.324140799999</v>
      </c>
      <c r="G48" s="339">
        <f t="shared" si="5"/>
        <v>175343.28622079999</v>
      </c>
      <c r="H48" s="688">
        <f>Q31</f>
        <v>1355.36</v>
      </c>
      <c r="I48" s="667">
        <v>1</v>
      </c>
      <c r="J48" s="678">
        <f>Q$31*I48</f>
        <v>1355.36</v>
      </c>
      <c r="K48" s="687">
        <f t="shared" si="6"/>
        <v>129.37</v>
      </c>
      <c r="M48" s="683">
        <v>0</v>
      </c>
      <c r="N48" s="322">
        <v>0</v>
      </c>
    </row>
    <row r="49" spans="1:14" ht="15" thickBot="1" x14ac:dyDescent="0.35">
      <c r="A49" s="245" t="s">
        <v>1948</v>
      </c>
      <c r="B49" s="241" t="s">
        <v>1978</v>
      </c>
      <c r="C49" s="242">
        <v>145477.28</v>
      </c>
      <c r="D49" s="698">
        <f t="shared" si="0"/>
        <v>21071.592000000001</v>
      </c>
      <c r="E49" s="699">
        <f t="shared" si="3"/>
        <v>727.38639999999998</v>
      </c>
      <c r="F49" s="698">
        <f t="shared" si="4"/>
        <v>34594.497184</v>
      </c>
      <c r="G49" s="700">
        <f t="shared" si="5"/>
        <v>201870.755584</v>
      </c>
      <c r="H49" s="689">
        <f>Q31</f>
        <v>1355.36</v>
      </c>
      <c r="I49" s="690">
        <v>1</v>
      </c>
      <c r="J49" s="691">
        <f>Q$31*I49</f>
        <v>1355.36</v>
      </c>
      <c r="K49" s="692">
        <f t="shared" si="6"/>
        <v>148.94</v>
      </c>
      <c r="M49" s="684">
        <v>0</v>
      </c>
      <c r="N49" s="323">
        <v>0</v>
      </c>
    </row>
    <row r="98" ht="23.85" customHeight="1" x14ac:dyDescent="0.3"/>
    <row r="99" ht="55.5" customHeight="1" x14ac:dyDescent="0.3"/>
    <row r="100" ht="23.85" customHeight="1" x14ac:dyDescent="0.3"/>
    <row r="101" ht="23.85" customHeight="1" x14ac:dyDescent="0.3"/>
    <row r="102" ht="23.85" customHeight="1" x14ac:dyDescent="0.3"/>
    <row r="103" ht="23.85" customHeight="1" x14ac:dyDescent="0.3"/>
    <row r="104" ht="23.85" customHeight="1" x14ac:dyDescent="0.3"/>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4140625" defaultRowHeight="15" x14ac:dyDescent="0.25"/>
  <cols>
    <col min="1" max="1" width="28.5546875" style="352" customWidth="1"/>
    <col min="2" max="2" width="7.44140625" style="420" customWidth="1"/>
    <col min="3" max="3" width="8.44140625" style="352" customWidth="1"/>
    <col min="4" max="5" width="8.44140625" style="422" customWidth="1"/>
    <col min="6" max="8" width="8.44140625" style="420" customWidth="1"/>
    <col min="9" max="13" width="8.44140625" style="352" customWidth="1"/>
    <col min="14" max="14" width="8.5546875" style="352" customWidth="1"/>
    <col min="15" max="24" width="8.44140625" style="352" customWidth="1"/>
    <col min="25" max="25" width="12.44140625" style="352" customWidth="1"/>
    <col min="26" max="43" width="8.44140625" style="352" customWidth="1"/>
    <col min="44" max="16384" width="9.44140625" style="352"/>
  </cols>
  <sheetData>
    <row r="1" spans="1:51" ht="30.6" customHeight="1" x14ac:dyDescent="0.25">
      <c r="A1" s="347" t="s">
        <v>1794</v>
      </c>
      <c r="B1" s="348"/>
      <c r="C1" s="348"/>
      <c r="D1" s="348"/>
      <c r="E1" s="348"/>
      <c r="F1" s="348"/>
      <c r="G1" s="348"/>
      <c r="H1" s="348"/>
      <c r="I1" s="348"/>
      <c r="J1" s="348"/>
      <c r="K1" s="348"/>
      <c r="L1" s="348"/>
      <c r="M1" s="348"/>
      <c r="N1" s="348"/>
      <c r="O1" s="349"/>
      <c r="P1" s="349"/>
      <c r="Q1" s="349"/>
      <c r="R1" s="349"/>
      <c r="S1" s="349"/>
      <c r="T1" s="349"/>
      <c r="U1" s="349"/>
      <c r="V1" s="349"/>
      <c r="W1" s="349"/>
      <c r="X1" s="349"/>
      <c r="Y1" s="349"/>
      <c r="Z1" s="349"/>
      <c r="AA1" s="349"/>
      <c r="AB1" s="349"/>
      <c r="AC1" s="349"/>
      <c r="AD1" s="349"/>
      <c r="AE1" s="349"/>
      <c r="AF1" s="349"/>
      <c r="AG1" s="350"/>
      <c r="AH1" s="350"/>
      <c r="AI1" s="350"/>
      <c r="AJ1" s="350"/>
      <c r="AK1" s="350"/>
      <c r="AL1" s="350"/>
      <c r="AM1" s="351"/>
      <c r="AN1" s="351"/>
      <c r="AO1" s="351"/>
      <c r="AP1" s="351"/>
      <c r="AQ1" s="351"/>
      <c r="AR1" s="351"/>
      <c r="AS1" s="351"/>
      <c r="AT1" s="351"/>
      <c r="AU1" s="351"/>
      <c r="AV1" s="351"/>
      <c r="AW1" s="351"/>
      <c r="AX1" s="351"/>
      <c r="AY1" s="351"/>
    </row>
    <row r="2" spans="1:51" ht="15.75" customHeight="1" x14ac:dyDescent="0.25">
      <c r="A2" s="353"/>
      <c r="B2" s="354"/>
      <c r="C2" s="292"/>
      <c r="D2" s="51"/>
      <c r="E2" s="1"/>
      <c r="F2" s="1"/>
      <c r="G2" s="1"/>
      <c r="H2" s="423" t="s">
        <v>0</v>
      </c>
      <c r="I2" s="424"/>
      <c r="J2" s="424"/>
      <c r="K2" s="424"/>
      <c r="L2" s="424"/>
      <c r="M2" s="355"/>
      <c r="N2" s="355"/>
      <c r="O2" s="355"/>
      <c r="P2" s="355"/>
      <c r="Q2" s="355"/>
      <c r="R2" s="355"/>
      <c r="S2" s="355"/>
      <c r="T2" s="355"/>
      <c r="U2" s="355"/>
      <c r="V2" s="355"/>
      <c r="W2" s="355"/>
      <c r="X2" s="355"/>
      <c r="Y2" s="355"/>
      <c r="Z2" s="355"/>
      <c r="AA2" s="355"/>
      <c r="AB2" s="355"/>
      <c r="AC2" s="350"/>
      <c r="AD2" s="350"/>
      <c r="AE2" s="350"/>
      <c r="AF2" s="350"/>
      <c r="AG2" s="350"/>
      <c r="AH2" s="350"/>
      <c r="AI2" s="350"/>
      <c r="AJ2" s="350"/>
      <c r="AK2" s="350"/>
      <c r="AL2" s="350"/>
      <c r="AM2" s="351"/>
      <c r="AN2" s="351"/>
      <c r="AO2" s="351"/>
      <c r="AP2" s="351"/>
      <c r="AQ2" s="351"/>
      <c r="AR2" s="351"/>
      <c r="AS2" s="351"/>
      <c r="AT2" s="351"/>
      <c r="AU2" s="351"/>
      <c r="AV2" s="351"/>
      <c r="AW2" s="351"/>
      <c r="AX2" s="351"/>
      <c r="AY2" s="351"/>
    </row>
    <row r="3" spans="1:51" x14ac:dyDescent="0.25">
      <c r="A3" s="356"/>
      <c r="B3" s="354"/>
      <c r="C3" s="357" t="s">
        <v>1795</v>
      </c>
      <c r="D3" s="357"/>
      <c r="E3" s="1"/>
      <c r="F3" s="1"/>
      <c r="G3" s="1"/>
      <c r="H3" s="355"/>
      <c r="I3" s="355"/>
      <c r="J3" s="355"/>
      <c r="K3" s="355"/>
      <c r="L3" s="355"/>
      <c r="M3" s="355"/>
      <c r="N3" s="355"/>
      <c r="O3" s="355"/>
      <c r="P3" s="355"/>
      <c r="Q3" s="358" t="s">
        <v>1796</v>
      </c>
      <c r="R3" s="355"/>
      <c r="S3" s="1"/>
      <c r="T3" s="1"/>
      <c r="U3" s="1"/>
      <c r="V3" s="1"/>
      <c r="W3" s="355"/>
      <c r="X3" s="355"/>
      <c r="Y3" s="355"/>
      <c r="Z3" s="355"/>
      <c r="AA3" s="355"/>
      <c r="AB3" s="355"/>
      <c r="AC3" s="350"/>
      <c r="AD3" s="350"/>
      <c r="AE3" s="350"/>
      <c r="AF3" s="350"/>
      <c r="AG3" s="350"/>
      <c r="AH3" s="350"/>
      <c r="AI3" s="350"/>
      <c r="AJ3" s="350"/>
      <c r="AK3" s="350"/>
      <c r="AL3" s="350"/>
      <c r="AM3" s="351"/>
      <c r="AN3" s="351"/>
      <c r="AO3" s="351"/>
      <c r="AP3" s="351"/>
      <c r="AQ3" s="351"/>
      <c r="AR3" s="351"/>
      <c r="AS3" s="351"/>
      <c r="AT3" s="351"/>
      <c r="AU3" s="351"/>
      <c r="AV3" s="351"/>
      <c r="AW3" s="351"/>
      <c r="AX3" s="351"/>
      <c r="AY3" s="351"/>
    </row>
    <row r="4" spans="1:51" x14ac:dyDescent="0.25">
      <c r="A4" s="356"/>
      <c r="B4" s="354"/>
      <c r="C4" s="292" t="s">
        <v>1797</v>
      </c>
      <c r="D4" s="51"/>
      <c r="E4" s="1"/>
      <c r="F4" s="1"/>
      <c r="G4" s="1"/>
      <c r="H4" s="355"/>
      <c r="I4" s="355"/>
      <c r="J4" s="355"/>
      <c r="K4" s="355"/>
      <c r="L4" s="355"/>
      <c r="M4" s="355"/>
      <c r="N4" s="355"/>
      <c r="O4" s="355"/>
      <c r="P4" s="355"/>
      <c r="Q4" s="359" t="s">
        <v>1798</v>
      </c>
      <c r="R4" s="355"/>
      <c r="S4" s="355"/>
      <c r="T4" s="355"/>
      <c r="U4" s="355"/>
      <c r="V4" s="355"/>
      <c r="W4" s="355"/>
      <c r="X4" s="355"/>
      <c r="Y4" s="355"/>
      <c r="Z4" s="355"/>
      <c r="AA4" s="355"/>
      <c r="AB4" s="355"/>
      <c r="AC4" s="350"/>
      <c r="AD4" s="350"/>
      <c r="AE4" s="350"/>
      <c r="AF4" s="350"/>
      <c r="AG4" s="350"/>
      <c r="AH4" s="350"/>
      <c r="AI4" s="350"/>
      <c r="AJ4" s="350"/>
      <c r="AK4" s="350"/>
      <c r="AL4" s="350"/>
      <c r="AM4" s="351"/>
      <c r="AN4" s="350"/>
      <c r="AO4" s="350"/>
      <c r="AP4" s="351"/>
      <c r="AQ4" s="351"/>
      <c r="AR4" s="351"/>
      <c r="AS4" s="351"/>
      <c r="AT4" s="351"/>
      <c r="AU4" s="351"/>
      <c r="AV4" s="351"/>
      <c r="AW4" s="351"/>
      <c r="AX4" s="351"/>
      <c r="AY4" s="351"/>
    </row>
    <row r="5" spans="1:51" ht="15.6" thickBot="1" x14ac:dyDescent="0.3">
      <c r="A5" s="360"/>
      <c r="B5" s="361"/>
      <c r="C5" s="1"/>
      <c r="D5" s="1"/>
      <c r="E5" s="1"/>
      <c r="F5" s="1"/>
      <c r="G5" s="1"/>
      <c r="H5" s="355"/>
      <c r="I5" s="355"/>
      <c r="J5" s="355"/>
      <c r="K5" s="355"/>
      <c r="L5" s="355"/>
      <c r="M5" s="355"/>
      <c r="N5" s="355"/>
      <c r="O5" s="355"/>
      <c r="P5" s="355"/>
      <c r="Q5" s="359" t="s">
        <v>1799</v>
      </c>
      <c r="R5" s="355"/>
      <c r="S5" s="355"/>
      <c r="T5" s="355"/>
      <c r="U5" s="355"/>
      <c r="V5" s="355"/>
      <c r="W5" s="355"/>
      <c r="X5" s="355"/>
      <c r="Y5" s="355"/>
      <c r="Z5" s="355"/>
      <c r="AA5" s="355"/>
      <c r="AB5" s="355"/>
      <c r="AC5" s="350"/>
      <c r="AD5" s="350"/>
      <c r="AE5" s="350"/>
      <c r="AF5" s="350"/>
      <c r="AG5" s="350"/>
      <c r="AH5" s="350"/>
      <c r="AI5" s="350"/>
      <c r="AJ5" s="350"/>
      <c r="AK5" s="350"/>
      <c r="AL5" s="350"/>
      <c r="AM5" s="351"/>
      <c r="AN5" s="351"/>
      <c r="AO5" s="351"/>
      <c r="AP5" s="351"/>
      <c r="AQ5" s="351"/>
      <c r="AR5" s="351"/>
      <c r="AS5" s="351"/>
      <c r="AT5" s="351"/>
      <c r="AU5" s="351"/>
      <c r="AV5" s="351"/>
      <c r="AW5" s="351"/>
      <c r="AX5" s="351"/>
      <c r="AY5" s="351"/>
    </row>
    <row r="6" spans="1:51" ht="15.6" x14ac:dyDescent="0.3">
      <c r="A6" s="360"/>
      <c r="B6" s="361"/>
      <c r="C6" s="362"/>
      <c r="D6" s="363"/>
      <c r="E6" s="363"/>
      <c r="F6" s="363"/>
      <c r="G6" s="363"/>
      <c r="H6" s="364" t="s">
        <v>1800</v>
      </c>
      <c r="I6" s="363"/>
      <c r="J6" s="363"/>
      <c r="K6" s="363"/>
      <c r="L6" s="363"/>
      <c r="M6" s="363"/>
      <c r="N6" s="365"/>
      <c r="O6" s="355"/>
      <c r="P6" s="355"/>
      <c r="Q6" s="359" t="s">
        <v>1801</v>
      </c>
      <c r="R6" s="355"/>
      <c r="S6" s="355"/>
      <c r="T6" s="355"/>
      <c r="U6" s="355"/>
      <c r="V6" s="355"/>
      <c r="W6" s="355"/>
      <c r="X6" s="355"/>
      <c r="Y6" s="355"/>
      <c r="Z6" s="355"/>
      <c r="AA6" s="355"/>
      <c r="AB6" s="355"/>
      <c r="AC6" s="350"/>
      <c r="AD6" s="350"/>
      <c r="AE6" s="350"/>
      <c r="AF6" s="350"/>
      <c r="AG6" s="350"/>
      <c r="AH6" s="350"/>
      <c r="AI6" s="350"/>
      <c r="AJ6" s="350"/>
      <c r="AK6" s="350"/>
      <c r="AL6" s="350"/>
      <c r="AM6" s="351"/>
      <c r="AN6" s="351"/>
      <c r="AO6" s="351"/>
      <c r="AP6" s="351"/>
      <c r="AQ6" s="351"/>
      <c r="AR6" s="351"/>
      <c r="AS6" s="351"/>
      <c r="AT6" s="351"/>
      <c r="AU6" s="351"/>
      <c r="AV6" s="351"/>
      <c r="AW6" s="351"/>
      <c r="AX6" s="351"/>
      <c r="AY6" s="351"/>
    </row>
    <row r="7" spans="1:51" s="371" customFormat="1" ht="15.6" thickBot="1" x14ac:dyDescent="0.3">
      <c r="A7" s="360"/>
      <c r="B7" s="361"/>
      <c r="C7" s="366" t="s">
        <v>1802</v>
      </c>
      <c r="D7" s="367">
        <v>2</v>
      </c>
      <c r="E7" s="368">
        <v>3</v>
      </c>
      <c r="F7" s="369">
        <v>4</v>
      </c>
      <c r="G7" s="369">
        <v>5</v>
      </c>
      <c r="H7" s="368">
        <v>6</v>
      </c>
      <c r="I7" s="369">
        <v>7</v>
      </c>
      <c r="J7" s="369">
        <v>8</v>
      </c>
      <c r="K7" s="368">
        <v>9</v>
      </c>
      <c r="L7" s="369">
        <v>10</v>
      </c>
      <c r="M7" s="369">
        <v>11</v>
      </c>
      <c r="N7" s="370">
        <v>12</v>
      </c>
      <c r="O7" s="355"/>
      <c r="P7" s="355"/>
      <c r="Q7" s="355"/>
      <c r="R7" s="355" t="s">
        <v>1803</v>
      </c>
      <c r="S7" s="1"/>
      <c r="T7" s="355"/>
      <c r="U7" s="355"/>
      <c r="V7" s="355"/>
      <c r="W7" s="355"/>
      <c r="X7" s="355"/>
      <c r="Y7" s="355"/>
      <c r="Z7" s="355"/>
      <c r="AA7" s="355"/>
      <c r="AB7" s="355"/>
      <c r="AC7" s="350"/>
      <c r="AD7" s="350"/>
      <c r="AE7" s="350"/>
      <c r="AF7" s="350"/>
      <c r="AG7" s="350"/>
      <c r="AH7" s="350"/>
      <c r="AI7" s="350"/>
      <c r="AJ7" s="350"/>
      <c r="AK7" s="350"/>
      <c r="AL7" s="350"/>
      <c r="AM7" s="351"/>
      <c r="AN7" s="351"/>
      <c r="AO7" s="351"/>
      <c r="AP7" s="351"/>
      <c r="AQ7" s="351"/>
      <c r="AR7" s="351"/>
      <c r="AS7" s="351"/>
      <c r="AT7" s="351"/>
      <c r="AU7" s="360"/>
      <c r="AV7" s="360"/>
      <c r="AW7" s="360"/>
      <c r="AX7" s="360"/>
      <c r="AY7" s="360"/>
    </row>
    <row r="8" spans="1:51" s="371" customFormat="1" x14ac:dyDescent="0.25">
      <c r="A8" s="360"/>
      <c r="B8" s="361"/>
      <c r="C8" s="372"/>
      <c r="D8" s="373"/>
      <c r="E8" s="374"/>
      <c r="F8" s="372"/>
      <c r="G8" s="373"/>
      <c r="H8" s="374"/>
      <c r="I8" s="375"/>
      <c r="J8" s="376"/>
      <c r="K8" s="377"/>
      <c r="L8" s="375"/>
      <c r="M8" s="376"/>
      <c r="N8" s="378">
        <v>90</v>
      </c>
      <c r="O8" s="355"/>
      <c r="P8" s="355"/>
      <c r="Q8" s="355"/>
      <c r="R8" s="355" t="s">
        <v>1804</v>
      </c>
      <c r="S8" s="1"/>
      <c r="T8" s="355"/>
      <c r="U8" s="355"/>
      <c r="V8" s="355"/>
      <c r="W8" s="355"/>
      <c r="X8" s="355"/>
      <c r="Y8" s="355"/>
      <c r="Z8" s="355"/>
      <c r="AA8" s="355"/>
      <c r="AB8" s="355"/>
      <c r="AC8" s="350"/>
      <c r="AD8" s="350"/>
      <c r="AE8" s="350"/>
      <c r="AF8" s="350"/>
      <c r="AG8" s="350"/>
      <c r="AH8" s="350"/>
      <c r="AI8" s="350"/>
      <c r="AJ8" s="350"/>
      <c r="AK8" s="350"/>
      <c r="AL8" s="350"/>
      <c r="AM8" s="351"/>
      <c r="AN8" s="351"/>
      <c r="AO8" s="351"/>
      <c r="AP8" s="351"/>
      <c r="AQ8" s="351"/>
      <c r="AR8" s="351"/>
      <c r="AS8" s="351"/>
      <c r="AT8" s="351"/>
      <c r="AU8" s="360"/>
      <c r="AV8" s="360"/>
      <c r="AW8" s="360"/>
      <c r="AX8" s="360"/>
      <c r="AY8" s="360"/>
    </row>
    <row r="9" spans="1:51" s="6" customFormat="1" ht="15.6" customHeight="1" x14ac:dyDescent="0.25">
      <c r="A9" s="360"/>
      <c r="B9" s="361"/>
      <c r="C9" s="379"/>
      <c r="D9" s="379"/>
      <c r="E9" s="379"/>
      <c r="F9" s="380"/>
      <c r="G9" s="380"/>
      <c r="H9" s="380"/>
      <c r="I9" s="381"/>
      <c r="J9" s="381"/>
      <c r="K9" s="381"/>
      <c r="L9" s="382"/>
      <c r="M9" s="383">
        <v>90</v>
      </c>
      <c r="N9" s="383">
        <v>90</v>
      </c>
      <c r="O9" s="355"/>
      <c r="P9" s="355"/>
      <c r="Q9" s="355"/>
      <c r="R9" s="355" t="s">
        <v>1805</v>
      </c>
      <c r="S9" s="1"/>
      <c r="T9" s="355"/>
      <c r="U9" s="355"/>
      <c r="V9" s="355"/>
      <c r="W9" s="355"/>
      <c r="X9" s="355"/>
      <c r="Y9" s="355"/>
      <c r="Z9" s="355"/>
      <c r="AA9" s="355"/>
      <c r="AB9" s="355"/>
      <c r="AC9" s="350"/>
      <c r="AD9" s="350"/>
      <c r="AE9" s="350"/>
      <c r="AF9" s="350"/>
      <c r="AG9" s="350"/>
      <c r="AH9" s="350"/>
      <c r="AI9" s="350"/>
      <c r="AJ9" s="350"/>
      <c r="AK9" s="350"/>
      <c r="AL9" s="350"/>
      <c r="AM9" s="351"/>
      <c r="AN9" s="351"/>
      <c r="AO9" s="351"/>
      <c r="AP9" s="351"/>
      <c r="AQ9" s="351"/>
      <c r="AR9" s="351"/>
      <c r="AS9" s="351"/>
      <c r="AT9" s="351"/>
      <c r="AU9" s="1"/>
      <c r="AV9" s="1"/>
      <c r="AW9" s="1"/>
      <c r="AX9" s="1"/>
      <c r="AY9" s="1"/>
    </row>
    <row r="10" spans="1:51" s="6" customFormat="1" ht="15.6" customHeight="1" x14ac:dyDescent="0.25">
      <c r="A10" s="360"/>
      <c r="B10" s="361"/>
      <c r="C10" s="379"/>
      <c r="D10" s="379"/>
      <c r="E10" s="379"/>
      <c r="F10" s="380"/>
      <c r="G10" s="380"/>
      <c r="H10" s="380"/>
      <c r="I10" s="381"/>
      <c r="J10" s="381"/>
      <c r="K10" s="381"/>
      <c r="L10" s="383">
        <v>90</v>
      </c>
      <c r="M10" s="383">
        <v>90</v>
      </c>
      <c r="N10" s="383">
        <v>90</v>
      </c>
      <c r="O10" s="355"/>
      <c r="P10" s="355"/>
      <c r="Q10" s="359" t="s">
        <v>1806</v>
      </c>
      <c r="R10" s="355"/>
      <c r="S10" s="355"/>
      <c r="T10" s="355"/>
      <c r="U10" s="355"/>
      <c r="V10" s="355"/>
      <c r="W10" s="355"/>
      <c r="X10" s="355"/>
      <c r="Y10" s="355"/>
      <c r="Z10" s="355"/>
      <c r="AA10" s="355"/>
      <c r="AB10" s="355"/>
      <c r="AC10" s="350"/>
      <c r="AD10" s="350"/>
      <c r="AE10" s="350"/>
      <c r="AF10" s="350"/>
      <c r="AG10" s="350"/>
      <c r="AH10" s="350"/>
      <c r="AI10" s="350"/>
      <c r="AJ10" s="350"/>
      <c r="AK10" s="350"/>
      <c r="AL10" s="350"/>
      <c r="AM10" s="351"/>
      <c r="AN10" s="351"/>
      <c r="AO10" s="351"/>
      <c r="AP10" s="351"/>
      <c r="AQ10" s="351"/>
      <c r="AR10" s="351"/>
      <c r="AS10" s="351"/>
      <c r="AT10" s="351"/>
      <c r="AU10" s="1"/>
      <c r="AV10" s="1"/>
      <c r="AW10" s="1"/>
      <c r="AX10" s="1"/>
      <c r="AY10" s="1"/>
    </row>
    <row r="11" spans="1:51" s="6" customFormat="1" ht="15.6" customHeight="1" x14ac:dyDescent="0.25">
      <c r="A11" s="360"/>
      <c r="B11" s="361"/>
      <c r="C11" s="379"/>
      <c r="D11" s="379"/>
      <c r="E11" s="379"/>
      <c r="F11" s="380"/>
      <c r="G11" s="380"/>
      <c r="H11" s="380"/>
      <c r="I11" s="381"/>
      <c r="J11" s="381"/>
      <c r="K11" s="383">
        <v>90</v>
      </c>
      <c r="L11" s="383">
        <v>90</v>
      </c>
      <c r="M11" s="383">
        <v>90</v>
      </c>
      <c r="N11" s="383">
        <v>90</v>
      </c>
      <c r="O11" s="355"/>
      <c r="P11" s="355"/>
      <c r="Q11" s="359" t="s">
        <v>1807</v>
      </c>
      <c r="R11" s="355"/>
      <c r="S11" s="355"/>
      <c r="T11" s="355"/>
      <c r="U11" s="355"/>
      <c r="V11" s="355"/>
      <c r="W11" s="355"/>
      <c r="X11" s="355"/>
      <c r="Y11" s="355"/>
      <c r="Z11" s="355"/>
      <c r="AA11" s="355"/>
      <c r="AB11" s="355"/>
      <c r="AC11" s="350"/>
      <c r="AD11" s="350"/>
      <c r="AE11" s="350"/>
      <c r="AF11" s="350"/>
      <c r="AG11" s="350"/>
      <c r="AH11" s="350"/>
      <c r="AI11" s="350"/>
      <c r="AJ11" s="350"/>
      <c r="AK11" s="350"/>
      <c r="AL11" s="350"/>
      <c r="AM11" s="351"/>
      <c r="AN11" s="351"/>
      <c r="AO11" s="351"/>
      <c r="AP11" s="351"/>
      <c r="AQ11" s="351"/>
      <c r="AR11" s="351"/>
      <c r="AS11" s="351"/>
      <c r="AT11" s="351"/>
      <c r="AU11" s="1"/>
      <c r="AV11" s="1"/>
      <c r="AW11" s="1"/>
      <c r="AX11" s="1"/>
      <c r="AY11" s="1"/>
    </row>
    <row r="12" spans="1:51" s="6" customFormat="1" ht="15.6" customHeight="1" x14ac:dyDescent="0.25">
      <c r="A12" s="360"/>
      <c r="B12" s="361"/>
      <c r="C12" s="384"/>
      <c r="D12" s="384"/>
      <c r="E12" s="384"/>
      <c r="F12" s="385"/>
      <c r="G12" s="385"/>
      <c r="H12" s="385"/>
      <c r="I12" s="386"/>
      <c r="J12" s="383">
        <v>90</v>
      </c>
      <c r="K12" s="383">
        <v>90</v>
      </c>
      <c r="L12" s="383">
        <v>90</v>
      </c>
      <c r="M12" s="383">
        <v>90</v>
      </c>
      <c r="N12" s="383">
        <v>90</v>
      </c>
      <c r="O12" s="355"/>
      <c r="P12" s="355"/>
      <c r="Q12" s="359" t="s">
        <v>1808</v>
      </c>
      <c r="R12" s="355"/>
      <c r="S12" s="355"/>
      <c r="T12" s="355"/>
      <c r="U12" s="355"/>
      <c r="V12" s="355"/>
      <c r="W12" s="355"/>
      <c r="X12" s="355"/>
      <c r="Y12" s="355"/>
      <c r="Z12" s="355"/>
      <c r="AA12" s="355"/>
      <c r="AB12" s="355"/>
      <c r="AC12" s="350"/>
      <c r="AD12" s="350"/>
      <c r="AE12" s="350"/>
      <c r="AF12" s="350"/>
      <c r="AG12" s="350"/>
      <c r="AH12" s="350"/>
      <c r="AI12" s="350"/>
      <c r="AJ12" s="350"/>
      <c r="AK12" s="350"/>
      <c r="AL12" s="350"/>
      <c r="AM12" s="351"/>
      <c r="AN12" s="351"/>
      <c r="AO12" s="351"/>
      <c r="AP12" s="351"/>
      <c r="AQ12" s="351"/>
      <c r="AR12" s="351"/>
      <c r="AS12" s="351"/>
      <c r="AT12" s="351"/>
      <c r="AU12" s="1"/>
      <c r="AV12" s="1"/>
      <c r="AW12" s="1"/>
      <c r="AX12" s="1"/>
      <c r="AY12" s="1"/>
    </row>
    <row r="13" spans="1:51" s="6" customFormat="1" ht="15.6" customHeight="1" x14ac:dyDescent="0.25">
      <c r="A13" s="360"/>
      <c r="B13" s="361"/>
      <c r="C13" s="387"/>
      <c r="D13" s="388"/>
      <c r="E13" s="389"/>
      <c r="F13" s="390"/>
      <c r="G13" s="388"/>
      <c r="H13" s="389"/>
      <c r="I13" s="383">
        <v>90</v>
      </c>
      <c r="J13" s="383">
        <v>90</v>
      </c>
      <c r="K13" s="383">
        <v>90</v>
      </c>
      <c r="L13" s="383">
        <v>90</v>
      </c>
      <c r="M13" s="383">
        <v>90</v>
      </c>
      <c r="N13" s="383">
        <v>90</v>
      </c>
      <c r="O13" s="355"/>
      <c r="P13" s="355"/>
      <c r="Q13" s="359" t="s">
        <v>1809</v>
      </c>
      <c r="R13" s="355"/>
      <c r="S13" s="355"/>
      <c r="T13" s="355"/>
      <c r="U13" s="355"/>
      <c r="V13" s="355"/>
      <c r="W13" s="355"/>
      <c r="X13" s="355"/>
      <c r="Y13" s="355"/>
      <c r="Z13" s="355"/>
      <c r="AA13" s="355"/>
      <c r="AB13" s="355"/>
      <c r="AC13" s="350"/>
      <c r="AD13" s="350"/>
      <c r="AE13" s="350"/>
      <c r="AF13" s="350"/>
      <c r="AG13" s="350"/>
      <c r="AH13" s="350"/>
      <c r="AI13" s="350"/>
      <c r="AJ13" s="350"/>
      <c r="AK13" s="350"/>
      <c r="AL13" s="350"/>
      <c r="AM13" s="351"/>
      <c r="AN13" s="351"/>
      <c r="AO13" s="351"/>
      <c r="AP13" s="351"/>
      <c r="AQ13" s="351"/>
      <c r="AR13" s="351"/>
      <c r="AS13" s="351"/>
      <c r="AT13" s="351"/>
      <c r="AU13" s="1"/>
      <c r="AV13" s="1"/>
      <c r="AW13" s="1"/>
      <c r="AX13" s="1"/>
      <c r="AY13" s="1"/>
    </row>
    <row r="14" spans="1:51" s="6" customFormat="1" ht="15.6" customHeight="1" x14ac:dyDescent="0.25">
      <c r="A14" s="360"/>
      <c r="B14" s="361"/>
      <c r="C14" s="381"/>
      <c r="D14" s="381"/>
      <c r="E14" s="381"/>
      <c r="F14" s="382"/>
      <c r="G14" s="382"/>
      <c r="H14" s="383">
        <v>90</v>
      </c>
      <c r="I14" s="383">
        <v>90</v>
      </c>
      <c r="J14" s="383">
        <v>90</v>
      </c>
      <c r="K14" s="383">
        <v>90</v>
      </c>
      <c r="L14" s="383">
        <v>90</v>
      </c>
      <c r="M14" s="383">
        <v>90</v>
      </c>
      <c r="N14" s="383">
        <v>90</v>
      </c>
      <c r="O14" s="355"/>
      <c r="P14" s="355"/>
      <c r="Q14" s="359" t="s">
        <v>1810</v>
      </c>
      <c r="R14" s="355"/>
      <c r="S14" s="355"/>
      <c r="T14" s="355"/>
      <c r="U14" s="355"/>
      <c r="V14" s="355"/>
      <c r="W14" s="355"/>
      <c r="X14" s="355"/>
      <c r="Y14" s="355"/>
      <c r="Z14" s="355"/>
      <c r="AA14" s="355"/>
      <c r="AB14" s="355"/>
      <c r="AC14" s="350"/>
      <c r="AD14" s="350"/>
      <c r="AE14" s="350"/>
      <c r="AF14" s="350"/>
      <c r="AG14" s="350"/>
      <c r="AH14" s="350"/>
      <c r="AI14" s="350"/>
      <c r="AJ14" s="350"/>
      <c r="AK14" s="350"/>
      <c r="AL14" s="350"/>
      <c r="AM14" s="351"/>
      <c r="AN14" s="351"/>
      <c r="AO14" s="351"/>
      <c r="AP14" s="351"/>
      <c r="AQ14" s="351"/>
      <c r="AR14" s="351"/>
      <c r="AS14" s="351"/>
      <c r="AT14" s="351"/>
      <c r="AU14" s="1"/>
      <c r="AV14" s="1"/>
      <c r="AW14" s="1"/>
      <c r="AX14" s="1"/>
      <c r="AY14" s="1"/>
    </row>
    <row r="15" spans="1:51" s="6" customFormat="1" ht="15.6" customHeight="1" x14ac:dyDescent="0.25">
      <c r="A15" s="360"/>
      <c r="B15" s="361"/>
      <c r="C15" s="381"/>
      <c r="D15" s="381"/>
      <c r="E15" s="381"/>
      <c r="F15" s="382"/>
      <c r="G15" s="383">
        <v>90</v>
      </c>
      <c r="H15" s="383">
        <v>90</v>
      </c>
      <c r="I15" s="383">
        <v>90</v>
      </c>
      <c r="J15" s="383">
        <v>90</v>
      </c>
      <c r="K15" s="383">
        <v>90</v>
      </c>
      <c r="L15" s="383">
        <v>90</v>
      </c>
      <c r="M15" s="383">
        <v>90</v>
      </c>
      <c r="N15" s="383">
        <v>90</v>
      </c>
      <c r="O15" s="355"/>
      <c r="P15" s="355"/>
      <c r="Q15" s="355"/>
      <c r="R15" s="355"/>
      <c r="S15" s="355"/>
      <c r="T15" s="355"/>
      <c r="U15" s="355"/>
      <c r="V15" s="355"/>
      <c r="W15" s="355"/>
      <c r="X15" s="355"/>
      <c r="Y15" s="355"/>
      <c r="Z15" s="355"/>
      <c r="AA15" s="355"/>
      <c r="AB15" s="355"/>
      <c r="AC15" s="350"/>
      <c r="AD15" s="350"/>
      <c r="AE15" s="350"/>
      <c r="AF15" s="350"/>
      <c r="AG15" s="350"/>
      <c r="AH15" s="350"/>
      <c r="AI15" s="350"/>
      <c r="AJ15" s="350"/>
      <c r="AK15" s="350"/>
      <c r="AL15" s="350"/>
      <c r="AM15" s="351"/>
      <c r="AN15" s="351"/>
      <c r="AO15" s="351"/>
      <c r="AP15" s="351"/>
      <c r="AQ15" s="351"/>
      <c r="AR15" s="351"/>
      <c r="AS15" s="351"/>
      <c r="AT15" s="351"/>
      <c r="AU15" s="1"/>
      <c r="AV15" s="1"/>
      <c r="AW15" s="1"/>
      <c r="AX15" s="1"/>
      <c r="AY15" s="1"/>
    </row>
    <row r="16" spans="1:51" s="6" customFormat="1" ht="15.6" customHeight="1" x14ac:dyDescent="0.25">
      <c r="A16" s="360"/>
      <c r="B16" s="361"/>
      <c r="C16" s="381"/>
      <c r="D16" s="381"/>
      <c r="E16" s="381"/>
      <c r="F16" s="383">
        <v>90</v>
      </c>
      <c r="G16" s="383">
        <v>90</v>
      </c>
      <c r="H16" s="383">
        <v>90</v>
      </c>
      <c r="I16" s="383">
        <v>90</v>
      </c>
      <c r="J16" s="383">
        <v>90</v>
      </c>
      <c r="K16" s="383">
        <v>90</v>
      </c>
      <c r="L16" s="383">
        <v>90</v>
      </c>
      <c r="M16" s="383">
        <v>90</v>
      </c>
      <c r="N16" s="383">
        <v>90</v>
      </c>
      <c r="O16" s="355"/>
      <c r="P16" s="355"/>
      <c r="Q16" s="355"/>
      <c r="R16" s="355"/>
      <c r="S16" s="355"/>
      <c r="T16" s="355"/>
      <c r="U16" s="355"/>
      <c r="V16" s="355"/>
      <c r="W16" s="358" t="s">
        <v>1811</v>
      </c>
      <c r="X16" s="355"/>
      <c r="Y16" s="355"/>
      <c r="Z16" s="355"/>
      <c r="AA16" s="355"/>
      <c r="AB16" s="355"/>
      <c r="AC16" s="350"/>
      <c r="AD16" s="350"/>
      <c r="AE16" s="350"/>
      <c r="AF16" s="350"/>
      <c r="AG16" s="350"/>
      <c r="AH16" s="350"/>
      <c r="AI16" s="350"/>
      <c r="AJ16" s="350"/>
      <c r="AK16" s="350"/>
      <c r="AL16" s="350"/>
      <c r="AM16" s="351"/>
      <c r="AN16" s="351"/>
      <c r="AO16" s="351"/>
      <c r="AP16" s="351"/>
      <c r="AQ16" s="351"/>
      <c r="AR16" s="351"/>
      <c r="AS16" s="351"/>
      <c r="AT16" s="351"/>
      <c r="AU16" s="1"/>
      <c r="AV16" s="1"/>
      <c r="AW16" s="1"/>
      <c r="AX16" s="1"/>
      <c r="AY16" s="1"/>
    </row>
    <row r="17" spans="1:51" s="6" customFormat="1" ht="15.6" customHeight="1" x14ac:dyDescent="0.25">
      <c r="A17" s="360"/>
      <c r="B17" s="361"/>
      <c r="C17" s="381"/>
      <c r="D17" s="381"/>
      <c r="E17" s="383">
        <v>90</v>
      </c>
      <c r="F17" s="383">
        <v>90</v>
      </c>
      <c r="G17" s="383">
        <v>90</v>
      </c>
      <c r="H17" s="383">
        <v>90</v>
      </c>
      <c r="I17" s="383">
        <v>90</v>
      </c>
      <c r="J17" s="383">
        <v>90</v>
      </c>
      <c r="K17" s="383">
        <v>90</v>
      </c>
      <c r="L17" s="383">
        <v>90</v>
      </c>
      <c r="M17" s="383">
        <v>90</v>
      </c>
      <c r="N17" s="383">
        <v>90</v>
      </c>
      <c r="O17" s="355"/>
      <c r="P17" s="355"/>
      <c r="Q17" s="355"/>
      <c r="R17" s="355"/>
      <c r="S17" s="355"/>
      <c r="T17" s="355"/>
      <c r="U17" s="355"/>
      <c r="V17" s="355"/>
      <c r="W17" s="391" t="s">
        <v>1812</v>
      </c>
      <c r="X17" s="391" t="s">
        <v>1813</v>
      </c>
      <c r="Y17" s="391" t="s">
        <v>1814</v>
      </c>
      <c r="Z17" s="355"/>
      <c r="AA17" s="355"/>
      <c r="AB17" s="355"/>
      <c r="AC17" s="350"/>
      <c r="AD17" s="350"/>
      <c r="AE17" s="350"/>
      <c r="AF17" s="350"/>
      <c r="AG17" s="350"/>
      <c r="AH17" s="350"/>
      <c r="AI17" s="350"/>
      <c r="AJ17" s="350"/>
      <c r="AK17" s="350"/>
      <c r="AL17" s="350"/>
      <c r="AM17" s="351"/>
      <c r="AN17" s="351"/>
      <c r="AO17" s="351"/>
      <c r="AP17" s="351"/>
      <c r="AQ17" s="351"/>
      <c r="AR17" s="351"/>
      <c r="AS17" s="351"/>
      <c r="AT17" s="351"/>
      <c r="AU17" s="1"/>
      <c r="AV17" s="1"/>
      <c r="AW17" s="1"/>
      <c r="AX17" s="1"/>
      <c r="AY17" s="1"/>
    </row>
    <row r="18" spans="1:51" s="371" customFormat="1" ht="15.6" customHeight="1" x14ac:dyDescent="0.25">
      <c r="A18" s="360"/>
      <c r="B18" s="361"/>
      <c r="C18" s="381"/>
      <c r="D18" s="383">
        <v>90</v>
      </c>
      <c r="E18" s="383">
        <v>90</v>
      </c>
      <c r="F18" s="383">
        <v>90</v>
      </c>
      <c r="G18" s="383">
        <v>90</v>
      </c>
      <c r="H18" s="383">
        <v>90</v>
      </c>
      <c r="I18" s="383">
        <v>90</v>
      </c>
      <c r="J18" s="383">
        <v>90</v>
      </c>
      <c r="K18" s="383">
        <v>90</v>
      </c>
      <c r="L18" s="383">
        <v>90</v>
      </c>
      <c r="M18" s="383">
        <v>90</v>
      </c>
      <c r="N18" s="383">
        <v>90</v>
      </c>
      <c r="O18" s="355"/>
      <c r="P18" s="355"/>
      <c r="Q18" s="355"/>
      <c r="R18" s="355"/>
      <c r="S18" s="355"/>
      <c r="T18" s="355"/>
      <c r="U18" s="355"/>
      <c r="V18" s="355"/>
      <c r="W18" s="392">
        <v>0.5</v>
      </c>
      <c r="X18" s="393">
        <v>9</v>
      </c>
      <c r="Y18" s="394">
        <f>X18/12*W18</f>
        <v>0.375</v>
      </c>
      <c r="Z18" s="355"/>
      <c r="AA18" s="355"/>
      <c r="AB18" s="355"/>
      <c r="AC18" s="350"/>
      <c r="AD18" s="350"/>
      <c r="AE18" s="350"/>
      <c r="AF18" s="350"/>
      <c r="AG18" s="350"/>
      <c r="AH18" s="350"/>
      <c r="AI18" s="350"/>
      <c r="AJ18" s="350"/>
      <c r="AK18" s="350"/>
      <c r="AL18" s="350"/>
      <c r="AM18" s="351"/>
      <c r="AN18" s="351"/>
      <c r="AO18" s="351"/>
      <c r="AP18" s="351"/>
      <c r="AQ18" s="351"/>
      <c r="AR18" s="351"/>
      <c r="AS18" s="351"/>
      <c r="AT18" s="351"/>
      <c r="AU18" s="360"/>
      <c r="AV18" s="360"/>
      <c r="AW18" s="360"/>
      <c r="AX18" s="360"/>
      <c r="AY18" s="360"/>
    </row>
    <row r="19" spans="1:51" s="395" customFormat="1" ht="15.6" customHeight="1" x14ac:dyDescent="0.25">
      <c r="A19" s="360"/>
      <c r="B19" s="361"/>
      <c r="C19" s="383">
        <v>90</v>
      </c>
      <c r="D19" s="383">
        <v>90</v>
      </c>
      <c r="E19" s="383">
        <v>90</v>
      </c>
      <c r="F19" s="383">
        <v>90</v>
      </c>
      <c r="G19" s="383">
        <v>90</v>
      </c>
      <c r="H19" s="383">
        <v>90</v>
      </c>
      <c r="I19" s="383">
        <v>90</v>
      </c>
      <c r="J19" s="383">
        <v>90</v>
      </c>
      <c r="K19" s="383">
        <v>90</v>
      </c>
      <c r="L19" s="383">
        <v>90</v>
      </c>
      <c r="M19" s="383">
        <v>90</v>
      </c>
      <c r="N19" s="383">
        <v>90</v>
      </c>
      <c r="O19" s="355"/>
      <c r="P19" s="355"/>
      <c r="Q19" s="355"/>
      <c r="R19" s="355"/>
      <c r="S19" s="355"/>
      <c r="T19" s="355"/>
      <c r="U19" s="355"/>
      <c r="V19" s="355"/>
      <c r="W19" s="392">
        <v>0.9</v>
      </c>
      <c r="X19" s="393">
        <v>3</v>
      </c>
      <c r="Y19" s="394">
        <f>X19/12*W19</f>
        <v>0.22500000000000001</v>
      </c>
      <c r="Z19" s="355"/>
      <c r="AA19" s="355"/>
      <c r="AB19" s="355"/>
      <c r="AC19" s="350"/>
      <c r="AD19" s="350"/>
      <c r="AE19" s="350"/>
      <c r="AF19" s="350"/>
      <c r="AG19" s="350"/>
      <c r="AH19" s="350"/>
      <c r="AI19" s="350"/>
      <c r="AJ19" s="350"/>
      <c r="AK19" s="350"/>
      <c r="AL19" s="350"/>
      <c r="AM19" s="351"/>
      <c r="AN19" s="351"/>
      <c r="AO19" s="351"/>
      <c r="AP19" s="351"/>
      <c r="AQ19" s="351"/>
      <c r="AR19" s="351"/>
      <c r="AS19" s="351"/>
      <c r="AT19" s="351"/>
      <c r="AU19" s="8"/>
      <c r="AV19" s="8"/>
      <c r="AW19" s="8"/>
      <c r="AX19" s="8"/>
      <c r="AY19" s="8"/>
    </row>
    <row r="20" spans="1:51" s="395" customFormat="1" x14ac:dyDescent="0.25">
      <c r="A20" s="360"/>
      <c r="B20" s="361"/>
      <c r="C20" s="361"/>
      <c r="D20" s="361"/>
      <c r="E20" s="361"/>
      <c r="F20" s="361"/>
      <c r="G20" s="361"/>
      <c r="H20" s="361"/>
      <c r="I20" s="361"/>
      <c r="J20" s="361"/>
      <c r="K20" s="361"/>
      <c r="L20" s="361"/>
      <c r="M20" s="361"/>
      <c r="N20" s="361"/>
      <c r="O20" s="361"/>
      <c r="P20" s="361"/>
      <c r="Q20" s="361"/>
      <c r="R20" s="355"/>
      <c r="S20" s="355"/>
      <c r="T20" s="355"/>
      <c r="U20" s="355"/>
      <c r="V20" s="355"/>
      <c r="W20" s="355"/>
      <c r="X20" s="355"/>
      <c r="Y20" s="495">
        <f>SUM(Y18:Y19)</f>
        <v>0.6</v>
      </c>
      <c r="Z20" s="355"/>
      <c r="AA20" s="355"/>
      <c r="AB20" s="355"/>
      <c r="AC20" s="350"/>
      <c r="AD20" s="350"/>
      <c r="AE20" s="350"/>
      <c r="AF20" s="350"/>
      <c r="AG20" s="350"/>
      <c r="AH20" s="350"/>
      <c r="AI20" s="350"/>
      <c r="AJ20" s="350"/>
      <c r="AK20" s="350"/>
      <c r="AL20" s="350"/>
      <c r="AM20" s="351"/>
      <c r="AN20" s="351"/>
      <c r="AO20" s="351"/>
      <c r="AP20" s="351"/>
      <c r="AQ20" s="351"/>
      <c r="AR20" s="351"/>
      <c r="AS20" s="351"/>
      <c r="AT20" s="351"/>
      <c r="AU20" s="8"/>
      <c r="AV20" s="8"/>
      <c r="AW20" s="8"/>
      <c r="AX20" s="8"/>
      <c r="AY20" s="8"/>
    </row>
    <row r="21" spans="1:51" s="395" customFormat="1" x14ac:dyDescent="0.25">
      <c r="A21" s="360" t="s">
        <v>1815</v>
      </c>
      <c r="B21" s="396">
        <v>1200</v>
      </c>
      <c r="C21" s="397">
        <f>$B$21/12</f>
        <v>100</v>
      </c>
      <c r="D21" s="397">
        <f t="shared" ref="D21:M21" si="0">$B$21/12</f>
        <v>100</v>
      </c>
      <c r="E21" s="397">
        <f t="shared" si="0"/>
        <v>100</v>
      </c>
      <c r="F21" s="397">
        <f t="shared" si="0"/>
        <v>100</v>
      </c>
      <c r="G21" s="397">
        <f t="shared" si="0"/>
        <v>100</v>
      </c>
      <c r="H21" s="397">
        <f t="shared" si="0"/>
        <v>100</v>
      </c>
      <c r="I21" s="397">
        <f t="shared" si="0"/>
        <v>100</v>
      </c>
      <c r="J21" s="397">
        <f t="shared" si="0"/>
        <v>100</v>
      </c>
      <c r="K21" s="397">
        <f t="shared" si="0"/>
        <v>100</v>
      </c>
      <c r="L21" s="397">
        <f t="shared" si="0"/>
        <v>100</v>
      </c>
      <c r="M21" s="397">
        <f t="shared" si="0"/>
        <v>100</v>
      </c>
      <c r="N21" s="397">
        <f>$B$21/12</f>
        <v>100</v>
      </c>
      <c r="O21" s="355"/>
      <c r="P21" s="355"/>
      <c r="Q21" s="355"/>
      <c r="R21" s="355"/>
      <c r="S21" s="355"/>
      <c r="T21" s="355"/>
      <c r="U21" s="355"/>
      <c r="V21" s="355"/>
      <c r="W21" s="355"/>
      <c r="X21" s="355"/>
      <c r="Y21" s="355"/>
      <c r="Z21" s="355"/>
      <c r="AA21" s="355"/>
      <c r="AB21" s="355"/>
      <c r="AC21" s="350"/>
      <c r="AD21" s="350"/>
      <c r="AE21" s="350"/>
      <c r="AF21" s="350"/>
      <c r="AG21" s="350"/>
      <c r="AH21" s="350"/>
      <c r="AI21" s="350"/>
      <c r="AJ21" s="350"/>
      <c r="AK21" s="350"/>
      <c r="AL21" s="350"/>
      <c r="AM21" s="351"/>
      <c r="AN21" s="351"/>
      <c r="AO21" s="351"/>
      <c r="AP21" s="351"/>
      <c r="AQ21" s="351"/>
      <c r="AR21" s="351"/>
      <c r="AS21" s="351"/>
      <c r="AT21" s="351"/>
      <c r="AU21" s="8"/>
      <c r="AV21" s="8"/>
      <c r="AW21" s="8"/>
      <c r="AX21" s="8"/>
      <c r="AY21" s="8"/>
    </row>
    <row r="22" spans="1:51" s="395" customFormat="1" x14ac:dyDescent="0.25">
      <c r="A22" s="360" t="s">
        <v>1816</v>
      </c>
      <c r="B22" s="398">
        <v>0.9</v>
      </c>
      <c r="C22" s="399"/>
      <c r="D22" s="399"/>
      <c r="E22" s="399"/>
      <c r="F22" s="399"/>
      <c r="G22" s="399"/>
      <c r="H22" s="399"/>
      <c r="I22" s="399"/>
      <c r="J22" s="399"/>
      <c r="K22" s="399"/>
      <c r="L22" s="399"/>
      <c r="M22" s="399"/>
      <c r="N22" s="399"/>
      <c r="O22" s="355"/>
      <c r="P22" s="355"/>
      <c r="Q22" s="355"/>
      <c r="R22" s="355"/>
      <c r="S22" s="355"/>
      <c r="T22" s="355"/>
      <c r="U22" s="355"/>
      <c r="V22" s="355"/>
      <c r="W22" s="355"/>
      <c r="X22" s="355"/>
      <c r="Y22" s="355"/>
      <c r="Z22" s="355"/>
      <c r="AA22" s="355"/>
      <c r="AB22" s="355"/>
      <c r="AC22" s="350"/>
      <c r="AD22" s="350"/>
      <c r="AE22" s="350"/>
      <c r="AF22" s="350"/>
      <c r="AG22" s="350"/>
      <c r="AH22" s="350"/>
      <c r="AI22" s="350"/>
      <c r="AJ22" s="350"/>
      <c r="AK22" s="350"/>
      <c r="AL22" s="350"/>
      <c r="AM22" s="351"/>
      <c r="AN22" s="351"/>
      <c r="AO22" s="351"/>
      <c r="AP22" s="351"/>
      <c r="AQ22" s="351"/>
      <c r="AR22" s="351"/>
      <c r="AS22" s="351"/>
      <c r="AT22" s="351"/>
      <c r="AU22" s="8"/>
      <c r="AV22" s="8"/>
      <c r="AW22" s="8"/>
      <c r="AX22" s="8"/>
      <c r="AY22" s="8"/>
    </row>
    <row r="23" spans="1:51" s="6" customFormat="1" ht="13.8" x14ac:dyDescent="0.25">
      <c r="A23" s="360" t="s">
        <v>1817</v>
      </c>
      <c r="B23" s="361"/>
      <c r="C23" s="400">
        <f>SUM(C8:C19)</f>
        <v>90</v>
      </c>
      <c r="D23" s="400">
        <f t="shared" ref="D23:N23" si="1">SUM(D8:D19)</f>
        <v>180</v>
      </c>
      <c r="E23" s="400">
        <f t="shared" si="1"/>
        <v>270</v>
      </c>
      <c r="F23" s="400">
        <f t="shared" si="1"/>
        <v>360</v>
      </c>
      <c r="G23" s="400">
        <f t="shared" si="1"/>
        <v>450</v>
      </c>
      <c r="H23" s="400">
        <f t="shared" si="1"/>
        <v>540</v>
      </c>
      <c r="I23" s="400">
        <f t="shared" si="1"/>
        <v>630</v>
      </c>
      <c r="J23" s="400">
        <f t="shared" si="1"/>
        <v>720</v>
      </c>
      <c r="K23" s="400">
        <f t="shared" si="1"/>
        <v>810</v>
      </c>
      <c r="L23" s="400">
        <f t="shared" si="1"/>
        <v>900</v>
      </c>
      <c r="M23" s="400">
        <f t="shared" si="1"/>
        <v>990</v>
      </c>
      <c r="N23" s="401">
        <f t="shared" si="1"/>
        <v>1080</v>
      </c>
      <c r="O23" s="402" t="s">
        <v>1818</v>
      </c>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1"/>
      <c r="AR23" s="1"/>
      <c r="AS23" s="1"/>
      <c r="AT23" s="1"/>
      <c r="AU23" s="1"/>
      <c r="AV23" s="1"/>
      <c r="AW23" s="1"/>
      <c r="AX23" s="1"/>
      <c r="AY23" s="1"/>
    </row>
    <row r="24" spans="1:51" x14ac:dyDescent="0.25">
      <c r="A24" s="360" t="s">
        <v>1819</v>
      </c>
      <c r="B24" s="361"/>
      <c r="C24" s="403">
        <f>C23/$B$21</f>
        <v>7.4999999999999997E-2</v>
      </c>
      <c r="D24" s="403">
        <f t="shared" ref="D24:N24" si="2">D23/$B$21</f>
        <v>0.15</v>
      </c>
      <c r="E24" s="403">
        <f t="shared" si="2"/>
        <v>0.22500000000000001</v>
      </c>
      <c r="F24" s="403">
        <f t="shared" si="2"/>
        <v>0.3</v>
      </c>
      <c r="G24" s="403">
        <f t="shared" si="2"/>
        <v>0.375</v>
      </c>
      <c r="H24" s="403">
        <f t="shared" si="2"/>
        <v>0.45</v>
      </c>
      <c r="I24" s="403">
        <f t="shared" si="2"/>
        <v>0.52500000000000002</v>
      </c>
      <c r="J24" s="403">
        <f t="shared" si="2"/>
        <v>0.6</v>
      </c>
      <c r="K24" s="403">
        <f t="shared" si="2"/>
        <v>0.67500000000000004</v>
      </c>
      <c r="L24" s="403">
        <f t="shared" si="2"/>
        <v>0.75</v>
      </c>
      <c r="M24" s="403">
        <f t="shared" si="2"/>
        <v>0.82499999999999996</v>
      </c>
      <c r="N24" s="403">
        <f t="shared" si="2"/>
        <v>0.9</v>
      </c>
      <c r="O24" s="402" t="s">
        <v>1820</v>
      </c>
      <c r="P24" s="355"/>
      <c r="Q24" s="355"/>
      <c r="R24" s="355"/>
      <c r="S24" s="355"/>
      <c r="T24" s="355"/>
      <c r="U24" s="355"/>
      <c r="V24" s="355"/>
      <c r="W24" s="355"/>
      <c r="X24" s="355"/>
      <c r="Y24" s="355"/>
      <c r="Z24" s="355"/>
      <c r="AA24" s="355"/>
      <c r="AB24" s="404"/>
      <c r="AC24" s="405"/>
      <c r="AD24" s="405"/>
      <c r="AE24" s="405"/>
      <c r="AF24" s="405"/>
      <c r="AG24" s="405"/>
      <c r="AH24" s="405"/>
      <c r="AI24" s="405"/>
      <c r="AJ24" s="405"/>
      <c r="AK24" s="405"/>
      <c r="AL24" s="405"/>
      <c r="AM24" s="405"/>
      <c r="AN24" s="405"/>
      <c r="AO24" s="405"/>
      <c r="AP24" s="405"/>
      <c r="AQ24" s="351"/>
      <c r="AR24" s="351"/>
      <c r="AS24" s="351"/>
      <c r="AT24" s="351"/>
      <c r="AU24" s="351"/>
      <c r="AV24" s="351"/>
      <c r="AW24" s="351"/>
      <c r="AX24" s="351"/>
      <c r="AY24" s="351"/>
    </row>
    <row r="25" spans="1:51" x14ac:dyDescent="0.25">
      <c r="A25" s="406"/>
      <c r="B25" s="361"/>
      <c r="C25" s="355"/>
      <c r="D25" s="407"/>
      <c r="E25" s="407"/>
      <c r="F25" s="408"/>
      <c r="G25" s="408"/>
      <c r="H25" s="408"/>
      <c r="I25" s="355"/>
      <c r="J25" s="355"/>
      <c r="K25" s="355"/>
      <c r="L25" s="355"/>
      <c r="M25" s="355"/>
      <c r="N25" s="409" t="s">
        <v>1821</v>
      </c>
      <c r="O25" s="1"/>
      <c r="P25" s="355"/>
      <c r="Q25" s="355"/>
      <c r="R25" s="355"/>
      <c r="S25" s="355"/>
      <c r="T25" s="355"/>
      <c r="U25" s="355"/>
      <c r="V25" s="355"/>
      <c r="W25" s="355"/>
      <c r="X25" s="355"/>
      <c r="Y25" s="355"/>
      <c r="Z25" s="355"/>
      <c r="AA25" s="355"/>
      <c r="AB25" s="355"/>
      <c r="AC25" s="350"/>
      <c r="AD25" s="410"/>
      <c r="AE25" s="350"/>
      <c r="AF25" s="350"/>
      <c r="AG25" s="350"/>
      <c r="AH25" s="350"/>
      <c r="AI25" s="350"/>
      <c r="AJ25" s="350"/>
      <c r="AK25" s="350"/>
      <c r="AL25" s="350"/>
      <c r="AM25" s="350"/>
      <c r="AN25" s="350"/>
      <c r="AO25" s="350"/>
      <c r="AP25" s="410"/>
      <c r="AQ25" s="351"/>
      <c r="AR25" s="351"/>
      <c r="AS25" s="351"/>
      <c r="AT25" s="351"/>
      <c r="AU25" s="351"/>
      <c r="AV25" s="351"/>
      <c r="AW25" s="351"/>
      <c r="AX25" s="351"/>
      <c r="AY25" s="351"/>
    </row>
    <row r="26" spans="1:51" x14ac:dyDescent="0.25">
      <c r="A26" s="406"/>
      <c r="B26" s="361"/>
      <c r="C26" s="355"/>
      <c r="D26" s="407"/>
      <c r="E26" s="407"/>
      <c r="F26" s="408"/>
      <c r="G26" s="408"/>
      <c r="H26" s="408"/>
      <c r="I26" s="355"/>
      <c r="J26" s="355"/>
      <c r="K26" s="355"/>
      <c r="L26" s="355"/>
      <c r="M26" s="355"/>
      <c r="N26" s="411"/>
      <c r="O26" s="355"/>
      <c r="P26" s="355"/>
      <c r="Q26" s="355"/>
      <c r="R26" s="355"/>
      <c r="S26" s="355"/>
      <c r="T26" s="355"/>
      <c r="U26" s="355"/>
      <c r="V26" s="355"/>
      <c r="W26" s="355"/>
      <c r="X26" s="355"/>
      <c r="Y26" s="355"/>
      <c r="Z26" s="355"/>
      <c r="AA26" s="355"/>
      <c r="AB26" s="355"/>
      <c r="AC26" s="350"/>
      <c r="AD26" s="412"/>
      <c r="AE26" s="350"/>
      <c r="AF26" s="350"/>
      <c r="AG26" s="350"/>
      <c r="AH26" s="350"/>
      <c r="AI26" s="350"/>
      <c r="AJ26" s="350"/>
      <c r="AK26" s="350"/>
      <c r="AL26" s="350"/>
      <c r="AM26" s="350"/>
      <c r="AN26" s="350"/>
      <c r="AO26" s="350"/>
      <c r="AP26" s="412"/>
      <c r="AQ26" s="351"/>
      <c r="AR26" s="351"/>
      <c r="AS26" s="351"/>
      <c r="AT26" s="351"/>
      <c r="AU26" s="351"/>
      <c r="AV26" s="351"/>
      <c r="AW26" s="351"/>
      <c r="AX26" s="351"/>
      <c r="AY26" s="351"/>
    </row>
    <row r="27" spans="1:51" ht="15.6" x14ac:dyDescent="0.3">
      <c r="A27" s="406"/>
      <c r="B27" s="408"/>
      <c r="C27" s="355"/>
      <c r="D27" s="407"/>
      <c r="E27" s="407"/>
      <c r="F27" s="408"/>
      <c r="G27" s="408"/>
      <c r="H27" s="408"/>
      <c r="I27" s="355"/>
      <c r="J27" s="355"/>
      <c r="K27" s="355"/>
      <c r="L27" s="355"/>
      <c r="M27" s="411" t="s">
        <v>1822</v>
      </c>
      <c r="N27" s="413">
        <f>ROUNDUP((C23+D23+E23+F23+G23+H23+I23+J23+K23+L23+M23+N23)/(12*1200),1)</f>
        <v>0.5</v>
      </c>
      <c r="O27" s="358"/>
      <c r="P27" s="355"/>
      <c r="Q27" s="355"/>
      <c r="R27" s="355"/>
      <c r="S27" s="355"/>
      <c r="T27" s="355"/>
      <c r="U27" s="355"/>
      <c r="V27" s="355"/>
      <c r="W27" s="355"/>
      <c r="X27" s="355"/>
      <c r="Y27" s="355"/>
      <c r="Z27" s="355"/>
      <c r="AA27" s="355"/>
      <c r="AB27" s="355"/>
      <c r="AC27" s="350"/>
      <c r="AD27" s="414"/>
      <c r="AE27" s="350"/>
      <c r="AF27" s="350"/>
      <c r="AG27" s="350"/>
      <c r="AH27" s="350"/>
      <c r="AI27" s="350"/>
      <c r="AJ27" s="350"/>
      <c r="AK27" s="350"/>
      <c r="AL27" s="350"/>
      <c r="AM27" s="350"/>
      <c r="AN27" s="350"/>
      <c r="AO27" s="350"/>
      <c r="AP27" s="415"/>
      <c r="AQ27" s="351"/>
      <c r="AR27" s="351"/>
      <c r="AS27" s="351"/>
      <c r="AT27" s="351"/>
      <c r="AU27" s="351"/>
      <c r="AV27" s="351"/>
      <c r="AW27" s="351"/>
      <c r="AX27" s="351"/>
      <c r="AY27" s="351"/>
    </row>
    <row r="28" spans="1:51" ht="15.6" x14ac:dyDescent="0.3">
      <c r="A28" s="406"/>
      <c r="B28" s="408"/>
      <c r="C28" s="355"/>
      <c r="D28" s="407"/>
      <c r="E28" s="407"/>
      <c r="F28" s="408"/>
      <c r="G28" s="408"/>
      <c r="H28" s="408"/>
      <c r="I28" s="355"/>
      <c r="J28" s="355"/>
      <c r="K28" s="355"/>
      <c r="L28" s="355"/>
      <c r="M28" s="355"/>
      <c r="N28" s="411"/>
      <c r="O28" s="355"/>
      <c r="P28" s="355"/>
      <c r="Q28" s="355"/>
      <c r="R28" s="355"/>
      <c r="S28" s="355"/>
      <c r="T28" s="355"/>
      <c r="U28" s="355"/>
      <c r="V28" s="355"/>
      <c r="W28" s="355"/>
      <c r="X28" s="355"/>
      <c r="Y28" s="355"/>
      <c r="Z28" s="355"/>
      <c r="AA28" s="355"/>
      <c r="AB28" s="355"/>
      <c r="AC28" s="350"/>
      <c r="AD28" s="416"/>
      <c r="AE28" s="350"/>
      <c r="AF28" s="350"/>
      <c r="AG28" s="350"/>
      <c r="AH28" s="350"/>
      <c r="AI28" s="350"/>
      <c r="AJ28" s="350"/>
      <c r="AK28" s="350"/>
      <c r="AL28" s="350"/>
      <c r="AM28" s="350"/>
      <c r="AN28" s="350"/>
      <c r="AO28" s="350"/>
      <c r="AP28" s="416"/>
      <c r="AQ28" s="351"/>
      <c r="AR28" s="351"/>
      <c r="AS28" s="351"/>
      <c r="AT28" s="351"/>
      <c r="AU28" s="351"/>
      <c r="AV28" s="351"/>
      <c r="AW28" s="351"/>
      <c r="AX28" s="351"/>
      <c r="AY28" s="351"/>
    </row>
    <row r="29" spans="1:51" ht="15.6" x14ac:dyDescent="0.3">
      <c r="A29" s="406"/>
      <c r="B29" s="408"/>
      <c r="C29" s="355"/>
      <c r="D29" s="407"/>
      <c r="E29" s="407"/>
      <c r="F29" s="408"/>
      <c r="G29" s="408"/>
      <c r="H29" s="408"/>
      <c r="I29" s="355"/>
      <c r="J29" s="355"/>
      <c r="K29" s="355"/>
      <c r="L29" s="355"/>
      <c r="M29" s="355"/>
      <c r="N29" s="417" t="s">
        <v>1823</v>
      </c>
      <c r="O29" s="355"/>
      <c r="P29" s="355"/>
      <c r="Q29" s="355"/>
      <c r="R29" s="355"/>
      <c r="S29" s="355"/>
      <c r="T29" s="355"/>
      <c r="U29" s="355"/>
      <c r="V29" s="355"/>
      <c r="W29" s="355"/>
      <c r="X29" s="355"/>
      <c r="Y29" s="355"/>
      <c r="Z29" s="355"/>
      <c r="AA29" s="355"/>
      <c r="AB29" s="355"/>
      <c r="AC29" s="350"/>
      <c r="AD29" s="416"/>
      <c r="AE29" s="350"/>
      <c r="AF29" s="350"/>
      <c r="AG29" s="350"/>
      <c r="AH29" s="350"/>
      <c r="AI29" s="350"/>
      <c r="AJ29" s="350"/>
      <c r="AK29" s="350"/>
      <c r="AL29" s="350"/>
      <c r="AM29" s="350"/>
      <c r="AN29" s="350"/>
      <c r="AO29" s="350"/>
      <c r="AP29" s="416"/>
      <c r="AQ29" s="351"/>
      <c r="AR29" s="351"/>
      <c r="AS29" s="351"/>
      <c r="AT29" s="351"/>
      <c r="AU29" s="351"/>
      <c r="AV29" s="351"/>
      <c r="AW29" s="351"/>
      <c r="AX29" s="351"/>
      <c r="AY29" s="351"/>
    </row>
    <row r="30" spans="1:51" ht="15.6" x14ac:dyDescent="0.3">
      <c r="A30" s="406"/>
      <c r="B30" s="408"/>
      <c r="C30" s="355"/>
      <c r="D30" s="407"/>
      <c r="E30" s="407"/>
      <c r="F30" s="408"/>
      <c r="G30" s="408"/>
      <c r="H30" s="408"/>
      <c r="I30" s="355"/>
      <c r="J30" s="355"/>
      <c r="K30" s="355"/>
      <c r="L30" s="355"/>
      <c r="M30" s="355"/>
      <c r="N30" s="411" t="s">
        <v>1824</v>
      </c>
      <c r="O30" s="355"/>
      <c r="P30" s="355"/>
      <c r="Q30" s="355"/>
      <c r="R30" s="355"/>
      <c r="S30" s="355"/>
      <c r="T30" s="355"/>
      <c r="U30" s="355"/>
      <c r="V30" s="355"/>
      <c r="W30" s="355"/>
      <c r="X30" s="355"/>
      <c r="Y30" s="355"/>
      <c r="Z30" s="355"/>
      <c r="AA30" s="355"/>
      <c r="AB30" s="355"/>
      <c r="AC30" s="350"/>
      <c r="AD30" s="414"/>
      <c r="AE30" s="350"/>
      <c r="AF30" s="350"/>
      <c r="AG30" s="350"/>
      <c r="AH30" s="350"/>
      <c r="AI30" s="350"/>
      <c r="AJ30" s="350"/>
      <c r="AK30" s="350"/>
      <c r="AL30" s="350"/>
      <c r="AM30" s="350"/>
      <c r="AN30" s="350"/>
      <c r="AO30" s="350"/>
      <c r="AP30" s="415"/>
      <c r="AQ30" s="351"/>
      <c r="AR30" s="351"/>
      <c r="AS30" s="351"/>
      <c r="AT30" s="351"/>
      <c r="AU30" s="351"/>
      <c r="AV30" s="351"/>
      <c r="AW30" s="351"/>
      <c r="AX30" s="351"/>
      <c r="AY30" s="351"/>
    </row>
    <row r="31" spans="1:51" s="420" customFormat="1" x14ac:dyDescent="0.25">
      <c r="A31" s="418"/>
      <c r="B31" s="361"/>
      <c r="C31" s="1"/>
      <c r="D31" s="51"/>
      <c r="E31" s="51"/>
      <c r="F31" s="51"/>
      <c r="G31" s="51"/>
      <c r="H31" s="51"/>
      <c r="I31" s="51"/>
      <c r="J31" s="51"/>
      <c r="K31" s="51"/>
      <c r="L31" s="51"/>
      <c r="M31" s="51"/>
      <c r="N31" s="411" t="s">
        <v>1825</v>
      </c>
      <c r="O31" s="361"/>
      <c r="P31" s="361"/>
      <c r="Q31" s="361"/>
      <c r="R31" s="361"/>
      <c r="S31" s="361"/>
      <c r="T31" s="361"/>
      <c r="U31" s="361"/>
      <c r="V31" s="361"/>
      <c r="W31" s="361"/>
      <c r="X31" s="361"/>
      <c r="Y31" s="361"/>
      <c r="Z31" s="361"/>
      <c r="AA31" s="361"/>
      <c r="AB31" s="361"/>
      <c r="AC31" s="419"/>
      <c r="AD31" s="419"/>
      <c r="AE31" s="419"/>
      <c r="AF31" s="419"/>
      <c r="AG31" s="419"/>
      <c r="AH31" s="419"/>
      <c r="AI31" s="419"/>
      <c r="AJ31" s="419"/>
      <c r="AK31" s="419"/>
      <c r="AL31" s="419"/>
      <c r="AM31" s="419"/>
      <c r="AN31" s="419"/>
      <c r="AO31" s="419"/>
      <c r="AP31" s="419"/>
      <c r="AQ31" s="419"/>
      <c r="AR31" s="419"/>
      <c r="AS31" s="419"/>
      <c r="AT31" s="419"/>
      <c r="AU31" s="419"/>
      <c r="AV31" s="419"/>
      <c r="AW31" s="419"/>
      <c r="AX31" s="419"/>
      <c r="AY31" s="419"/>
    </row>
    <row r="32" spans="1:51" s="420" customFormat="1" x14ac:dyDescent="0.25">
      <c r="A32" s="418"/>
      <c r="B32" s="361"/>
      <c r="C32" s="1"/>
      <c r="D32" s="51"/>
      <c r="E32" s="51"/>
      <c r="F32" s="51"/>
      <c r="G32" s="51"/>
      <c r="H32" s="51"/>
      <c r="I32" s="51"/>
      <c r="J32" s="51"/>
      <c r="K32" s="51"/>
      <c r="L32" s="51"/>
      <c r="M32" s="51"/>
      <c r="N32" s="411" t="s">
        <v>1826</v>
      </c>
      <c r="O32" s="361"/>
      <c r="P32" s="361"/>
      <c r="Q32" s="361"/>
      <c r="R32" s="361"/>
      <c r="S32" s="361"/>
      <c r="T32" s="361"/>
      <c r="U32" s="361"/>
      <c r="V32" s="361"/>
      <c r="W32" s="361"/>
      <c r="X32" s="361"/>
      <c r="Y32" s="361"/>
      <c r="Z32" s="361"/>
      <c r="AA32" s="361"/>
      <c r="AB32" s="361"/>
      <c r="AC32" s="419"/>
      <c r="AD32" s="419"/>
      <c r="AE32" s="419"/>
      <c r="AF32" s="419"/>
      <c r="AG32" s="419"/>
      <c r="AH32" s="419"/>
      <c r="AI32" s="419"/>
      <c r="AJ32" s="419"/>
      <c r="AK32" s="419"/>
      <c r="AL32" s="419"/>
      <c r="AM32" s="419"/>
      <c r="AN32" s="419"/>
      <c r="AO32" s="419"/>
      <c r="AP32" s="419"/>
      <c r="AQ32" s="419"/>
      <c r="AR32" s="419"/>
      <c r="AS32" s="419"/>
      <c r="AT32" s="419"/>
      <c r="AU32" s="419"/>
      <c r="AV32" s="419"/>
      <c r="AW32" s="419"/>
      <c r="AX32" s="419"/>
      <c r="AY32" s="419"/>
    </row>
    <row r="33" spans="1:5" s="420" customFormat="1" ht="15.6" x14ac:dyDescent="0.25">
      <c r="A33" s="421"/>
      <c r="C33" s="352"/>
      <c r="D33" s="422"/>
      <c r="E33" s="422"/>
    </row>
    <row r="34" spans="1:5" s="420" customFormat="1" ht="15.6" x14ac:dyDescent="0.25">
      <c r="A34" s="421"/>
      <c r="C34" s="352"/>
      <c r="D34" s="422"/>
      <c r="E34" s="422"/>
    </row>
    <row r="35" spans="1:5" s="420" customFormat="1" ht="15.6" x14ac:dyDescent="0.25">
      <c r="A35" s="421"/>
      <c r="C35" s="352"/>
      <c r="D35" s="422"/>
      <c r="E35" s="422"/>
    </row>
    <row r="36" spans="1:5" s="420" customFormat="1" ht="15.6" x14ac:dyDescent="0.25">
      <c r="A36" s="421"/>
      <c r="C36" s="352"/>
      <c r="D36" s="422"/>
      <c r="E36" s="422"/>
    </row>
    <row r="37" spans="1:5" s="420" customFormat="1" ht="15.6" x14ac:dyDescent="0.25">
      <c r="A37" s="421"/>
      <c r="C37" s="352"/>
      <c r="D37" s="422"/>
      <c r="E37" s="422"/>
    </row>
    <row r="38" spans="1:5" s="420" customFormat="1" ht="15.6" x14ac:dyDescent="0.25">
      <c r="A38" s="421"/>
      <c r="C38" s="352"/>
      <c r="D38" s="422"/>
      <c r="E38" s="422"/>
    </row>
    <row r="39" spans="1:5" s="420" customFormat="1" ht="15.6" x14ac:dyDescent="0.25">
      <c r="A39" s="421"/>
      <c r="C39" s="352"/>
      <c r="D39" s="422"/>
      <c r="E39" s="422"/>
    </row>
    <row r="40" spans="1:5" s="420" customFormat="1" ht="15.6" x14ac:dyDescent="0.25">
      <c r="A40" s="421"/>
      <c r="C40" s="352"/>
      <c r="D40" s="422"/>
      <c r="E40" s="422"/>
    </row>
    <row r="41" spans="1:5" s="420" customFormat="1" ht="15.6" x14ac:dyDescent="0.25">
      <c r="A41" s="421"/>
      <c r="C41" s="352"/>
      <c r="D41" s="422"/>
      <c r="E41" s="422"/>
    </row>
    <row r="42" spans="1:5" s="420" customFormat="1" ht="15.6" x14ac:dyDescent="0.25">
      <c r="A42" s="421"/>
      <c r="C42" s="352"/>
      <c r="D42" s="422"/>
      <c r="E42" s="422"/>
    </row>
    <row r="43" spans="1:5" s="420" customFormat="1" ht="15.6" x14ac:dyDescent="0.25">
      <c r="A43" s="421"/>
      <c r="C43" s="352"/>
      <c r="D43" s="422"/>
      <c r="E43" s="422"/>
    </row>
    <row r="44" spans="1:5" s="420" customFormat="1" ht="15.6" x14ac:dyDescent="0.25">
      <c r="A44" s="421"/>
      <c r="C44" s="352"/>
      <c r="D44" s="422"/>
      <c r="E44" s="422"/>
    </row>
    <row r="45" spans="1:5" s="420" customFormat="1" ht="15.6" x14ac:dyDescent="0.25">
      <c r="A45" s="421"/>
      <c r="C45" s="352"/>
      <c r="D45" s="422"/>
      <c r="E45" s="422"/>
    </row>
    <row r="46" spans="1:5" s="420" customFormat="1" ht="15.6" x14ac:dyDescent="0.25">
      <c r="A46" s="421"/>
      <c r="C46" s="352"/>
      <c r="D46" s="422"/>
      <c r="E46" s="422"/>
    </row>
    <row r="47" spans="1:5" s="420" customFormat="1" ht="15.6" x14ac:dyDescent="0.25">
      <c r="A47" s="421"/>
      <c r="C47" s="352"/>
      <c r="D47" s="422"/>
      <c r="E47" s="422"/>
    </row>
    <row r="48" spans="1:5" s="420" customFormat="1" ht="15.6" x14ac:dyDescent="0.25">
      <c r="A48" s="421"/>
      <c r="C48" s="352"/>
      <c r="D48" s="422"/>
      <c r="E48" s="422"/>
    </row>
    <row r="49" spans="1:5" s="420" customFormat="1" ht="15.6" x14ac:dyDescent="0.25">
      <c r="A49" s="421"/>
      <c r="C49" s="352"/>
      <c r="D49" s="422"/>
      <c r="E49" s="422"/>
    </row>
    <row r="50" spans="1:5" s="420" customFormat="1" ht="15.6" x14ac:dyDescent="0.25">
      <c r="A50" s="421"/>
      <c r="C50" s="352"/>
      <c r="D50" s="422"/>
      <c r="E50" s="422"/>
    </row>
    <row r="51" spans="1:5" s="420" customFormat="1" ht="15.6" x14ac:dyDescent="0.25">
      <c r="A51" s="421"/>
      <c r="C51" s="352"/>
      <c r="D51" s="422"/>
      <c r="E51" s="422"/>
    </row>
    <row r="52" spans="1:5" s="420" customFormat="1" ht="15.6" x14ac:dyDescent="0.25">
      <c r="A52" s="421"/>
      <c r="C52" s="352"/>
      <c r="D52" s="422"/>
      <c r="E52" s="422"/>
    </row>
    <row r="53" spans="1:5" s="420" customFormat="1" ht="15.6" x14ac:dyDescent="0.25">
      <c r="A53" s="421"/>
      <c r="C53" s="352"/>
      <c r="D53" s="422"/>
      <c r="E53" s="422"/>
    </row>
    <row r="54" spans="1:5" s="420" customFormat="1" ht="15.6" x14ac:dyDescent="0.25">
      <c r="A54" s="421"/>
      <c r="C54" s="352"/>
      <c r="D54" s="422"/>
      <c r="E54" s="422"/>
    </row>
    <row r="55" spans="1:5" s="420" customFormat="1" ht="15.6" x14ac:dyDescent="0.25">
      <c r="A55" s="421"/>
      <c r="C55" s="352"/>
      <c r="D55" s="422"/>
      <c r="E55" s="422"/>
    </row>
    <row r="56" spans="1:5" s="420" customFormat="1" ht="15.6" x14ac:dyDescent="0.25">
      <c r="A56" s="421"/>
      <c r="C56" s="352"/>
      <c r="D56" s="422"/>
      <c r="E56" s="422"/>
    </row>
    <row r="57" spans="1:5" s="420" customFormat="1" ht="15.6" x14ac:dyDescent="0.25">
      <c r="A57" s="421"/>
      <c r="C57" s="352"/>
      <c r="D57" s="422"/>
      <c r="E57" s="422"/>
    </row>
    <row r="58" spans="1:5" s="420" customFormat="1" ht="15.6" x14ac:dyDescent="0.25">
      <c r="A58" s="421"/>
      <c r="C58" s="352"/>
      <c r="D58" s="422"/>
      <c r="E58" s="422"/>
    </row>
    <row r="59" spans="1:5" s="420" customFormat="1" ht="15.6" x14ac:dyDescent="0.25">
      <c r="A59" s="421"/>
      <c r="C59" s="352"/>
      <c r="D59" s="422"/>
      <c r="E59" s="422"/>
    </row>
    <row r="60" spans="1:5" s="420" customFormat="1" ht="15.6" x14ac:dyDescent="0.25">
      <c r="A60" s="421"/>
      <c r="C60" s="352"/>
      <c r="D60" s="422"/>
      <c r="E60" s="422"/>
    </row>
    <row r="61" spans="1:5" s="420" customFormat="1" ht="15.6" x14ac:dyDescent="0.25">
      <c r="A61" s="421"/>
      <c r="C61" s="352"/>
      <c r="D61" s="422"/>
      <c r="E61" s="422"/>
    </row>
    <row r="62" spans="1:5" s="420" customFormat="1" ht="15.6" x14ac:dyDescent="0.25">
      <c r="A62" s="421"/>
      <c r="C62" s="352"/>
      <c r="D62" s="422"/>
      <c r="E62" s="422"/>
    </row>
    <row r="63" spans="1:5" s="420" customFormat="1" ht="15.6" x14ac:dyDescent="0.25">
      <c r="A63" s="421"/>
      <c r="C63" s="352"/>
      <c r="D63" s="422"/>
      <c r="E63" s="422"/>
    </row>
    <row r="64" spans="1:5" s="420" customFormat="1" ht="15.6" x14ac:dyDescent="0.25">
      <c r="A64" s="421"/>
      <c r="C64" s="352"/>
      <c r="D64" s="422"/>
      <c r="E64" s="422"/>
    </row>
    <row r="65" spans="1:5" s="420" customFormat="1" ht="15.6" x14ac:dyDescent="0.25">
      <c r="A65" s="421"/>
      <c r="C65" s="352"/>
      <c r="D65" s="422"/>
      <c r="E65" s="422"/>
    </row>
    <row r="66" spans="1:5" s="420" customFormat="1" ht="15.6" x14ac:dyDescent="0.25">
      <c r="A66" s="421"/>
      <c r="C66" s="352"/>
      <c r="D66" s="422"/>
      <c r="E66" s="422"/>
    </row>
    <row r="67" spans="1:5" s="420" customFormat="1" ht="15.6" x14ac:dyDescent="0.25">
      <c r="A67" s="421"/>
      <c r="C67" s="352"/>
      <c r="D67" s="422"/>
      <c r="E67" s="422"/>
    </row>
    <row r="68" spans="1:5" s="420" customFormat="1" ht="15.6" x14ac:dyDescent="0.25">
      <c r="A68" s="421"/>
      <c r="C68" s="352"/>
      <c r="D68" s="422"/>
      <c r="E68" s="422"/>
    </row>
    <row r="69" spans="1:5" s="420" customFormat="1" ht="15.6" x14ac:dyDescent="0.25">
      <c r="A69" s="421"/>
      <c r="C69" s="352"/>
      <c r="D69" s="422"/>
      <c r="E69" s="422"/>
    </row>
    <row r="70" spans="1:5" s="420" customFormat="1" ht="15.6" x14ac:dyDescent="0.25">
      <c r="A70" s="421"/>
      <c r="C70" s="352"/>
      <c r="D70" s="422"/>
      <c r="E70" s="422"/>
    </row>
    <row r="71" spans="1:5" s="420" customFormat="1" ht="15.6" x14ac:dyDescent="0.25">
      <c r="A71" s="421"/>
      <c r="C71" s="352"/>
      <c r="D71" s="422"/>
      <c r="E71" s="422"/>
    </row>
    <row r="72" spans="1:5" s="420" customFormat="1" ht="15.6" x14ac:dyDescent="0.25">
      <c r="A72" s="421"/>
      <c r="C72" s="352"/>
      <c r="D72" s="422"/>
      <c r="E72" s="422"/>
    </row>
    <row r="73" spans="1:5" s="420" customFormat="1" ht="15.6" x14ac:dyDescent="0.25">
      <c r="A73" s="421"/>
      <c r="C73" s="352"/>
      <c r="D73" s="422"/>
      <c r="E73" s="422"/>
    </row>
    <row r="74" spans="1:5" s="420" customFormat="1" ht="15.6" x14ac:dyDescent="0.25">
      <c r="A74" s="421"/>
      <c r="C74" s="352"/>
      <c r="D74" s="422"/>
      <c r="E74" s="422"/>
    </row>
    <row r="75" spans="1:5" s="420" customFormat="1" ht="15.6" x14ac:dyDescent="0.25">
      <c r="A75" s="421"/>
      <c r="C75" s="352"/>
      <c r="D75" s="422"/>
      <c r="E75" s="422"/>
    </row>
    <row r="76" spans="1:5" s="420" customFormat="1" ht="15.6" x14ac:dyDescent="0.25">
      <c r="A76" s="421"/>
      <c r="C76" s="352"/>
      <c r="D76" s="422"/>
      <c r="E76" s="422"/>
    </row>
    <row r="77" spans="1:5" s="420" customFormat="1" ht="15.6" x14ac:dyDescent="0.25">
      <c r="A77" s="421"/>
      <c r="C77" s="352"/>
      <c r="D77" s="422"/>
      <c r="E77" s="422"/>
    </row>
    <row r="78" spans="1:5" s="420" customFormat="1" ht="15.6" x14ac:dyDescent="0.25">
      <c r="A78" s="421"/>
      <c r="C78" s="352"/>
      <c r="D78" s="422"/>
      <c r="E78" s="422"/>
    </row>
    <row r="79" spans="1:5" s="420" customFormat="1" ht="15.6" x14ac:dyDescent="0.25">
      <c r="A79" s="421"/>
      <c r="C79" s="352"/>
      <c r="D79" s="422"/>
      <c r="E79" s="422"/>
    </row>
    <row r="80" spans="1:5" s="420" customFormat="1" ht="15.6" x14ac:dyDescent="0.25">
      <c r="A80" s="421"/>
      <c r="C80" s="352"/>
      <c r="D80" s="422"/>
      <c r="E80" s="422"/>
    </row>
    <row r="81" spans="1:5" s="420" customFormat="1" ht="15.6" x14ac:dyDescent="0.25">
      <c r="A81" s="421"/>
      <c r="C81" s="352"/>
      <c r="D81" s="422"/>
      <c r="E81" s="422"/>
    </row>
    <row r="82" spans="1:5" s="420" customFormat="1" ht="15.6" x14ac:dyDescent="0.25">
      <c r="A82" s="421"/>
      <c r="C82" s="352"/>
      <c r="D82" s="422"/>
      <c r="E82" s="422"/>
    </row>
    <row r="83" spans="1:5" s="420" customFormat="1" ht="15.6" x14ac:dyDescent="0.25">
      <c r="A83" s="421"/>
      <c r="C83" s="352"/>
      <c r="D83" s="422"/>
      <c r="E83" s="422"/>
    </row>
    <row r="84" spans="1:5" s="420" customFormat="1" ht="15.6" x14ac:dyDescent="0.25">
      <c r="A84" s="421"/>
      <c r="C84" s="352"/>
      <c r="D84" s="422"/>
      <c r="E84" s="422"/>
    </row>
    <row r="85" spans="1:5" s="420" customFormat="1" ht="15.6" x14ac:dyDescent="0.25">
      <c r="A85" s="421"/>
      <c r="C85" s="352"/>
      <c r="D85" s="422"/>
      <c r="E85" s="422"/>
    </row>
    <row r="86" spans="1:5" s="420" customFormat="1" ht="15.6" x14ac:dyDescent="0.25">
      <c r="A86" s="421"/>
      <c r="C86" s="352"/>
      <c r="D86" s="422"/>
      <c r="E86" s="422"/>
    </row>
    <row r="87" spans="1:5" s="420" customFormat="1" ht="15.6" x14ac:dyDescent="0.25">
      <c r="A87" s="421"/>
      <c r="C87" s="352"/>
      <c r="D87" s="422"/>
      <c r="E87" s="422"/>
    </row>
    <row r="88" spans="1:5" s="420" customFormat="1" ht="15.6" x14ac:dyDescent="0.25">
      <c r="A88" s="421"/>
      <c r="C88" s="352"/>
      <c r="D88" s="422"/>
      <c r="E88" s="422"/>
    </row>
    <row r="89" spans="1:5" s="420" customFormat="1" ht="15.6" x14ac:dyDescent="0.25">
      <c r="A89" s="421"/>
      <c r="C89" s="352"/>
      <c r="D89" s="422"/>
      <c r="E89" s="422"/>
    </row>
    <row r="90" spans="1:5" s="420" customFormat="1" ht="15.6" x14ac:dyDescent="0.25">
      <c r="A90" s="421"/>
      <c r="C90" s="352"/>
      <c r="D90" s="422"/>
      <c r="E90" s="422"/>
    </row>
    <row r="91" spans="1:5" s="420" customFormat="1" ht="15.6" x14ac:dyDescent="0.25">
      <c r="A91" s="421"/>
      <c r="C91" s="352"/>
      <c r="D91" s="422"/>
      <c r="E91" s="422"/>
    </row>
    <row r="92" spans="1:5" s="420" customFormat="1" ht="15.6" x14ac:dyDescent="0.25">
      <c r="A92" s="421"/>
      <c r="C92" s="352"/>
      <c r="D92" s="422"/>
      <c r="E92" s="422"/>
    </row>
    <row r="93" spans="1:5" s="420" customFormat="1" ht="15.6" x14ac:dyDescent="0.25">
      <c r="A93" s="421"/>
      <c r="C93" s="352"/>
      <c r="D93" s="422"/>
      <c r="E93" s="422"/>
    </row>
    <row r="94" spans="1:5" s="420" customFormat="1" ht="15.6" x14ac:dyDescent="0.25">
      <c r="A94" s="421"/>
      <c r="C94" s="352"/>
      <c r="D94" s="422"/>
      <c r="E94" s="422"/>
    </row>
    <row r="95" spans="1:5" s="420" customFormat="1" ht="15.6" x14ac:dyDescent="0.25">
      <c r="A95" s="421"/>
      <c r="C95" s="352"/>
      <c r="D95" s="422"/>
      <c r="E95" s="422"/>
    </row>
    <row r="96" spans="1:5" s="420" customFormat="1" ht="15.6" x14ac:dyDescent="0.25">
      <c r="A96" s="421"/>
      <c r="C96" s="352"/>
      <c r="D96" s="422"/>
      <c r="E96" s="422"/>
    </row>
    <row r="97" spans="1:5" s="420" customFormat="1" ht="15.6" x14ac:dyDescent="0.25">
      <c r="A97" s="421"/>
      <c r="C97" s="352"/>
      <c r="D97" s="422"/>
      <c r="E97" s="422"/>
    </row>
    <row r="98" spans="1:5" s="420" customFormat="1" ht="15.6" x14ac:dyDescent="0.25">
      <c r="A98" s="421"/>
      <c r="C98" s="352"/>
      <c r="D98" s="422"/>
      <c r="E98" s="422"/>
    </row>
    <row r="99" spans="1:5" s="420" customFormat="1" ht="15.6" x14ac:dyDescent="0.25">
      <c r="A99" s="421"/>
      <c r="C99" s="352"/>
      <c r="D99" s="422"/>
      <c r="E99" s="422"/>
    </row>
    <row r="100" spans="1:5" s="420" customFormat="1" ht="15.6" x14ac:dyDescent="0.25">
      <c r="A100" s="421"/>
      <c r="C100" s="352"/>
      <c r="D100" s="422"/>
      <c r="E100" s="422"/>
    </row>
    <row r="101" spans="1:5" s="420" customFormat="1" ht="15.6" x14ac:dyDescent="0.25">
      <c r="A101" s="421"/>
      <c r="C101" s="352"/>
      <c r="D101" s="422"/>
      <c r="E101" s="422"/>
    </row>
    <row r="102" spans="1:5" s="420" customFormat="1" ht="15.6" x14ac:dyDescent="0.25">
      <c r="A102" s="421"/>
      <c r="C102" s="352"/>
      <c r="D102" s="422"/>
      <c r="E102" s="422"/>
    </row>
    <row r="103" spans="1:5" s="420" customFormat="1" ht="15.6" x14ac:dyDescent="0.25">
      <c r="A103" s="421"/>
      <c r="C103" s="352"/>
      <c r="D103" s="422"/>
      <c r="E103" s="422"/>
    </row>
    <row r="104" spans="1:5" s="420" customFormat="1" ht="15.6" x14ac:dyDescent="0.25">
      <c r="A104" s="421"/>
      <c r="C104" s="352"/>
      <c r="D104" s="422"/>
      <c r="E104" s="422"/>
    </row>
    <row r="105" spans="1:5" s="420" customFormat="1" ht="15.6" x14ac:dyDescent="0.25">
      <c r="A105" s="421"/>
      <c r="C105" s="352"/>
      <c r="D105" s="422"/>
      <c r="E105" s="422"/>
    </row>
    <row r="106" spans="1:5" s="420" customFormat="1" ht="15.6" x14ac:dyDescent="0.25">
      <c r="A106" s="421"/>
      <c r="C106" s="352"/>
      <c r="D106" s="422"/>
      <c r="E106" s="422"/>
    </row>
    <row r="107" spans="1:5" s="420" customFormat="1" ht="15.6" x14ac:dyDescent="0.25">
      <c r="A107" s="421"/>
      <c r="C107" s="352"/>
      <c r="D107" s="422"/>
      <c r="E107" s="422"/>
    </row>
    <row r="108" spans="1:5" s="420" customFormat="1" ht="15.6" x14ac:dyDescent="0.25">
      <c r="A108" s="421"/>
      <c r="C108" s="352"/>
      <c r="D108" s="422"/>
      <c r="E108" s="422"/>
    </row>
    <row r="109" spans="1:5" s="420" customFormat="1" ht="15.6" x14ac:dyDescent="0.25">
      <c r="A109" s="421"/>
      <c r="C109" s="352"/>
      <c r="D109" s="422"/>
      <c r="E109" s="422"/>
    </row>
    <row r="110" spans="1:5" s="420" customFormat="1" ht="15.6" x14ac:dyDescent="0.25">
      <c r="A110" s="421"/>
      <c r="C110" s="352"/>
      <c r="D110" s="422"/>
      <c r="E110" s="422"/>
    </row>
    <row r="111" spans="1:5" s="420" customFormat="1" ht="15.6" x14ac:dyDescent="0.25">
      <c r="A111" s="421"/>
      <c r="C111" s="352"/>
      <c r="D111" s="422"/>
      <c r="E111" s="422"/>
    </row>
    <row r="112" spans="1:5" s="420" customFormat="1" ht="15.6" x14ac:dyDescent="0.25">
      <c r="A112" s="421"/>
      <c r="C112" s="352"/>
      <c r="D112" s="422"/>
      <c r="E112" s="422"/>
    </row>
    <row r="113" spans="1:5" s="420" customFormat="1" ht="15.6" x14ac:dyDescent="0.25">
      <c r="A113" s="421"/>
      <c r="C113" s="352"/>
      <c r="D113" s="422"/>
      <c r="E113" s="422"/>
    </row>
    <row r="114" spans="1:5" s="420" customFormat="1" ht="15.6" x14ac:dyDescent="0.25">
      <c r="A114" s="421"/>
      <c r="C114" s="352"/>
      <c r="D114" s="422"/>
      <c r="E114" s="422"/>
    </row>
    <row r="115" spans="1:5" s="420" customFormat="1" ht="15.6" x14ac:dyDescent="0.25">
      <c r="A115" s="421"/>
      <c r="C115" s="352"/>
      <c r="D115" s="422"/>
      <c r="E115" s="422"/>
    </row>
    <row r="116" spans="1:5" s="420" customFormat="1" ht="15.6" x14ac:dyDescent="0.25">
      <c r="A116" s="421"/>
      <c r="C116" s="352"/>
      <c r="D116" s="422"/>
      <c r="E116" s="422"/>
    </row>
    <row r="117" spans="1:5" s="420" customFormat="1" ht="15.6" x14ac:dyDescent="0.25">
      <c r="A117" s="421"/>
      <c r="C117" s="352"/>
      <c r="D117" s="422"/>
      <c r="E117" s="422"/>
    </row>
    <row r="118" spans="1:5" s="420" customFormat="1" ht="15.6" x14ac:dyDescent="0.25">
      <c r="A118" s="421"/>
      <c r="C118" s="352"/>
      <c r="D118" s="422"/>
      <c r="E118" s="422"/>
    </row>
    <row r="119" spans="1:5" s="420" customFormat="1" ht="15.6" x14ac:dyDescent="0.25">
      <c r="A119" s="421"/>
      <c r="C119" s="352"/>
      <c r="D119" s="422"/>
      <c r="E119" s="422"/>
    </row>
    <row r="120" spans="1:5" s="420" customFormat="1" ht="15.6" x14ac:dyDescent="0.25">
      <c r="A120" s="421"/>
      <c r="C120" s="352"/>
      <c r="D120" s="422"/>
      <c r="E120" s="422"/>
    </row>
    <row r="121" spans="1:5" s="420" customFormat="1" ht="15.6" x14ac:dyDescent="0.25">
      <c r="A121" s="421"/>
      <c r="C121" s="352"/>
      <c r="D121" s="422"/>
      <c r="E121" s="422"/>
    </row>
    <row r="122" spans="1:5" s="420" customFormat="1" ht="15.6" x14ac:dyDescent="0.25">
      <c r="A122" s="421"/>
      <c r="C122" s="352"/>
      <c r="D122" s="422"/>
      <c r="E122" s="422"/>
    </row>
    <row r="123" spans="1:5" s="420" customFormat="1" ht="15.6" x14ac:dyDescent="0.25">
      <c r="A123" s="421"/>
      <c r="C123" s="352"/>
      <c r="D123" s="422"/>
      <c r="E123" s="422"/>
    </row>
    <row r="124" spans="1:5" s="420" customFormat="1" ht="15.6" x14ac:dyDescent="0.25">
      <c r="A124" s="421"/>
      <c r="C124" s="352"/>
      <c r="D124" s="422"/>
      <c r="E124" s="422"/>
    </row>
    <row r="125" spans="1:5" s="420" customFormat="1" ht="15.6" x14ac:dyDescent="0.25">
      <c r="A125" s="421"/>
      <c r="C125" s="352"/>
      <c r="D125" s="422"/>
      <c r="E125" s="422"/>
    </row>
    <row r="126" spans="1:5" s="420" customFormat="1" ht="15.6" x14ac:dyDescent="0.25">
      <c r="A126" s="421"/>
      <c r="C126" s="352"/>
      <c r="D126" s="422"/>
      <c r="E126" s="422"/>
    </row>
    <row r="127" spans="1:5" s="420" customFormat="1" ht="15.6" x14ac:dyDescent="0.25">
      <c r="A127" s="421"/>
      <c r="C127" s="352"/>
      <c r="D127" s="422"/>
      <c r="E127" s="422"/>
    </row>
    <row r="128" spans="1:5" s="420" customFormat="1" ht="15.6" x14ac:dyDescent="0.25">
      <c r="A128" s="421"/>
      <c r="C128" s="352"/>
      <c r="D128" s="422"/>
      <c r="E128" s="422"/>
    </row>
    <row r="129" spans="1:5" s="420" customFormat="1" ht="15.6" x14ac:dyDescent="0.25">
      <c r="A129" s="421"/>
      <c r="C129" s="352"/>
      <c r="D129" s="422"/>
      <c r="E129" s="422"/>
    </row>
    <row r="130" spans="1:5" s="420" customFormat="1" ht="15.6" x14ac:dyDescent="0.25">
      <c r="A130" s="421"/>
      <c r="C130" s="352"/>
      <c r="D130" s="422"/>
      <c r="E130" s="422"/>
    </row>
    <row r="131" spans="1:5" s="420" customFormat="1" ht="15.6" x14ac:dyDescent="0.25">
      <c r="A131" s="421"/>
      <c r="C131" s="352"/>
      <c r="D131" s="422"/>
      <c r="E131" s="422"/>
    </row>
    <row r="132" spans="1:5" s="420" customFormat="1" ht="15.6" x14ac:dyDescent="0.25">
      <c r="A132" s="421"/>
      <c r="C132" s="352"/>
      <c r="D132" s="422"/>
      <c r="E132" s="422"/>
    </row>
    <row r="133" spans="1:5" s="420" customFormat="1" ht="15.6" x14ac:dyDescent="0.25">
      <c r="A133" s="421"/>
      <c r="C133" s="352"/>
      <c r="D133" s="422"/>
      <c r="E133" s="422"/>
    </row>
    <row r="134" spans="1:5" s="420" customFormat="1" ht="15.6" x14ac:dyDescent="0.25">
      <c r="A134" s="421"/>
      <c r="C134" s="352"/>
      <c r="D134" s="422"/>
      <c r="E134" s="422"/>
    </row>
    <row r="135" spans="1:5" s="420" customFormat="1" ht="15.6" x14ac:dyDescent="0.25">
      <c r="A135" s="421"/>
      <c r="C135" s="352"/>
      <c r="D135" s="422"/>
      <c r="E135" s="422"/>
    </row>
    <row r="136" spans="1:5" s="420" customFormat="1" ht="15.6" x14ac:dyDescent="0.25">
      <c r="A136" s="421"/>
      <c r="C136" s="352"/>
      <c r="D136" s="422"/>
      <c r="E136" s="422"/>
    </row>
    <row r="137" spans="1:5" s="420" customFormat="1" ht="15.6" x14ac:dyDescent="0.25">
      <c r="A137" s="421"/>
      <c r="C137" s="352"/>
      <c r="D137" s="422"/>
      <c r="E137" s="422"/>
    </row>
    <row r="138" spans="1:5" s="420" customFormat="1" ht="15.6" x14ac:dyDescent="0.25">
      <c r="A138" s="421"/>
      <c r="C138" s="352"/>
      <c r="D138" s="422"/>
      <c r="E138" s="422"/>
    </row>
    <row r="139" spans="1:5" s="420" customFormat="1" ht="15.6" x14ac:dyDescent="0.25">
      <c r="A139" s="421"/>
      <c r="C139" s="352"/>
      <c r="D139" s="422"/>
      <c r="E139" s="422"/>
    </row>
    <row r="140" spans="1:5" s="420" customFormat="1" ht="15.6" x14ac:dyDescent="0.25">
      <c r="A140" s="421"/>
      <c r="C140" s="352"/>
      <c r="D140" s="422"/>
      <c r="E140" s="422"/>
    </row>
    <row r="141" spans="1:5" s="420" customFormat="1" ht="15.6" x14ac:dyDescent="0.25">
      <c r="A141" s="421"/>
      <c r="C141" s="352"/>
      <c r="D141" s="422"/>
      <c r="E141" s="422"/>
    </row>
    <row r="142" spans="1:5" s="420" customFormat="1" ht="15.6" x14ac:dyDescent="0.25">
      <c r="A142" s="421"/>
      <c r="C142" s="352"/>
      <c r="D142" s="422"/>
      <c r="E142" s="422"/>
    </row>
    <row r="143" spans="1:5" s="420" customFormat="1" ht="15.6" x14ac:dyDescent="0.25">
      <c r="A143" s="421"/>
      <c r="C143" s="352"/>
      <c r="D143" s="422"/>
      <c r="E143" s="422"/>
    </row>
    <row r="144" spans="1:5" s="420" customFormat="1" ht="15.6" x14ac:dyDescent="0.25">
      <c r="A144" s="421"/>
      <c r="C144" s="352"/>
      <c r="D144" s="422"/>
      <c r="E144" s="422"/>
    </row>
    <row r="145" spans="1:5" s="420" customFormat="1" ht="15.6" x14ac:dyDescent="0.25">
      <c r="A145" s="421"/>
      <c r="C145" s="352"/>
      <c r="D145" s="422"/>
      <c r="E145" s="422"/>
    </row>
    <row r="146" spans="1:5" s="420" customFormat="1" ht="15.6" x14ac:dyDescent="0.25">
      <c r="A146" s="421"/>
      <c r="C146" s="352"/>
      <c r="D146" s="422"/>
      <c r="E146" s="422"/>
    </row>
    <row r="147" spans="1:5" s="420" customFormat="1" ht="15.6" x14ac:dyDescent="0.25">
      <c r="A147" s="421"/>
      <c r="C147" s="352"/>
      <c r="D147" s="422"/>
      <c r="E147" s="422"/>
    </row>
    <row r="148" spans="1:5" s="420" customFormat="1" ht="15.6" x14ac:dyDescent="0.25">
      <c r="A148" s="421"/>
      <c r="C148" s="352"/>
      <c r="D148" s="422"/>
      <c r="E148" s="422"/>
    </row>
    <row r="149" spans="1:5" s="420" customFormat="1" ht="15.6" x14ac:dyDescent="0.25">
      <c r="A149" s="421"/>
      <c r="C149" s="352"/>
      <c r="D149" s="422"/>
      <c r="E149" s="422"/>
    </row>
    <row r="150" spans="1:5" s="420" customFormat="1" ht="15.6" x14ac:dyDescent="0.25">
      <c r="A150" s="421"/>
      <c r="C150" s="352"/>
      <c r="D150" s="422"/>
      <c r="E150" s="422"/>
    </row>
    <row r="151" spans="1:5" s="420" customFormat="1" ht="15.6" x14ac:dyDescent="0.25">
      <c r="A151" s="421"/>
      <c r="C151" s="352"/>
      <c r="D151" s="422"/>
      <c r="E151" s="422"/>
    </row>
    <row r="152" spans="1:5" s="420" customFormat="1" ht="15.6" x14ac:dyDescent="0.25">
      <c r="A152" s="421"/>
      <c r="C152" s="352"/>
      <c r="D152" s="422"/>
      <c r="E152" s="422"/>
    </row>
    <row r="153" spans="1:5" s="420" customFormat="1" ht="15.6" x14ac:dyDescent="0.25">
      <c r="A153" s="421"/>
      <c r="C153" s="352"/>
      <c r="D153" s="422"/>
      <c r="E153" s="422"/>
    </row>
    <row r="154" spans="1:5" s="420" customFormat="1" ht="15.6" x14ac:dyDescent="0.25">
      <c r="A154" s="421"/>
      <c r="C154" s="352"/>
      <c r="D154" s="422"/>
      <c r="E154" s="422"/>
    </row>
    <row r="155" spans="1:5" s="420" customFormat="1" ht="15.6" x14ac:dyDescent="0.25">
      <c r="A155" s="421"/>
      <c r="C155" s="352"/>
      <c r="D155" s="422"/>
      <c r="E155" s="422"/>
    </row>
    <row r="156" spans="1:5" s="420" customFormat="1" ht="15.6" x14ac:dyDescent="0.25">
      <c r="A156" s="421"/>
      <c r="C156" s="352"/>
      <c r="D156" s="422"/>
      <c r="E156" s="422"/>
    </row>
    <row r="157" spans="1:5" s="420" customFormat="1" ht="15.6" x14ac:dyDescent="0.25">
      <c r="A157" s="421"/>
      <c r="C157" s="352"/>
      <c r="D157" s="422"/>
      <c r="E157" s="422"/>
    </row>
    <row r="158" spans="1:5" s="420" customFormat="1" ht="15.6" x14ac:dyDescent="0.25">
      <c r="A158" s="421"/>
      <c r="C158" s="352"/>
      <c r="D158" s="422"/>
      <c r="E158" s="422"/>
    </row>
    <row r="159" spans="1:5" s="420" customFormat="1" ht="15.6" x14ac:dyDescent="0.25">
      <c r="A159" s="421"/>
      <c r="C159" s="352"/>
      <c r="D159" s="422"/>
      <c r="E159" s="422"/>
    </row>
    <row r="160" spans="1:5" s="420" customFormat="1" ht="15.6" x14ac:dyDescent="0.25">
      <c r="A160" s="421"/>
      <c r="C160" s="352"/>
      <c r="D160" s="422"/>
      <c r="E160" s="422"/>
    </row>
    <row r="161" spans="1:5" s="420" customFormat="1" ht="15.6" x14ac:dyDescent="0.25">
      <c r="A161" s="421"/>
      <c r="C161" s="352"/>
      <c r="D161" s="422"/>
      <c r="E161" s="422"/>
    </row>
    <row r="162" spans="1:5" s="420" customFormat="1" ht="15.6" x14ac:dyDescent="0.25">
      <c r="A162" s="421"/>
      <c r="C162" s="352"/>
      <c r="D162" s="422"/>
      <c r="E162" s="422"/>
    </row>
    <row r="163" spans="1:5" s="420" customFormat="1" ht="15.6" x14ac:dyDescent="0.25">
      <c r="A163" s="421"/>
      <c r="C163" s="352"/>
      <c r="D163" s="422"/>
      <c r="E163" s="422"/>
    </row>
    <row r="164" spans="1:5" s="420" customFormat="1" ht="15.6" x14ac:dyDescent="0.25">
      <c r="A164" s="421"/>
      <c r="C164" s="352"/>
      <c r="D164" s="422"/>
      <c r="E164" s="422"/>
    </row>
    <row r="165" spans="1:5" s="420" customFormat="1" ht="15.6" x14ac:dyDescent="0.25">
      <c r="A165" s="421"/>
      <c r="C165" s="352"/>
      <c r="D165" s="422"/>
      <c r="E165" s="422"/>
    </row>
    <row r="166" spans="1:5" s="420" customFormat="1" ht="15.6" x14ac:dyDescent="0.25">
      <c r="A166" s="421"/>
      <c r="C166" s="352"/>
      <c r="D166" s="422"/>
      <c r="E166" s="422"/>
    </row>
    <row r="167" spans="1:5" s="420" customFormat="1" ht="15.6" x14ac:dyDescent="0.25">
      <c r="A167" s="421"/>
      <c r="C167" s="352"/>
      <c r="D167" s="422"/>
      <c r="E167" s="422"/>
    </row>
    <row r="168" spans="1:5" s="420" customFormat="1" ht="15.6" x14ac:dyDescent="0.25">
      <c r="A168" s="421"/>
      <c r="C168" s="352"/>
      <c r="D168" s="422"/>
      <c r="E168" s="422"/>
    </row>
    <row r="169" spans="1:5" s="420" customFormat="1" ht="15.6" x14ac:dyDescent="0.25">
      <c r="A169" s="421"/>
      <c r="C169" s="352"/>
      <c r="D169" s="422"/>
      <c r="E169" s="422"/>
    </row>
    <row r="170" spans="1:5" s="420" customFormat="1" ht="15.6" x14ac:dyDescent="0.25">
      <c r="A170" s="421"/>
      <c r="C170" s="352"/>
      <c r="D170" s="422"/>
      <c r="E170" s="422"/>
    </row>
    <row r="171" spans="1:5" s="420" customFormat="1" ht="15.6" x14ac:dyDescent="0.25">
      <c r="A171" s="421"/>
      <c r="C171" s="352"/>
      <c r="D171" s="422"/>
      <c r="E171" s="422"/>
    </row>
    <row r="172" spans="1:5" s="420" customFormat="1" ht="15.6" x14ac:dyDescent="0.25">
      <c r="A172" s="421"/>
      <c r="C172" s="352"/>
      <c r="D172" s="422"/>
      <c r="E172" s="422"/>
    </row>
    <row r="173" spans="1:5" s="420" customFormat="1" ht="15.6" x14ac:dyDescent="0.25">
      <c r="A173" s="421"/>
      <c r="C173" s="352"/>
      <c r="D173" s="422"/>
      <c r="E173" s="422"/>
    </row>
    <row r="174" spans="1:5" s="420" customFormat="1" ht="15.6" x14ac:dyDescent="0.25">
      <c r="A174" s="421"/>
      <c r="C174" s="352"/>
      <c r="D174" s="422"/>
      <c r="E174" s="422"/>
    </row>
    <row r="175" spans="1:5" s="420" customFormat="1" ht="15.6" x14ac:dyDescent="0.25">
      <c r="A175" s="421"/>
      <c r="C175" s="352"/>
      <c r="D175" s="422"/>
      <c r="E175" s="422"/>
    </row>
    <row r="176" spans="1:5" s="420" customFormat="1" ht="15.6" x14ac:dyDescent="0.25">
      <c r="A176" s="421"/>
      <c r="C176" s="352"/>
      <c r="D176" s="422"/>
      <c r="E176" s="422"/>
    </row>
    <row r="177" spans="1:5" s="420" customFormat="1" ht="15.6" x14ac:dyDescent="0.25">
      <c r="A177" s="421"/>
      <c r="C177" s="352"/>
      <c r="D177" s="422"/>
      <c r="E177" s="422"/>
    </row>
    <row r="178" spans="1:5" s="420" customFormat="1" ht="15.6" x14ac:dyDescent="0.25">
      <c r="A178" s="421"/>
      <c r="C178" s="352"/>
      <c r="D178" s="422"/>
      <c r="E178" s="422"/>
    </row>
    <row r="179" spans="1:5" s="420" customFormat="1" ht="15.6" x14ac:dyDescent="0.25">
      <c r="A179" s="421"/>
      <c r="C179" s="352"/>
      <c r="D179" s="422"/>
      <c r="E179" s="422"/>
    </row>
    <row r="180" spans="1:5" s="420" customFormat="1" ht="15.6" x14ac:dyDescent="0.25">
      <c r="A180" s="421"/>
      <c r="C180" s="352"/>
      <c r="D180" s="422"/>
      <c r="E180" s="422"/>
    </row>
    <row r="181" spans="1:5" s="420" customFormat="1" ht="15.6" x14ac:dyDescent="0.25">
      <c r="A181" s="421"/>
      <c r="C181" s="352"/>
      <c r="D181" s="422"/>
      <c r="E181" s="422"/>
    </row>
    <row r="182" spans="1:5" s="420" customFormat="1" ht="15.6" x14ac:dyDescent="0.25">
      <c r="A182" s="421"/>
      <c r="C182" s="352"/>
      <c r="D182" s="422"/>
      <c r="E182" s="422"/>
    </row>
    <row r="183" spans="1:5" s="420" customFormat="1" ht="15.6" x14ac:dyDescent="0.25">
      <c r="A183" s="421"/>
      <c r="C183" s="352"/>
      <c r="D183" s="422"/>
      <c r="E183" s="422"/>
    </row>
    <row r="184" spans="1:5" s="420" customFormat="1" ht="15.6" x14ac:dyDescent="0.25">
      <c r="A184" s="421"/>
      <c r="C184" s="352"/>
      <c r="D184" s="422"/>
      <c r="E184" s="422"/>
    </row>
    <row r="185" spans="1:5" s="420" customFormat="1" ht="15.6" x14ac:dyDescent="0.25">
      <c r="A185" s="421"/>
      <c r="C185" s="352"/>
      <c r="D185" s="422"/>
      <c r="E185" s="422"/>
    </row>
    <row r="186" spans="1:5" s="420" customFormat="1" ht="15.6" x14ac:dyDescent="0.25">
      <c r="A186" s="421"/>
      <c r="C186" s="352"/>
      <c r="D186" s="422"/>
      <c r="E186" s="422"/>
    </row>
    <row r="187" spans="1:5" s="420" customFormat="1" ht="15.6" x14ac:dyDescent="0.25">
      <c r="A187" s="421"/>
      <c r="C187" s="352"/>
      <c r="D187" s="422"/>
      <c r="E187" s="422"/>
    </row>
    <row r="188" spans="1:5" s="420" customFormat="1" ht="15.6" x14ac:dyDescent="0.25">
      <c r="A188" s="421"/>
      <c r="C188" s="352"/>
      <c r="D188" s="422"/>
      <c r="E188" s="422"/>
    </row>
    <row r="189" spans="1:5" s="420" customFormat="1" ht="15.6" x14ac:dyDescent="0.25">
      <c r="A189" s="421"/>
      <c r="C189" s="352"/>
      <c r="D189" s="422"/>
      <c r="E189" s="422"/>
    </row>
    <row r="190" spans="1:5" s="420" customFormat="1" ht="15.6" x14ac:dyDescent="0.25">
      <c r="A190" s="421"/>
      <c r="C190" s="352"/>
      <c r="D190" s="422"/>
      <c r="E190" s="422"/>
    </row>
    <row r="191" spans="1:5" s="420" customFormat="1" ht="15.6" x14ac:dyDescent="0.25">
      <c r="A191" s="421"/>
      <c r="C191" s="352"/>
      <c r="D191" s="422"/>
      <c r="E191" s="422"/>
    </row>
    <row r="192" spans="1:5" s="420" customFormat="1" ht="15.6" x14ac:dyDescent="0.25">
      <c r="A192" s="421"/>
      <c r="C192" s="352"/>
      <c r="D192" s="422"/>
      <c r="E192" s="422"/>
    </row>
    <row r="193" spans="1:5" s="420" customFormat="1" ht="15.6" x14ac:dyDescent="0.25">
      <c r="A193" s="421"/>
      <c r="C193" s="352"/>
      <c r="D193" s="422"/>
      <c r="E193" s="422"/>
    </row>
    <row r="194" spans="1:5" s="420" customFormat="1" ht="15.6" x14ac:dyDescent="0.25">
      <c r="A194" s="421"/>
      <c r="C194" s="352"/>
      <c r="D194" s="422"/>
      <c r="E194" s="422"/>
    </row>
    <row r="195" spans="1:5" s="420" customFormat="1" ht="15.6" x14ac:dyDescent="0.25">
      <c r="A195" s="421"/>
      <c r="C195" s="352"/>
      <c r="D195" s="422"/>
      <c r="E195" s="422"/>
    </row>
    <row r="196" spans="1:5" s="420" customFormat="1" ht="15.6" x14ac:dyDescent="0.25">
      <c r="A196" s="421"/>
      <c r="C196" s="352"/>
      <c r="D196" s="422"/>
      <c r="E196" s="422"/>
    </row>
    <row r="197" spans="1:5" s="420" customFormat="1" ht="15.6" x14ac:dyDescent="0.25">
      <c r="A197" s="421"/>
      <c r="C197" s="352"/>
      <c r="D197" s="422"/>
      <c r="E197" s="422"/>
    </row>
    <row r="198" spans="1:5" s="420" customFormat="1" ht="15.6" x14ac:dyDescent="0.25">
      <c r="A198" s="421"/>
      <c r="C198" s="352"/>
      <c r="D198" s="422"/>
      <c r="E198" s="422"/>
    </row>
    <row r="199" spans="1:5" s="420" customFormat="1" ht="15.6" x14ac:dyDescent="0.25">
      <c r="A199" s="421"/>
      <c r="C199" s="352"/>
      <c r="D199" s="422"/>
      <c r="E199" s="422"/>
    </row>
    <row r="200" spans="1:5" s="420" customFormat="1" ht="15.6" x14ac:dyDescent="0.25">
      <c r="A200" s="421"/>
      <c r="C200" s="352"/>
      <c r="D200" s="422"/>
      <c r="E200" s="422"/>
    </row>
    <row r="201" spans="1:5" s="420" customFormat="1" ht="15.6" x14ac:dyDescent="0.25">
      <c r="A201" s="421"/>
      <c r="C201" s="352"/>
      <c r="D201" s="422"/>
      <c r="E201" s="422"/>
    </row>
    <row r="202" spans="1:5" s="420" customFormat="1" ht="15.6" x14ac:dyDescent="0.25">
      <c r="A202" s="421"/>
      <c r="C202" s="352"/>
      <c r="D202" s="422"/>
      <c r="E202" s="422"/>
    </row>
    <row r="203" spans="1:5" s="420" customFormat="1" ht="15.6" x14ac:dyDescent="0.25">
      <c r="A203" s="421"/>
      <c r="C203" s="352"/>
      <c r="D203" s="422"/>
      <c r="E203" s="422"/>
    </row>
    <row r="204" spans="1:5" s="420" customFormat="1" ht="15.6" x14ac:dyDescent="0.25">
      <c r="A204" s="421"/>
      <c r="C204" s="352"/>
      <c r="D204" s="422"/>
      <c r="E204" s="422"/>
    </row>
    <row r="205" spans="1:5" s="420" customFormat="1" ht="15.6" x14ac:dyDescent="0.25">
      <c r="A205" s="421"/>
      <c r="C205" s="352"/>
      <c r="D205" s="422"/>
      <c r="E205" s="422"/>
    </row>
    <row r="206" spans="1:5" s="420" customFormat="1" ht="15.6" x14ac:dyDescent="0.25">
      <c r="A206" s="421"/>
      <c r="C206" s="352"/>
      <c r="D206" s="422"/>
      <c r="E206" s="422"/>
    </row>
    <row r="207" spans="1:5" s="420" customFormat="1" ht="15.6" x14ac:dyDescent="0.25">
      <c r="A207" s="421"/>
      <c r="C207" s="352"/>
      <c r="D207" s="422"/>
      <c r="E207" s="422"/>
    </row>
    <row r="208" spans="1:5" s="420" customFormat="1" ht="15.6" x14ac:dyDescent="0.25">
      <c r="A208" s="421"/>
      <c r="C208" s="352"/>
      <c r="D208" s="422"/>
      <c r="E208" s="422"/>
    </row>
    <row r="209" spans="1:5" s="420" customFormat="1" ht="15.6" x14ac:dyDescent="0.25">
      <c r="A209" s="421"/>
      <c r="C209" s="352"/>
      <c r="D209" s="422"/>
      <c r="E209" s="422"/>
    </row>
    <row r="210" spans="1:5" s="420" customFormat="1" ht="15.6" x14ac:dyDescent="0.25">
      <c r="A210" s="421"/>
      <c r="C210" s="352"/>
      <c r="D210" s="422"/>
      <c r="E210" s="422"/>
    </row>
    <row r="211" spans="1:5" s="420" customFormat="1" ht="15.6" x14ac:dyDescent="0.25">
      <c r="A211" s="421"/>
      <c r="C211" s="352"/>
      <c r="D211" s="422"/>
      <c r="E211" s="422"/>
    </row>
    <row r="212" spans="1:5" s="420" customFormat="1" ht="15.6" x14ac:dyDescent="0.25">
      <c r="A212" s="421"/>
      <c r="C212" s="352"/>
      <c r="D212" s="422"/>
      <c r="E212" s="422"/>
    </row>
    <row r="213" spans="1:5" s="420" customFormat="1" ht="15.6" x14ac:dyDescent="0.25">
      <c r="A213" s="421"/>
      <c r="C213" s="352"/>
      <c r="D213" s="422"/>
      <c r="E213" s="422"/>
    </row>
    <row r="214" spans="1:5" s="420" customFormat="1" ht="15.6" x14ac:dyDescent="0.25">
      <c r="A214" s="421"/>
      <c r="C214" s="352"/>
      <c r="D214" s="422"/>
      <c r="E214" s="422"/>
    </row>
    <row r="215" spans="1:5" s="420" customFormat="1" ht="15.6" x14ac:dyDescent="0.25">
      <c r="A215" s="421"/>
      <c r="C215" s="352"/>
      <c r="D215" s="422"/>
      <c r="E215" s="422"/>
    </row>
    <row r="216" spans="1:5" s="420" customFormat="1" ht="15.6" x14ac:dyDescent="0.25">
      <c r="A216" s="421"/>
      <c r="C216" s="352"/>
      <c r="D216" s="422"/>
      <c r="E216" s="422"/>
    </row>
    <row r="217" spans="1:5" s="420" customFormat="1" ht="15.6" x14ac:dyDescent="0.25">
      <c r="A217" s="421"/>
      <c r="C217" s="352"/>
      <c r="D217" s="422"/>
      <c r="E217" s="422"/>
    </row>
    <row r="218" spans="1:5" s="420" customFormat="1" ht="15.6" x14ac:dyDescent="0.25">
      <c r="A218" s="421"/>
      <c r="C218" s="352"/>
      <c r="D218" s="422"/>
      <c r="E218" s="422"/>
    </row>
    <row r="219" spans="1:5" s="420" customFormat="1" ht="15.6" x14ac:dyDescent="0.25">
      <c r="A219" s="421"/>
      <c r="C219" s="352"/>
      <c r="D219" s="422"/>
      <c r="E219" s="422"/>
    </row>
    <row r="220" spans="1:5" s="420" customFormat="1" ht="15.6" x14ac:dyDescent="0.25">
      <c r="A220" s="421"/>
      <c r="C220" s="352"/>
      <c r="D220" s="422"/>
      <c r="E220" s="422"/>
    </row>
    <row r="221" spans="1:5" s="420" customFormat="1" ht="15.6" x14ac:dyDescent="0.25">
      <c r="A221" s="421"/>
      <c r="C221" s="352"/>
      <c r="D221" s="422"/>
      <c r="E221" s="422"/>
    </row>
    <row r="222" spans="1:5" s="420" customFormat="1" ht="15.6" x14ac:dyDescent="0.25">
      <c r="A222" s="421"/>
      <c r="C222" s="352"/>
      <c r="D222" s="422"/>
      <c r="E222" s="422"/>
    </row>
    <row r="223" spans="1:5" s="420" customFormat="1" ht="15.6" x14ac:dyDescent="0.25">
      <c r="A223" s="421"/>
      <c r="C223" s="352"/>
      <c r="D223" s="422"/>
      <c r="E223" s="422"/>
    </row>
    <row r="224" spans="1:5" s="420" customFormat="1" ht="15.6" x14ac:dyDescent="0.25">
      <c r="A224" s="421"/>
      <c r="C224" s="352"/>
      <c r="D224" s="422"/>
      <c r="E224" s="422"/>
    </row>
    <row r="225" spans="1:5" s="420" customFormat="1" ht="15.6" x14ac:dyDescent="0.25">
      <c r="A225" s="421"/>
      <c r="C225" s="352"/>
      <c r="D225" s="422"/>
      <c r="E225" s="422"/>
    </row>
    <row r="226" spans="1:5" s="420" customFormat="1" ht="15.6" x14ac:dyDescent="0.25">
      <c r="A226" s="421"/>
      <c r="C226" s="352"/>
      <c r="D226" s="422"/>
      <c r="E226" s="422"/>
    </row>
    <row r="227" spans="1:5" s="420" customFormat="1" ht="15.6" x14ac:dyDescent="0.25">
      <c r="A227" s="421"/>
      <c r="C227" s="352"/>
      <c r="D227" s="422"/>
      <c r="E227" s="422"/>
    </row>
    <row r="228" spans="1:5" s="420" customFormat="1" ht="15.6" x14ac:dyDescent="0.25">
      <c r="A228" s="421"/>
      <c r="C228" s="352"/>
      <c r="D228" s="422"/>
      <c r="E228" s="422"/>
    </row>
    <row r="229" spans="1:5" s="420" customFormat="1" ht="15.6" x14ac:dyDescent="0.25">
      <c r="A229" s="421"/>
      <c r="C229" s="352"/>
      <c r="D229" s="422"/>
      <c r="E229" s="422"/>
    </row>
    <row r="230" spans="1:5" s="420" customFormat="1" ht="15.6" x14ac:dyDescent="0.25">
      <c r="A230" s="421"/>
      <c r="C230" s="352"/>
      <c r="D230" s="422"/>
      <c r="E230" s="422"/>
    </row>
    <row r="231" spans="1:5" s="420" customFormat="1" ht="15.6" x14ac:dyDescent="0.25">
      <c r="A231" s="421"/>
      <c r="C231" s="352"/>
      <c r="D231" s="422"/>
      <c r="E231" s="422"/>
    </row>
    <row r="232" spans="1:5" s="420" customFormat="1" ht="15.6" x14ac:dyDescent="0.25">
      <c r="A232" s="421"/>
      <c r="C232" s="352"/>
      <c r="D232" s="422"/>
      <c r="E232" s="422"/>
    </row>
    <row r="233" spans="1:5" s="420" customFormat="1" ht="15.6" x14ac:dyDescent="0.25">
      <c r="A233" s="421"/>
      <c r="C233" s="352"/>
      <c r="D233" s="422"/>
      <c r="E233" s="422"/>
    </row>
    <row r="234" spans="1:5" s="420" customFormat="1" ht="15.6" x14ac:dyDescent="0.25">
      <c r="A234" s="421"/>
      <c r="C234" s="352"/>
      <c r="D234" s="422"/>
      <c r="E234" s="422"/>
    </row>
    <row r="235" spans="1:5" s="420" customFormat="1" ht="15.6" x14ac:dyDescent="0.25">
      <c r="A235" s="421"/>
      <c r="C235" s="352"/>
      <c r="D235" s="422"/>
      <c r="E235" s="422"/>
    </row>
    <row r="236" spans="1:5" s="420" customFormat="1" ht="15.6" x14ac:dyDescent="0.25">
      <c r="A236" s="421"/>
      <c r="C236" s="352"/>
      <c r="D236" s="422"/>
      <c r="E236" s="422"/>
    </row>
    <row r="237" spans="1:5" s="420" customFormat="1" ht="15.6" x14ac:dyDescent="0.25">
      <c r="A237" s="421"/>
      <c r="C237" s="352"/>
      <c r="D237" s="422"/>
      <c r="E237" s="422"/>
    </row>
    <row r="238" spans="1:5" s="420" customFormat="1" ht="15.6" x14ac:dyDescent="0.25">
      <c r="A238" s="421"/>
      <c r="C238" s="352"/>
      <c r="D238" s="422"/>
      <c r="E238" s="422"/>
    </row>
    <row r="239" spans="1:5" s="420" customFormat="1" ht="15.6" x14ac:dyDescent="0.25">
      <c r="A239" s="421"/>
      <c r="C239" s="352"/>
      <c r="D239" s="422"/>
      <c r="E239" s="422"/>
    </row>
    <row r="240" spans="1:5" s="420" customFormat="1" ht="15.6" x14ac:dyDescent="0.25">
      <c r="A240" s="421"/>
      <c r="C240" s="352"/>
      <c r="D240" s="422"/>
      <c r="E240" s="422"/>
    </row>
    <row r="241" spans="1:5" s="420" customFormat="1" ht="15.6" x14ac:dyDescent="0.25">
      <c r="A241" s="421"/>
      <c r="C241" s="352"/>
      <c r="D241" s="422"/>
      <c r="E241" s="422"/>
    </row>
    <row r="242" spans="1:5" s="420" customFormat="1" ht="15.6" x14ac:dyDescent="0.25">
      <c r="A242" s="421"/>
      <c r="C242" s="352"/>
      <c r="D242" s="422"/>
      <c r="E242" s="422"/>
    </row>
    <row r="243" spans="1:5" s="420" customFormat="1" ht="15.6" x14ac:dyDescent="0.25">
      <c r="A243" s="421"/>
      <c r="C243" s="352"/>
      <c r="D243" s="422"/>
      <c r="E243" s="422"/>
    </row>
    <row r="244" spans="1:5" s="420" customFormat="1" ht="15.6" x14ac:dyDescent="0.25">
      <c r="A244" s="421"/>
      <c r="C244" s="352"/>
      <c r="D244" s="422"/>
      <c r="E244" s="422"/>
    </row>
    <row r="245" spans="1:5" s="420" customFormat="1" ht="15.6" x14ac:dyDescent="0.25">
      <c r="A245" s="421"/>
      <c r="C245" s="352"/>
      <c r="D245" s="422"/>
      <c r="E245" s="422"/>
    </row>
    <row r="246" spans="1:5" s="420" customFormat="1" ht="15.6" x14ac:dyDescent="0.25">
      <c r="A246" s="421"/>
      <c r="C246" s="352"/>
      <c r="D246" s="422"/>
      <c r="E246" s="422"/>
    </row>
    <row r="247" spans="1:5" s="420" customFormat="1" ht="15.6" x14ac:dyDescent="0.25">
      <c r="A247" s="421"/>
      <c r="C247" s="352"/>
      <c r="D247" s="422"/>
      <c r="E247" s="422"/>
    </row>
    <row r="248" spans="1:5" s="420" customFormat="1" ht="15.6" x14ac:dyDescent="0.25">
      <c r="A248" s="421"/>
      <c r="C248" s="352"/>
      <c r="D248" s="422"/>
      <c r="E248" s="422"/>
    </row>
    <row r="249" spans="1:5" s="420" customFormat="1" ht="15.6" x14ac:dyDescent="0.25">
      <c r="A249" s="421"/>
      <c r="C249" s="352"/>
      <c r="D249" s="422"/>
      <c r="E249" s="422"/>
    </row>
    <row r="250" spans="1:5" s="420" customFormat="1" ht="15.6" x14ac:dyDescent="0.25">
      <c r="A250" s="421"/>
      <c r="C250" s="352"/>
      <c r="D250" s="422"/>
      <c r="E250" s="422"/>
    </row>
    <row r="251" spans="1:5" s="420" customFormat="1" ht="15.6" x14ac:dyDescent="0.25">
      <c r="A251" s="421"/>
      <c r="C251" s="352"/>
      <c r="D251" s="422"/>
      <c r="E251" s="422"/>
    </row>
    <row r="252" spans="1:5" s="420" customFormat="1" ht="15.6" x14ac:dyDescent="0.25">
      <c r="A252" s="421"/>
      <c r="C252" s="352"/>
      <c r="D252" s="422"/>
      <c r="E252" s="422"/>
    </row>
    <row r="253" spans="1:5" s="420" customFormat="1" ht="15.6" x14ac:dyDescent="0.25">
      <c r="A253" s="421"/>
      <c r="C253" s="352"/>
      <c r="D253" s="422"/>
      <c r="E253" s="422"/>
    </row>
    <row r="254" spans="1:5" s="420" customFormat="1" ht="15.6" x14ac:dyDescent="0.25">
      <c r="A254" s="421"/>
      <c r="C254" s="352"/>
      <c r="D254" s="422"/>
      <c r="E254" s="422"/>
    </row>
    <row r="255" spans="1:5" s="420" customFormat="1" ht="15.6" x14ac:dyDescent="0.25">
      <c r="A255" s="421"/>
      <c r="C255" s="352"/>
      <c r="D255" s="422"/>
      <c r="E255" s="422"/>
    </row>
    <row r="256" spans="1:5" s="420" customFormat="1" ht="15.6" x14ac:dyDescent="0.25">
      <c r="A256" s="421"/>
      <c r="C256" s="352"/>
      <c r="D256" s="422"/>
      <c r="E256" s="422"/>
    </row>
    <row r="257" spans="1:5" s="420" customFormat="1" ht="15.6" x14ac:dyDescent="0.25">
      <c r="A257" s="421"/>
      <c r="C257" s="352"/>
      <c r="D257" s="422"/>
      <c r="E257" s="422"/>
    </row>
    <row r="258" spans="1:5" s="420" customFormat="1" ht="15.6" x14ac:dyDescent="0.25">
      <c r="A258" s="421"/>
      <c r="C258" s="352"/>
      <c r="D258" s="422"/>
      <c r="E258" s="422"/>
    </row>
    <row r="259" spans="1:5" s="420" customFormat="1" ht="15.6" x14ac:dyDescent="0.25">
      <c r="A259" s="421"/>
      <c r="C259" s="352"/>
      <c r="D259" s="422"/>
      <c r="E259" s="422"/>
    </row>
    <row r="260" spans="1:5" s="420" customFormat="1" ht="15.6" x14ac:dyDescent="0.25">
      <c r="A260" s="421"/>
      <c r="C260" s="352"/>
      <c r="D260" s="422"/>
      <c r="E260" s="422"/>
    </row>
    <row r="261" spans="1:5" s="420" customFormat="1" ht="15.6" x14ac:dyDescent="0.25">
      <c r="A261" s="421"/>
      <c r="C261" s="352"/>
      <c r="D261" s="422"/>
      <c r="E261" s="422"/>
    </row>
    <row r="262" spans="1:5" s="420" customFormat="1" ht="15.6" x14ac:dyDescent="0.25">
      <c r="A262" s="421"/>
      <c r="C262" s="352"/>
      <c r="D262" s="422"/>
      <c r="E262" s="422"/>
    </row>
    <row r="263" spans="1:5" s="420" customFormat="1" ht="15.6" x14ac:dyDescent="0.25">
      <c r="A263" s="421"/>
      <c r="C263" s="352"/>
      <c r="D263" s="422"/>
      <c r="E263" s="422"/>
    </row>
    <row r="264" spans="1:5" s="420" customFormat="1" ht="15.6" x14ac:dyDescent="0.25">
      <c r="A264" s="421"/>
      <c r="C264" s="352"/>
      <c r="D264" s="422"/>
      <c r="E264" s="422"/>
    </row>
    <row r="265" spans="1:5" s="420" customFormat="1" ht="15.6" x14ac:dyDescent="0.25">
      <c r="A265" s="421"/>
      <c r="C265" s="352"/>
      <c r="D265" s="422"/>
      <c r="E265" s="422"/>
    </row>
    <row r="266" spans="1:5" s="420" customFormat="1" ht="15.6" x14ac:dyDescent="0.25">
      <c r="A266" s="421"/>
      <c r="C266" s="352"/>
      <c r="D266" s="422"/>
      <c r="E266" s="422"/>
    </row>
    <row r="267" spans="1:5" s="420" customFormat="1" ht="15.6" x14ac:dyDescent="0.25">
      <c r="A267" s="421"/>
      <c r="C267" s="352"/>
      <c r="D267" s="422"/>
      <c r="E267" s="422"/>
    </row>
    <row r="268" spans="1:5" s="420" customFormat="1" ht="15.6" x14ac:dyDescent="0.25">
      <c r="A268" s="421"/>
      <c r="C268" s="352"/>
      <c r="D268" s="422"/>
      <c r="E268" s="422"/>
    </row>
    <row r="269" spans="1:5" s="420" customFormat="1" ht="15.6" x14ac:dyDescent="0.25">
      <c r="A269" s="421"/>
      <c r="C269" s="352"/>
      <c r="D269" s="422"/>
      <c r="E269" s="422"/>
    </row>
    <row r="270" spans="1:5" s="420" customFormat="1" ht="15.6" x14ac:dyDescent="0.25">
      <c r="A270" s="421"/>
      <c r="C270" s="352"/>
      <c r="D270" s="422"/>
      <c r="E270" s="422"/>
    </row>
    <row r="271" spans="1:5" s="420" customFormat="1" ht="15.6" x14ac:dyDescent="0.25">
      <c r="A271" s="421"/>
      <c r="C271" s="352"/>
      <c r="D271" s="422"/>
      <c r="E271" s="422"/>
    </row>
    <row r="272" spans="1:5" s="420" customFormat="1" ht="15.6" x14ac:dyDescent="0.25">
      <c r="A272" s="421"/>
      <c r="C272" s="352"/>
      <c r="D272" s="422"/>
      <c r="E272" s="422"/>
    </row>
    <row r="273" spans="1:5" s="420" customFormat="1" ht="15.6" x14ac:dyDescent="0.25">
      <c r="A273" s="421"/>
      <c r="C273" s="352"/>
      <c r="D273" s="422"/>
      <c r="E273" s="422"/>
    </row>
    <row r="274" spans="1:5" s="420" customFormat="1" ht="15.6" x14ac:dyDescent="0.25">
      <c r="A274" s="421"/>
      <c r="C274" s="352"/>
      <c r="D274" s="422"/>
      <c r="E274" s="422"/>
    </row>
    <row r="275" spans="1:5" s="420" customFormat="1" ht="15.6" x14ac:dyDescent="0.25">
      <c r="A275" s="421"/>
      <c r="C275" s="352"/>
      <c r="D275" s="422"/>
      <c r="E275" s="422"/>
    </row>
    <row r="276" spans="1:5" s="420" customFormat="1" ht="15.6" x14ac:dyDescent="0.25">
      <c r="A276" s="421"/>
      <c r="C276" s="352"/>
      <c r="D276" s="422"/>
      <c r="E276" s="422"/>
    </row>
    <row r="277" spans="1:5" s="420" customFormat="1" ht="15.6" x14ac:dyDescent="0.25">
      <c r="A277" s="421"/>
      <c r="C277" s="352"/>
      <c r="D277" s="422"/>
      <c r="E277" s="422"/>
    </row>
    <row r="278" spans="1:5" s="420" customFormat="1" ht="15.6" x14ac:dyDescent="0.25">
      <c r="A278" s="421"/>
      <c r="C278" s="352"/>
      <c r="D278" s="422"/>
      <c r="E278" s="422"/>
    </row>
    <row r="279" spans="1:5" s="420" customFormat="1" ht="15.6" x14ac:dyDescent="0.25">
      <c r="A279" s="421"/>
      <c r="C279" s="352"/>
      <c r="D279" s="422"/>
      <c r="E279" s="422"/>
    </row>
    <row r="280" spans="1:5" s="420" customFormat="1" ht="15.6" x14ac:dyDescent="0.25">
      <c r="A280" s="421"/>
      <c r="C280" s="352"/>
      <c r="D280" s="422"/>
      <c r="E280" s="422"/>
    </row>
    <row r="281" spans="1:5" s="420" customFormat="1" ht="15.6" x14ac:dyDescent="0.25">
      <c r="A281" s="421"/>
      <c r="C281" s="352"/>
      <c r="D281" s="422"/>
      <c r="E281" s="422"/>
    </row>
    <row r="282" spans="1:5" s="420" customFormat="1" ht="15.6" x14ac:dyDescent="0.25">
      <c r="A282" s="421"/>
      <c r="C282" s="352"/>
      <c r="D282" s="422"/>
      <c r="E282" s="422"/>
    </row>
    <row r="283" spans="1:5" s="420" customFormat="1" ht="15.6" x14ac:dyDescent="0.25">
      <c r="A283" s="421"/>
      <c r="C283" s="352"/>
      <c r="D283" s="422"/>
      <c r="E283" s="422"/>
    </row>
    <row r="284" spans="1:5" s="420" customFormat="1" ht="15.6" x14ac:dyDescent="0.25">
      <c r="A284" s="421"/>
      <c r="C284" s="352"/>
      <c r="D284" s="422"/>
      <c r="E284" s="422"/>
    </row>
    <row r="285" spans="1:5" s="420" customFormat="1" ht="15.6" x14ac:dyDescent="0.25">
      <c r="A285" s="421"/>
      <c r="C285" s="352"/>
      <c r="D285" s="422"/>
      <c r="E285" s="422"/>
    </row>
    <row r="286" spans="1:5" s="420" customFormat="1" ht="15.6" x14ac:dyDescent="0.25">
      <c r="A286" s="421"/>
      <c r="C286" s="352"/>
      <c r="D286" s="422"/>
      <c r="E286" s="422"/>
    </row>
    <row r="287" spans="1:5" s="420" customFormat="1" ht="15.6" x14ac:dyDescent="0.25">
      <c r="A287" s="421"/>
      <c r="C287" s="352"/>
      <c r="D287" s="422"/>
      <c r="E287" s="422"/>
    </row>
    <row r="288" spans="1:5" s="420" customFormat="1" ht="15.6" x14ac:dyDescent="0.25">
      <c r="A288" s="421"/>
      <c r="C288" s="352"/>
      <c r="D288" s="422"/>
      <c r="E288" s="422"/>
    </row>
    <row r="289" spans="1:5" s="420" customFormat="1" ht="15.6" x14ac:dyDescent="0.25">
      <c r="A289" s="421"/>
      <c r="C289" s="352"/>
      <c r="D289" s="422"/>
      <c r="E289" s="422"/>
    </row>
    <row r="290" spans="1:5" s="420" customFormat="1" ht="15.6" x14ac:dyDescent="0.25">
      <c r="A290" s="421"/>
      <c r="C290" s="352"/>
      <c r="D290" s="422"/>
      <c r="E290" s="422"/>
    </row>
    <row r="291" spans="1:5" s="420" customFormat="1" ht="15.6" x14ac:dyDescent="0.25">
      <c r="A291" s="421"/>
      <c r="C291" s="352"/>
      <c r="D291" s="422"/>
      <c r="E291" s="422"/>
    </row>
    <row r="292" spans="1:5" s="420" customFormat="1" ht="15.6" x14ac:dyDescent="0.25">
      <c r="A292" s="421"/>
      <c r="C292" s="352"/>
      <c r="D292" s="422"/>
      <c r="E292" s="422"/>
    </row>
    <row r="293" spans="1:5" s="420" customFormat="1" ht="15.6" x14ac:dyDescent="0.25">
      <c r="A293" s="421"/>
      <c r="C293" s="352"/>
      <c r="D293" s="422"/>
      <c r="E293" s="422"/>
    </row>
    <row r="294" spans="1:5" s="420" customFormat="1" ht="15.6" x14ac:dyDescent="0.25">
      <c r="A294" s="421"/>
      <c r="C294" s="352"/>
      <c r="D294" s="422"/>
      <c r="E294" s="422"/>
    </row>
    <row r="295" spans="1:5" s="420" customFormat="1" ht="15.6" x14ac:dyDescent="0.25">
      <c r="A295" s="421"/>
      <c r="C295" s="352"/>
      <c r="D295" s="422"/>
      <c r="E295" s="422"/>
    </row>
    <row r="296" spans="1:5" s="420" customFormat="1" ht="15.6" x14ac:dyDescent="0.25">
      <c r="A296" s="421"/>
      <c r="C296" s="352"/>
      <c r="D296" s="422"/>
      <c r="E296" s="422"/>
    </row>
    <row r="297" spans="1:5" s="420" customFormat="1" ht="15.6" x14ac:dyDescent="0.25">
      <c r="A297" s="421"/>
      <c r="C297" s="352"/>
      <c r="D297" s="422"/>
      <c r="E297" s="422"/>
    </row>
    <row r="298" spans="1:5" s="420" customFormat="1" ht="15.6" x14ac:dyDescent="0.25">
      <c r="A298" s="421"/>
      <c r="C298" s="352"/>
      <c r="D298" s="422"/>
      <c r="E298" s="422"/>
    </row>
    <row r="299" spans="1:5" s="420" customFormat="1" ht="15.6" x14ac:dyDescent="0.25">
      <c r="A299" s="421"/>
      <c r="C299" s="352"/>
      <c r="D299" s="422"/>
      <c r="E299" s="422"/>
    </row>
    <row r="300" spans="1:5" s="420" customFormat="1" ht="15.6" x14ac:dyDescent="0.25">
      <c r="A300" s="421"/>
      <c r="C300" s="352"/>
      <c r="D300" s="422"/>
      <c r="E300" s="422"/>
    </row>
    <row r="301" spans="1:5" s="420" customFormat="1" ht="15.6" x14ac:dyDescent="0.25">
      <c r="A301" s="421"/>
      <c r="C301" s="352"/>
      <c r="D301" s="422"/>
      <c r="E301" s="422"/>
    </row>
    <row r="302" spans="1:5" s="420" customFormat="1" ht="15.6" x14ac:dyDescent="0.25">
      <c r="A302" s="421"/>
      <c r="C302" s="352"/>
      <c r="D302" s="422"/>
      <c r="E302" s="422"/>
    </row>
    <row r="303" spans="1:5" s="420" customFormat="1" ht="15.6" x14ac:dyDescent="0.25">
      <c r="A303" s="421"/>
      <c r="C303" s="352"/>
      <c r="D303" s="422"/>
      <c r="E303" s="422"/>
    </row>
    <row r="304" spans="1:5" s="420" customFormat="1" ht="15.6" x14ac:dyDescent="0.25">
      <c r="A304" s="421"/>
      <c r="C304" s="352"/>
      <c r="D304" s="422"/>
      <c r="E304" s="422"/>
    </row>
    <row r="305" spans="1:5" s="420" customFormat="1" ht="15.6" x14ac:dyDescent="0.25">
      <c r="A305" s="421"/>
      <c r="C305" s="352"/>
      <c r="D305" s="422"/>
      <c r="E305" s="422"/>
    </row>
    <row r="306" spans="1:5" s="420" customFormat="1" ht="15.6" x14ac:dyDescent="0.25">
      <c r="A306" s="421"/>
      <c r="C306" s="352"/>
      <c r="D306" s="422"/>
      <c r="E306" s="422"/>
    </row>
    <row r="307" spans="1:5" s="420" customFormat="1" ht="15.6" x14ac:dyDescent="0.25">
      <c r="A307" s="421"/>
      <c r="C307" s="352"/>
      <c r="D307" s="422"/>
      <c r="E307" s="422"/>
    </row>
    <row r="308" spans="1:5" s="420" customFormat="1" ht="15.6" x14ac:dyDescent="0.25">
      <c r="A308" s="421"/>
      <c r="C308" s="352"/>
      <c r="D308" s="422"/>
      <c r="E308" s="422"/>
    </row>
    <row r="309" spans="1:5" s="420" customFormat="1" ht="15.6" x14ac:dyDescent="0.25">
      <c r="A309" s="421"/>
      <c r="C309" s="352"/>
      <c r="D309" s="422"/>
      <c r="E309" s="422"/>
    </row>
    <row r="310" spans="1:5" s="420" customFormat="1" ht="15.6" x14ac:dyDescent="0.25">
      <c r="A310" s="421"/>
      <c r="C310" s="352"/>
      <c r="D310" s="422"/>
      <c r="E310" s="422"/>
    </row>
    <row r="311" spans="1:5" s="420" customFormat="1" ht="15.6" x14ac:dyDescent="0.25">
      <c r="A311" s="421"/>
      <c r="C311" s="352"/>
      <c r="D311" s="422"/>
      <c r="E311" s="422"/>
    </row>
    <row r="312" spans="1:5" s="420" customFormat="1" ht="15.6" x14ac:dyDescent="0.25">
      <c r="A312" s="421"/>
      <c r="C312" s="352"/>
      <c r="D312" s="422"/>
      <c r="E312" s="422"/>
    </row>
    <row r="313" spans="1:5" s="420" customFormat="1" ht="15.6" x14ac:dyDescent="0.25">
      <c r="A313" s="421"/>
      <c r="C313" s="352"/>
      <c r="D313" s="422"/>
      <c r="E313" s="422"/>
    </row>
    <row r="314" spans="1:5" s="420" customFormat="1" ht="15.6" x14ac:dyDescent="0.25">
      <c r="A314" s="421"/>
      <c r="C314" s="352"/>
      <c r="D314" s="422"/>
      <c r="E314" s="422"/>
    </row>
    <row r="315" spans="1:5" s="420" customFormat="1" ht="15.6" x14ac:dyDescent="0.25">
      <c r="A315" s="421"/>
      <c r="C315" s="352"/>
      <c r="D315" s="422"/>
      <c r="E315" s="422"/>
    </row>
    <row r="316" spans="1:5" s="420" customFormat="1" ht="15.6" x14ac:dyDescent="0.25">
      <c r="A316" s="421"/>
      <c r="C316" s="352"/>
      <c r="D316" s="422"/>
      <c r="E316" s="422"/>
    </row>
    <row r="317" spans="1:5" s="420" customFormat="1" ht="15.6" x14ac:dyDescent="0.25">
      <c r="A317" s="421"/>
      <c r="C317" s="352"/>
      <c r="D317" s="422"/>
      <c r="E317" s="422"/>
    </row>
    <row r="318" spans="1:5" s="420" customFormat="1" ht="15.6" x14ac:dyDescent="0.25">
      <c r="A318" s="421"/>
      <c r="C318" s="352"/>
      <c r="D318" s="422"/>
      <c r="E318" s="422"/>
    </row>
    <row r="319" spans="1:5" s="420" customFormat="1" ht="15.6" x14ac:dyDescent="0.25">
      <c r="A319" s="421"/>
      <c r="C319" s="352"/>
      <c r="D319" s="422"/>
      <c r="E319" s="422"/>
    </row>
    <row r="320" spans="1:5" s="420" customFormat="1" ht="15.6" x14ac:dyDescent="0.25">
      <c r="A320" s="421"/>
      <c r="C320" s="352"/>
      <c r="D320" s="422"/>
      <c r="E320" s="422"/>
    </row>
    <row r="321" spans="1:5" s="420" customFormat="1" ht="15.6" x14ac:dyDescent="0.25">
      <c r="A321" s="421"/>
      <c r="C321" s="352"/>
      <c r="D321" s="422"/>
      <c r="E321" s="422"/>
    </row>
    <row r="322" spans="1:5" s="420" customFormat="1" ht="15.6" x14ac:dyDescent="0.25">
      <c r="A322" s="421"/>
      <c r="C322" s="352"/>
      <c r="D322" s="422"/>
      <c r="E322" s="422"/>
    </row>
    <row r="323" spans="1:5" s="420" customFormat="1" ht="15.6" x14ac:dyDescent="0.25">
      <c r="A323" s="421"/>
      <c r="C323" s="352"/>
      <c r="D323" s="422"/>
      <c r="E323" s="422"/>
    </row>
    <row r="324" spans="1:5" s="420" customFormat="1" ht="15.6" x14ac:dyDescent="0.25">
      <c r="A324" s="421"/>
      <c r="C324" s="352"/>
      <c r="D324" s="422"/>
      <c r="E324" s="422"/>
    </row>
    <row r="325" spans="1:5" s="420" customFormat="1" ht="15.6" x14ac:dyDescent="0.25">
      <c r="A325" s="421"/>
      <c r="C325" s="352"/>
      <c r="D325" s="422"/>
      <c r="E325" s="422"/>
    </row>
    <row r="326" spans="1:5" s="420" customFormat="1" ht="15.6" x14ac:dyDescent="0.25">
      <c r="A326" s="421"/>
      <c r="C326" s="352"/>
      <c r="D326" s="422"/>
      <c r="E326" s="422"/>
    </row>
    <row r="327" spans="1:5" s="420" customFormat="1" ht="15.6" x14ac:dyDescent="0.25">
      <c r="A327" s="421"/>
      <c r="C327" s="352"/>
      <c r="D327" s="422"/>
      <c r="E327" s="422"/>
    </row>
    <row r="328" spans="1:5" s="420" customFormat="1" ht="15.6" x14ac:dyDescent="0.25">
      <c r="A328" s="421"/>
      <c r="C328" s="352"/>
      <c r="D328" s="422"/>
      <c r="E328" s="422"/>
    </row>
    <row r="329" spans="1:5" s="420" customFormat="1" ht="15.6" x14ac:dyDescent="0.25">
      <c r="A329" s="421"/>
      <c r="C329" s="352"/>
      <c r="D329" s="422"/>
      <c r="E329" s="422"/>
    </row>
    <row r="330" spans="1:5" s="420" customFormat="1" ht="15.6" x14ac:dyDescent="0.25">
      <c r="A330" s="421"/>
      <c r="C330" s="352"/>
      <c r="D330" s="422"/>
      <c r="E330" s="422"/>
    </row>
    <row r="331" spans="1:5" s="420" customFormat="1" ht="15.6" x14ac:dyDescent="0.25">
      <c r="A331" s="421"/>
      <c r="C331" s="352"/>
      <c r="D331" s="422"/>
      <c r="E331" s="422"/>
    </row>
    <row r="332" spans="1:5" s="420" customFormat="1" ht="15.6" x14ac:dyDescent="0.25">
      <c r="A332" s="421"/>
      <c r="C332" s="352"/>
      <c r="D332" s="422"/>
      <c r="E332" s="422"/>
    </row>
    <row r="333" spans="1:5" s="420" customFormat="1" ht="15.6" x14ac:dyDescent="0.25">
      <c r="A333" s="421"/>
      <c r="C333" s="352"/>
      <c r="D333" s="422"/>
      <c r="E333" s="422"/>
    </row>
    <row r="334" spans="1:5" s="420" customFormat="1" ht="15.6" x14ac:dyDescent="0.25">
      <c r="A334" s="421"/>
      <c r="C334" s="352"/>
      <c r="D334" s="422"/>
      <c r="E334" s="422"/>
    </row>
    <row r="335" spans="1:5" s="420" customFormat="1" ht="15.6" x14ac:dyDescent="0.25">
      <c r="A335" s="421"/>
      <c r="C335" s="352"/>
      <c r="D335" s="422"/>
      <c r="E335" s="422"/>
    </row>
    <row r="336" spans="1:5" s="420" customFormat="1" ht="15.6" x14ac:dyDescent="0.25">
      <c r="A336" s="421"/>
      <c r="C336" s="352"/>
      <c r="D336" s="422"/>
      <c r="E336" s="422"/>
    </row>
    <row r="337" spans="1:5" s="420" customFormat="1" ht="15.6" x14ac:dyDescent="0.25">
      <c r="A337" s="421"/>
      <c r="C337" s="352"/>
      <c r="D337" s="422"/>
      <c r="E337" s="422"/>
    </row>
    <row r="338" spans="1:5" s="420" customFormat="1" ht="15.6" x14ac:dyDescent="0.25">
      <c r="A338" s="421"/>
      <c r="C338" s="352"/>
      <c r="D338" s="422"/>
      <c r="E338" s="422"/>
    </row>
    <row r="339" spans="1:5" s="420" customFormat="1" ht="15.6" x14ac:dyDescent="0.25">
      <c r="A339" s="421"/>
      <c r="C339" s="352"/>
      <c r="D339" s="422"/>
      <c r="E339" s="422"/>
    </row>
    <row r="340" spans="1:5" s="420" customFormat="1" ht="15.6" x14ac:dyDescent="0.25">
      <c r="A340" s="421"/>
      <c r="C340" s="352"/>
      <c r="D340" s="422"/>
      <c r="E340" s="422"/>
    </row>
    <row r="341" spans="1:5" s="420" customFormat="1" ht="15.6" x14ac:dyDescent="0.25">
      <c r="A341" s="421"/>
      <c r="C341" s="352"/>
      <c r="D341" s="422"/>
      <c r="E341" s="422"/>
    </row>
    <row r="342" spans="1:5" s="420" customFormat="1" ht="15.6" x14ac:dyDescent="0.25">
      <c r="A342" s="421"/>
      <c r="C342" s="352"/>
      <c r="D342" s="422"/>
      <c r="E342" s="422"/>
    </row>
    <row r="343" spans="1:5" s="420" customFormat="1" ht="15.6" x14ac:dyDescent="0.25">
      <c r="A343" s="421"/>
      <c r="C343" s="352"/>
      <c r="D343" s="422"/>
      <c r="E343" s="422"/>
    </row>
    <row r="344" spans="1:5" s="420" customFormat="1" ht="15.6" x14ac:dyDescent="0.25">
      <c r="A344" s="421"/>
      <c r="C344" s="352"/>
      <c r="D344" s="422"/>
      <c r="E344" s="422"/>
    </row>
    <row r="345" spans="1:5" s="420" customFormat="1" ht="15.6" x14ac:dyDescent="0.25">
      <c r="A345" s="421"/>
      <c r="C345" s="352"/>
      <c r="D345" s="422"/>
      <c r="E345" s="422"/>
    </row>
    <row r="346" spans="1:5" s="420" customFormat="1" ht="15.6" x14ac:dyDescent="0.25">
      <c r="A346" s="421"/>
      <c r="C346" s="352"/>
      <c r="D346" s="422"/>
      <c r="E346" s="422"/>
    </row>
    <row r="347" spans="1:5" s="420" customFormat="1" ht="15.6" x14ac:dyDescent="0.25">
      <c r="A347" s="421"/>
      <c r="C347" s="352"/>
      <c r="D347" s="422"/>
      <c r="E347" s="422"/>
    </row>
    <row r="348" spans="1:5" s="420" customFormat="1" ht="15.6" x14ac:dyDescent="0.25">
      <c r="A348" s="421"/>
      <c r="C348" s="352"/>
      <c r="D348" s="422"/>
      <c r="E348" s="422"/>
    </row>
    <row r="349" spans="1:5" s="420" customFormat="1" ht="15.6" x14ac:dyDescent="0.25">
      <c r="A349" s="421"/>
      <c r="C349" s="352"/>
      <c r="D349" s="422"/>
      <c r="E349" s="422"/>
    </row>
    <row r="350" spans="1:5" s="420" customFormat="1" ht="15.6" x14ac:dyDescent="0.25">
      <c r="A350" s="421"/>
      <c r="C350" s="352"/>
      <c r="D350" s="422"/>
      <c r="E350" s="422"/>
    </row>
    <row r="351" spans="1:5" s="420" customFormat="1" ht="15.6" x14ac:dyDescent="0.25">
      <c r="A351" s="421"/>
      <c r="C351" s="352"/>
      <c r="D351" s="422"/>
      <c r="E351" s="422"/>
    </row>
    <row r="352" spans="1:5" s="420" customFormat="1" ht="15.6" x14ac:dyDescent="0.25">
      <c r="A352" s="421"/>
      <c r="C352" s="352"/>
      <c r="D352" s="422"/>
      <c r="E352" s="422"/>
    </row>
    <row r="353" spans="1:5" s="420" customFormat="1" ht="15.6" x14ac:dyDescent="0.25">
      <c r="A353" s="421"/>
      <c r="C353" s="352"/>
      <c r="D353" s="422"/>
      <c r="E353" s="422"/>
    </row>
    <row r="354" spans="1:5" s="420" customFormat="1" ht="15.6" x14ac:dyDescent="0.25">
      <c r="A354" s="421"/>
      <c r="C354" s="352"/>
      <c r="D354" s="422"/>
      <c r="E354" s="422"/>
    </row>
    <row r="355" spans="1:5" s="420" customFormat="1" ht="15.6" x14ac:dyDescent="0.25">
      <c r="A355" s="421"/>
      <c r="C355" s="352"/>
      <c r="D355" s="422"/>
      <c r="E355" s="422"/>
    </row>
    <row r="356" spans="1:5" s="420" customFormat="1" ht="15.6" x14ac:dyDescent="0.25">
      <c r="A356" s="421"/>
      <c r="C356" s="352"/>
      <c r="D356" s="422"/>
      <c r="E356" s="422"/>
    </row>
    <row r="357" spans="1:5" s="420" customFormat="1" ht="15.6" x14ac:dyDescent="0.25">
      <c r="A357" s="421"/>
      <c r="C357" s="352"/>
      <c r="D357" s="422"/>
      <c r="E357" s="422"/>
    </row>
    <row r="358" spans="1:5" s="420" customFormat="1" ht="15.6" x14ac:dyDescent="0.25">
      <c r="A358" s="421"/>
      <c r="C358" s="352"/>
      <c r="D358" s="422"/>
      <c r="E358" s="422"/>
    </row>
    <row r="359" spans="1:5" s="420" customFormat="1" ht="15.6" x14ac:dyDescent="0.25">
      <c r="A359" s="421"/>
      <c r="C359" s="352"/>
      <c r="D359" s="422"/>
      <c r="E359" s="422"/>
    </row>
    <row r="360" spans="1:5" s="420" customFormat="1" ht="15.6" x14ac:dyDescent="0.25">
      <c r="A360" s="421"/>
      <c r="C360" s="352"/>
      <c r="D360" s="422"/>
      <c r="E360" s="422"/>
    </row>
    <row r="361" spans="1:5" s="420" customFormat="1" ht="15.6" x14ac:dyDescent="0.25">
      <c r="A361" s="421"/>
      <c r="C361" s="352"/>
      <c r="D361" s="422"/>
      <c r="E361" s="422"/>
    </row>
    <row r="362" spans="1:5" s="420" customFormat="1" ht="15.6" x14ac:dyDescent="0.25">
      <c r="A362" s="421"/>
      <c r="C362" s="352"/>
      <c r="D362" s="422"/>
      <c r="E362" s="422"/>
    </row>
    <row r="363" spans="1:5" s="420" customFormat="1" ht="15.6" x14ac:dyDescent="0.25">
      <c r="A363" s="421"/>
      <c r="C363" s="352"/>
      <c r="D363" s="422"/>
      <c r="E363" s="422"/>
    </row>
    <row r="364" spans="1:5" s="420" customFormat="1" ht="15.6" x14ac:dyDescent="0.25">
      <c r="A364" s="421"/>
      <c r="C364" s="352"/>
      <c r="D364" s="422"/>
      <c r="E364" s="422"/>
    </row>
    <row r="365" spans="1:5" s="420" customFormat="1" ht="15.6" x14ac:dyDescent="0.25">
      <c r="A365" s="421"/>
      <c r="C365" s="352"/>
      <c r="D365" s="422"/>
      <c r="E365" s="422"/>
    </row>
    <row r="366" spans="1:5" s="420" customFormat="1" ht="15.6" x14ac:dyDescent="0.25">
      <c r="A366" s="421"/>
      <c r="C366" s="352"/>
      <c r="D366" s="422"/>
      <c r="E366" s="422"/>
    </row>
    <row r="367" spans="1:5" s="420" customFormat="1" ht="15.6" x14ac:dyDescent="0.25">
      <c r="A367" s="421"/>
      <c r="C367" s="352"/>
      <c r="D367" s="422"/>
      <c r="E367" s="422"/>
    </row>
    <row r="368" spans="1:5" s="420" customFormat="1" ht="15.6" x14ac:dyDescent="0.25">
      <c r="A368" s="421"/>
      <c r="C368" s="352"/>
      <c r="D368" s="422"/>
      <c r="E368" s="422"/>
    </row>
    <row r="369" spans="1:5" s="420" customFormat="1" ht="15.6" x14ac:dyDescent="0.25">
      <c r="A369" s="421"/>
      <c r="C369" s="352"/>
      <c r="D369" s="422"/>
      <c r="E369" s="422"/>
    </row>
    <row r="370" spans="1:5" s="420" customFormat="1" ht="15.6" x14ac:dyDescent="0.25">
      <c r="A370" s="421"/>
      <c r="C370" s="352"/>
      <c r="D370" s="422"/>
      <c r="E370" s="422"/>
    </row>
    <row r="371" spans="1:5" s="420" customFormat="1" ht="15.6" x14ac:dyDescent="0.25">
      <c r="A371" s="421"/>
      <c r="C371" s="352"/>
      <c r="D371" s="422"/>
      <c r="E371" s="422"/>
    </row>
    <row r="372" spans="1:5" s="420" customFormat="1" ht="15.6" x14ac:dyDescent="0.25">
      <c r="A372" s="421"/>
      <c r="C372" s="352"/>
      <c r="D372" s="422"/>
      <c r="E372" s="422"/>
    </row>
    <row r="373" spans="1:5" s="420" customFormat="1" ht="15.6" x14ac:dyDescent="0.25">
      <c r="A373" s="421"/>
      <c r="C373" s="352"/>
      <c r="D373" s="422"/>
      <c r="E373" s="422"/>
    </row>
    <row r="374" spans="1:5" s="420" customFormat="1" ht="15.6" x14ac:dyDescent="0.25">
      <c r="A374" s="421"/>
      <c r="C374" s="352"/>
      <c r="D374" s="422"/>
      <c r="E374" s="422"/>
    </row>
    <row r="375" spans="1:5" s="420" customFormat="1" ht="15.6" x14ac:dyDescent="0.25">
      <c r="A375" s="421"/>
      <c r="C375" s="352"/>
      <c r="D375" s="422"/>
      <c r="E375" s="422"/>
    </row>
    <row r="376" spans="1:5" s="420" customFormat="1" ht="15.6" x14ac:dyDescent="0.25">
      <c r="A376" s="421"/>
      <c r="C376" s="352"/>
      <c r="D376" s="422"/>
      <c r="E376" s="422"/>
    </row>
    <row r="377" spans="1:5" s="420" customFormat="1" ht="15.6" x14ac:dyDescent="0.25">
      <c r="A377" s="421"/>
      <c r="C377" s="352"/>
      <c r="D377" s="422"/>
      <c r="E377" s="422"/>
    </row>
    <row r="378" spans="1:5" s="420" customFormat="1" ht="15.6" x14ac:dyDescent="0.25">
      <c r="A378" s="421"/>
      <c r="C378" s="352"/>
      <c r="D378" s="422"/>
      <c r="E378" s="422"/>
    </row>
    <row r="379" spans="1:5" s="420" customFormat="1" ht="15.6" x14ac:dyDescent="0.25">
      <c r="A379" s="421"/>
      <c r="C379" s="352"/>
      <c r="D379" s="422"/>
      <c r="E379" s="422"/>
    </row>
    <row r="380" spans="1:5" s="420" customFormat="1" ht="15.6" x14ac:dyDescent="0.25">
      <c r="A380" s="421"/>
      <c r="C380" s="352"/>
      <c r="D380" s="422"/>
      <c r="E380" s="422"/>
    </row>
    <row r="381" spans="1:5" s="420" customFormat="1" ht="15.6" x14ac:dyDescent="0.25">
      <c r="A381" s="421"/>
      <c r="C381" s="352"/>
      <c r="D381" s="422"/>
      <c r="E381" s="422"/>
    </row>
    <row r="382" spans="1:5" s="420" customFormat="1" ht="15.6" x14ac:dyDescent="0.25">
      <c r="A382" s="421"/>
      <c r="C382" s="352"/>
      <c r="D382" s="422"/>
      <c r="E382" s="422"/>
    </row>
    <row r="383" spans="1:5" s="420" customFormat="1" ht="15.6" x14ac:dyDescent="0.25">
      <c r="A383" s="421"/>
      <c r="C383" s="352"/>
      <c r="D383" s="422"/>
      <c r="E383" s="422"/>
    </row>
    <row r="384" spans="1:5" s="420" customFormat="1" ht="15.6" x14ac:dyDescent="0.25">
      <c r="A384" s="421"/>
      <c r="C384" s="352"/>
      <c r="D384" s="422"/>
      <c r="E384" s="422"/>
    </row>
    <row r="385" spans="1:5" s="420" customFormat="1" ht="15.6" x14ac:dyDescent="0.25">
      <c r="A385" s="421"/>
      <c r="C385" s="352"/>
      <c r="D385" s="422"/>
      <c r="E385" s="422"/>
    </row>
    <row r="386" spans="1:5" s="420" customFormat="1" ht="15.6" x14ac:dyDescent="0.25">
      <c r="A386" s="421"/>
      <c r="C386" s="352"/>
      <c r="D386" s="422"/>
      <c r="E386" s="422"/>
    </row>
    <row r="387" spans="1:5" s="420" customFormat="1" ht="15.6" x14ac:dyDescent="0.25">
      <c r="A387" s="421"/>
      <c r="C387" s="352"/>
      <c r="D387" s="422"/>
      <c r="E387" s="422"/>
    </row>
    <row r="388" spans="1:5" s="420" customFormat="1" ht="15.6" x14ac:dyDescent="0.25">
      <c r="A388" s="421"/>
      <c r="C388" s="352"/>
      <c r="D388" s="422"/>
      <c r="E388" s="422"/>
    </row>
    <row r="389" spans="1:5" s="420" customFormat="1" ht="15.6" x14ac:dyDescent="0.25">
      <c r="A389" s="421"/>
      <c r="C389" s="352"/>
      <c r="D389" s="422"/>
      <c r="E389" s="422"/>
    </row>
    <row r="390" spans="1:5" s="420" customFormat="1" ht="15.6" x14ac:dyDescent="0.25">
      <c r="A390" s="421"/>
      <c r="C390" s="352"/>
      <c r="D390" s="422"/>
      <c r="E390" s="422"/>
    </row>
    <row r="391" spans="1:5" s="420" customFormat="1" ht="15.6" x14ac:dyDescent="0.25">
      <c r="A391" s="421"/>
      <c r="C391" s="352"/>
      <c r="D391" s="422"/>
      <c r="E391" s="422"/>
    </row>
    <row r="392" spans="1:5" s="420" customFormat="1" ht="15.6" x14ac:dyDescent="0.25">
      <c r="A392" s="421"/>
      <c r="C392" s="352"/>
      <c r="D392" s="422"/>
      <c r="E392" s="422"/>
    </row>
    <row r="393" spans="1:5" s="420" customFormat="1" ht="15.6" x14ac:dyDescent="0.25">
      <c r="A393" s="421"/>
      <c r="C393" s="352"/>
      <c r="D393" s="422"/>
      <c r="E393" s="422"/>
    </row>
    <row r="394" spans="1:5" s="420" customFormat="1" ht="15.6" x14ac:dyDescent="0.25">
      <c r="A394" s="421"/>
      <c r="C394" s="352"/>
      <c r="D394" s="422"/>
      <c r="E394" s="422"/>
    </row>
    <row r="395" spans="1:5" s="420" customFormat="1" ht="15.6" x14ac:dyDescent="0.25">
      <c r="A395" s="421"/>
      <c r="C395" s="352"/>
      <c r="D395" s="422"/>
      <c r="E395" s="422"/>
    </row>
    <row r="396" spans="1:5" s="420" customFormat="1" ht="15.6" x14ac:dyDescent="0.25">
      <c r="A396" s="421"/>
      <c r="C396" s="352"/>
      <c r="D396" s="422"/>
      <c r="E396" s="422"/>
    </row>
    <row r="397" spans="1:5" s="420" customFormat="1" ht="15.6" x14ac:dyDescent="0.25">
      <c r="A397" s="421"/>
      <c r="C397" s="352"/>
      <c r="D397" s="422"/>
      <c r="E397" s="422"/>
    </row>
    <row r="398" spans="1:5" s="420" customFormat="1" ht="15.6" x14ac:dyDescent="0.25">
      <c r="A398" s="421"/>
      <c r="C398" s="352"/>
      <c r="D398" s="422"/>
      <c r="E398" s="422"/>
    </row>
    <row r="399" spans="1:5" s="420" customFormat="1" ht="15.6" x14ac:dyDescent="0.25">
      <c r="A399" s="421"/>
      <c r="C399" s="352"/>
      <c r="D399" s="422"/>
      <c r="E399" s="422"/>
    </row>
    <row r="400" spans="1:5" s="420" customFormat="1" ht="15.6" x14ac:dyDescent="0.25">
      <c r="A400" s="421"/>
      <c r="C400" s="352"/>
      <c r="D400" s="422"/>
      <c r="E400" s="422"/>
    </row>
    <row r="401" spans="1:5" s="420" customFormat="1" ht="15.6" x14ac:dyDescent="0.25">
      <c r="A401" s="421"/>
      <c r="C401" s="352"/>
      <c r="D401" s="422"/>
      <c r="E401" s="422"/>
    </row>
    <row r="402" spans="1:5" s="420" customFormat="1" ht="15.6" x14ac:dyDescent="0.25">
      <c r="A402" s="421"/>
      <c r="C402" s="352"/>
      <c r="D402" s="422"/>
      <c r="E402" s="422"/>
    </row>
    <row r="403" spans="1:5" s="420" customFormat="1" ht="15.6" x14ac:dyDescent="0.25">
      <c r="A403" s="421"/>
      <c r="C403" s="352"/>
      <c r="D403" s="422"/>
      <c r="E403" s="422"/>
    </row>
    <row r="404" spans="1:5" s="420" customFormat="1" ht="15.6" x14ac:dyDescent="0.25">
      <c r="A404" s="421"/>
      <c r="C404" s="352"/>
      <c r="D404" s="422"/>
      <c r="E404" s="422"/>
    </row>
    <row r="405" spans="1:5" s="420" customFormat="1" ht="15.6" x14ac:dyDescent="0.25">
      <c r="A405" s="421"/>
      <c r="C405" s="352"/>
      <c r="D405" s="422"/>
      <c r="E405" s="422"/>
    </row>
    <row r="406" spans="1:5" s="420" customFormat="1" ht="15.6" x14ac:dyDescent="0.25">
      <c r="A406" s="421"/>
      <c r="C406" s="352"/>
      <c r="D406" s="422"/>
      <c r="E406" s="422"/>
    </row>
    <row r="407" spans="1:5" s="420" customFormat="1" ht="15.6" x14ac:dyDescent="0.25">
      <c r="A407" s="421"/>
      <c r="C407" s="352"/>
      <c r="D407" s="422"/>
      <c r="E407" s="422"/>
    </row>
    <row r="408" spans="1:5" s="420" customFormat="1" ht="15.6" x14ac:dyDescent="0.25">
      <c r="A408" s="421"/>
      <c r="C408" s="352"/>
      <c r="D408" s="422"/>
      <c r="E408" s="422"/>
    </row>
    <row r="409" spans="1:5" s="420" customFormat="1" ht="15.6" x14ac:dyDescent="0.25">
      <c r="A409" s="421"/>
      <c r="C409" s="352"/>
      <c r="D409" s="422"/>
      <c r="E409" s="422"/>
    </row>
    <row r="410" spans="1:5" s="420" customFormat="1" ht="15.6" x14ac:dyDescent="0.25">
      <c r="A410" s="421"/>
      <c r="C410" s="352"/>
      <c r="D410" s="422"/>
      <c r="E410" s="422"/>
    </row>
    <row r="411" spans="1:5" s="420" customFormat="1" ht="15.6" x14ac:dyDescent="0.25">
      <c r="A411" s="421"/>
      <c r="C411" s="352"/>
      <c r="D411" s="422"/>
      <c r="E411" s="422"/>
    </row>
    <row r="412" spans="1:5" s="420" customFormat="1" ht="15.6" x14ac:dyDescent="0.25">
      <c r="A412" s="421"/>
      <c r="C412" s="352"/>
      <c r="D412" s="422"/>
      <c r="E412" s="422"/>
    </row>
    <row r="413" spans="1:5" s="420" customFormat="1" ht="15.6" x14ac:dyDescent="0.25">
      <c r="A413" s="421"/>
      <c r="C413" s="352"/>
      <c r="D413" s="422"/>
      <c r="E413" s="422"/>
    </row>
    <row r="414" spans="1:5" s="420" customFormat="1" ht="15.6" x14ac:dyDescent="0.25">
      <c r="A414" s="421"/>
      <c r="C414" s="352"/>
      <c r="D414" s="422"/>
      <c r="E414" s="422"/>
    </row>
    <row r="415" spans="1:5" s="420" customFormat="1" ht="15.6" x14ac:dyDescent="0.25">
      <c r="A415" s="421"/>
      <c r="C415" s="352"/>
      <c r="D415" s="422"/>
      <c r="E415" s="422"/>
    </row>
    <row r="416" spans="1:5" s="420" customFormat="1" ht="15.6" x14ac:dyDescent="0.25">
      <c r="A416" s="421"/>
      <c r="C416" s="352"/>
      <c r="D416" s="422"/>
      <c r="E416" s="422"/>
    </row>
    <row r="417" spans="1:5" s="420" customFormat="1" ht="15.6" x14ac:dyDescent="0.25">
      <c r="A417" s="421"/>
      <c r="C417" s="352"/>
      <c r="D417" s="422"/>
      <c r="E417" s="422"/>
    </row>
    <row r="418" spans="1:5" s="420" customFormat="1" ht="15.6" x14ac:dyDescent="0.25">
      <c r="A418" s="421"/>
      <c r="C418" s="352"/>
      <c r="D418" s="422"/>
      <c r="E418" s="422"/>
    </row>
    <row r="419" spans="1:5" s="420" customFormat="1" ht="15.6" x14ac:dyDescent="0.25">
      <c r="A419" s="421"/>
      <c r="C419" s="352"/>
      <c r="D419" s="422"/>
      <c r="E419" s="422"/>
    </row>
    <row r="420" spans="1:5" s="420" customFormat="1" ht="15.6" x14ac:dyDescent="0.25">
      <c r="A420" s="421"/>
      <c r="C420" s="352"/>
      <c r="D420" s="422"/>
      <c r="E420" s="422"/>
    </row>
    <row r="421" spans="1:5" s="420" customFormat="1" ht="15.6" x14ac:dyDescent="0.25">
      <c r="A421" s="421"/>
      <c r="C421" s="352"/>
      <c r="D421" s="422"/>
      <c r="E421" s="422"/>
    </row>
    <row r="422" spans="1:5" s="420" customFormat="1" ht="15.6" x14ac:dyDescent="0.25">
      <c r="A422" s="421"/>
      <c r="C422" s="352"/>
      <c r="D422" s="422"/>
      <c r="E422" s="42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4"/>
  <sheetViews>
    <sheetView showGridLines="0" tabSelected="1" zoomScale="80" zoomScaleNormal="80" zoomScaleSheetLayoutView="80" workbookViewId="0">
      <selection activeCell="D3" sqref="D3"/>
    </sheetView>
  </sheetViews>
  <sheetFormatPr defaultRowHeight="14.4" x14ac:dyDescent="0.3"/>
  <cols>
    <col min="1" max="1" width="32.44140625" customWidth="1"/>
    <col min="2" max="2" width="91" customWidth="1"/>
    <col min="3" max="3" width="1.44140625" customWidth="1"/>
    <col min="8" max="8" width="31" customWidth="1"/>
  </cols>
  <sheetData>
    <row r="1" spans="1:2" x14ac:dyDescent="0.3">
      <c r="A1" s="152"/>
      <c r="B1" s="431"/>
    </row>
    <row r="2" spans="1:2" x14ac:dyDescent="0.3">
      <c r="A2" s="455"/>
      <c r="B2" s="460"/>
    </row>
    <row r="3" spans="1:2" ht="31.2" x14ac:dyDescent="0.6">
      <c r="A3" s="456" t="s">
        <v>1827</v>
      </c>
      <c r="B3" s="460"/>
    </row>
    <row r="4" spans="1:2" x14ac:dyDescent="0.3">
      <c r="A4" s="455"/>
      <c r="B4" s="460"/>
    </row>
    <row r="5" spans="1:2" x14ac:dyDescent="0.3">
      <c r="A5" s="143"/>
      <c r="B5" s="142"/>
    </row>
    <row r="6" spans="1:2" ht="31.2" x14ac:dyDescent="0.6">
      <c r="A6" s="457" t="s">
        <v>1828</v>
      </c>
      <c r="B6" s="142"/>
    </row>
    <row r="7" spans="1:2" ht="31.2" x14ac:dyDescent="0.3">
      <c r="A7" s="594" t="s">
        <v>2255</v>
      </c>
      <c r="B7" s="142"/>
    </row>
    <row r="8" spans="1:2" ht="31.2" x14ac:dyDescent="0.3">
      <c r="A8" s="594" t="s">
        <v>2085</v>
      </c>
      <c r="B8" s="142"/>
    </row>
    <row r="9" spans="1:2" ht="31.2" x14ac:dyDescent="0.3">
      <c r="A9" s="594" t="s">
        <v>2284</v>
      </c>
      <c r="B9" s="142"/>
    </row>
    <row r="10" spans="1:2" ht="69.900000000000006" customHeight="1" x14ac:dyDescent="0.5">
      <c r="A10" s="459" t="s">
        <v>2224</v>
      </c>
      <c r="B10" s="142"/>
    </row>
    <row r="11" spans="1:2" x14ac:dyDescent="0.3">
      <c r="A11" s="143"/>
      <c r="B11" s="142"/>
    </row>
    <row r="12" spans="1:2" ht="31.2" x14ac:dyDescent="0.3">
      <c r="A12" s="458" t="s">
        <v>2261</v>
      </c>
      <c r="B12" s="142"/>
    </row>
    <row r="13" spans="1:2" ht="25.8" x14ac:dyDescent="0.3">
      <c r="A13" s="878" t="s">
        <v>2271</v>
      </c>
      <c r="B13" s="142"/>
    </row>
    <row r="14" spans="1:2" x14ac:dyDescent="0.3">
      <c r="A14" s="141" t="s">
        <v>2273</v>
      </c>
      <c r="B14" s="142"/>
    </row>
    <row r="15" spans="1:2" x14ac:dyDescent="0.3">
      <c r="A15" s="879" t="s">
        <v>2272</v>
      </c>
      <c r="B15" s="142"/>
    </row>
    <row r="16" spans="1:2" x14ac:dyDescent="0.3">
      <c r="A16" s="143"/>
      <c r="B16" s="146"/>
    </row>
    <row r="17" spans="1:2" ht="28.8" x14ac:dyDescent="0.3">
      <c r="A17" s="461" t="s">
        <v>1829</v>
      </c>
      <c r="B17" s="146" t="s">
        <v>2078</v>
      </c>
    </row>
    <row r="18" spans="1:2" x14ac:dyDescent="0.3">
      <c r="A18" s="180" t="s">
        <v>1830</v>
      </c>
      <c r="B18" s="134" t="s">
        <v>2079</v>
      </c>
    </row>
    <row r="19" spans="1:2" x14ac:dyDescent="0.3">
      <c r="A19" s="134" t="s">
        <v>2024</v>
      </c>
      <c r="B19" s="134" t="s">
        <v>2080</v>
      </c>
    </row>
    <row r="20" spans="1:2" x14ac:dyDescent="0.3">
      <c r="A20" s="180" t="s">
        <v>2025</v>
      </c>
      <c r="B20" s="134" t="s">
        <v>2081</v>
      </c>
    </row>
    <row r="21" spans="1:2" x14ac:dyDescent="0.3">
      <c r="A21" s="180" t="s">
        <v>1831</v>
      </c>
      <c r="B21" s="134" t="s">
        <v>2082</v>
      </c>
    </row>
    <row r="22" spans="1:2" x14ac:dyDescent="0.3">
      <c r="A22" s="180" t="s">
        <v>1832</v>
      </c>
      <c r="B22" s="134" t="s">
        <v>2083</v>
      </c>
    </row>
    <row r="23" spans="1:2" x14ac:dyDescent="0.3">
      <c r="A23" s="180" t="s">
        <v>1833</v>
      </c>
      <c r="B23" s="134" t="s">
        <v>2084</v>
      </c>
    </row>
    <row r="24" spans="1:2" x14ac:dyDescent="0.3">
      <c r="A24" s="180" t="s">
        <v>1834</v>
      </c>
      <c r="B24" s="134" t="s">
        <v>2018</v>
      </c>
    </row>
  </sheetData>
  <hyperlinks>
    <hyperlink ref="A15" r:id="rId1" xr:uid="{AA0B2BC5-577A-45AC-8C5A-2F56632454F0}"/>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J24"/>
  <sheetViews>
    <sheetView showGridLines="0" zoomScale="80" zoomScaleNormal="80" workbookViewId="0"/>
  </sheetViews>
  <sheetFormatPr defaultRowHeight="14.4" x14ac:dyDescent="0.3"/>
  <cols>
    <col min="1" max="1" width="3.5546875" customWidth="1"/>
    <col min="2" max="2" width="20.5546875" customWidth="1"/>
    <col min="3" max="3" width="3.5546875" customWidth="1"/>
    <col min="4" max="4" width="20.5546875" customWidth="1"/>
    <col min="5" max="5" width="3.5546875" customWidth="1"/>
    <col min="6" max="6" width="20.5546875" customWidth="1"/>
    <col min="7" max="7" width="3.5546875" customWidth="1"/>
    <col min="8" max="8" width="20.5546875" customWidth="1"/>
    <col min="9" max="9" width="3.5546875" customWidth="1"/>
    <col min="10" max="10" width="12.33203125" customWidth="1"/>
  </cols>
  <sheetData>
    <row r="2" spans="1:10" ht="25.8" x14ac:dyDescent="0.5">
      <c r="A2" s="596" t="s">
        <v>1835</v>
      </c>
      <c r="B2" s="217"/>
      <c r="C2" s="217"/>
      <c r="D2" s="217"/>
      <c r="E2" s="217"/>
      <c r="F2" s="217"/>
      <c r="G2" s="217"/>
      <c r="H2" s="217"/>
      <c r="I2" s="217"/>
      <c r="J2" s="597"/>
    </row>
    <row r="4" spans="1:10" x14ac:dyDescent="0.3">
      <c r="A4" s="173" t="s">
        <v>2026</v>
      </c>
      <c r="B4" s="469"/>
      <c r="C4" s="469"/>
      <c r="D4" s="173"/>
      <c r="E4" s="469"/>
      <c r="F4" s="469"/>
      <c r="G4" s="469"/>
      <c r="H4" s="469"/>
      <c r="I4" s="469"/>
      <c r="J4" s="543"/>
    </row>
    <row r="5" spans="1:10" x14ac:dyDescent="0.3">
      <c r="A5" s="177" t="s">
        <v>2027</v>
      </c>
      <c r="B5" s="172"/>
      <c r="C5" s="172"/>
      <c r="D5" s="177"/>
      <c r="E5" s="172"/>
      <c r="F5" s="172"/>
      <c r="G5" s="172"/>
      <c r="H5" s="172"/>
      <c r="I5" s="172"/>
      <c r="J5" s="178"/>
    </row>
    <row r="6" spans="1:10" x14ac:dyDescent="0.3">
      <c r="A6" s="175" t="s">
        <v>2028</v>
      </c>
      <c r="B6" s="174"/>
      <c r="C6" s="174"/>
      <c r="D6" s="175"/>
      <c r="E6" s="174"/>
      <c r="F6" s="174"/>
      <c r="G6" s="174"/>
      <c r="H6" s="174"/>
      <c r="I6" s="174"/>
      <c r="J6" s="176"/>
    </row>
    <row r="8" spans="1:10" x14ac:dyDescent="0.3">
      <c r="A8" s="173"/>
      <c r="B8" s="469"/>
      <c r="C8" s="469"/>
      <c r="D8" s="469"/>
      <c r="E8" s="469"/>
      <c r="F8" s="469"/>
      <c r="G8" s="469"/>
      <c r="H8" s="469"/>
      <c r="I8" s="469"/>
      <c r="J8" s="543"/>
    </row>
    <row r="9" spans="1:10" ht="31.2" x14ac:dyDescent="0.3">
      <c r="A9" s="177"/>
      <c r="B9" s="542" t="s">
        <v>1836</v>
      </c>
      <c r="C9" s="231"/>
      <c r="D9" s="215" t="s">
        <v>2064</v>
      </c>
      <c r="E9" s="598"/>
      <c r="F9" s="215" t="s">
        <v>7</v>
      </c>
      <c r="G9" s="598"/>
      <c r="H9" s="215" t="s">
        <v>2033</v>
      </c>
      <c r="I9" s="598"/>
      <c r="J9" s="231"/>
    </row>
    <row r="10" spans="1:10" x14ac:dyDescent="0.3">
      <c r="A10" s="177"/>
      <c r="B10" s="172"/>
      <c r="C10" s="172"/>
      <c r="D10" s="172"/>
      <c r="E10" s="172"/>
      <c r="F10" s="172"/>
      <c r="G10" s="172"/>
      <c r="H10" s="172"/>
      <c r="I10" s="172"/>
      <c r="J10" s="178"/>
    </row>
    <row r="11" spans="1:10" ht="225" customHeight="1" x14ac:dyDescent="0.3">
      <c r="A11" s="177"/>
      <c r="B11" s="213" t="s">
        <v>2032</v>
      </c>
      <c r="C11" s="233"/>
      <c r="D11" s="595" t="s">
        <v>2029</v>
      </c>
      <c r="E11" s="232"/>
      <c r="F11" s="213" t="s">
        <v>2030</v>
      </c>
      <c r="G11" s="232"/>
      <c r="H11" s="214" t="s">
        <v>2031</v>
      </c>
      <c r="I11" s="232"/>
      <c r="J11" s="233"/>
    </row>
    <row r="12" spans="1:10" x14ac:dyDescent="0.3">
      <c r="A12" s="175"/>
      <c r="B12" s="174"/>
      <c r="C12" s="174"/>
      <c r="D12" s="174"/>
      <c r="E12" s="174"/>
      <c r="F12" s="174"/>
      <c r="G12" s="174"/>
      <c r="H12" s="174"/>
      <c r="I12" s="174"/>
      <c r="J12" s="176"/>
    </row>
    <row r="15" spans="1:10" x14ac:dyDescent="0.3">
      <c r="A15" s="173"/>
      <c r="B15" s="469"/>
      <c r="C15" s="469"/>
      <c r="D15" s="469"/>
      <c r="E15" s="469"/>
      <c r="F15" s="469"/>
      <c r="G15" s="469"/>
      <c r="H15" s="469"/>
      <c r="I15" s="469"/>
      <c r="J15" s="543"/>
    </row>
    <row r="16" spans="1:10" x14ac:dyDescent="0.3">
      <c r="A16" s="177" t="s">
        <v>1837</v>
      </c>
      <c r="B16" s="172"/>
      <c r="C16" s="172"/>
      <c r="D16" s="172"/>
      <c r="E16" s="172"/>
      <c r="F16" s="172"/>
      <c r="G16" s="172"/>
      <c r="H16" s="172"/>
      <c r="I16" s="172"/>
      <c r="J16" s="178"/>
    </row>
    <row r="17" spans="1:10" x14ac:dyDescent="0.3">
      <c r="A17" s="234" t="s">
        <v>1838</v>
      </c>
      <c r="B17" s="172"/>
      <c r="C17" s="172"/>
      <c r="D17" s="172"/>
      <c r="E17" s="172"/>
      <c r="F17" s="172"/>
      <c r="G17" s="172"/>
      <c r="H17" s="172"/>
      <c r="I17" s="172"/>
      <c r="J17" s="178"/>
    </row>
    <row r="18" spans="1:10" x14ac:dyDescent="0.3">
      <c r="A18" s="235" t="s">
        <v>1839</v>
      </c>
      <c r="B18" s="172"/>
      <c r="C18" s="172"/>
      <c r="D18" s="172"/>
      <c r="E18" s="172"/>
      <c r="F18" s="172"/>
      <c r="G18" s="172"/>
      <c r="H18" s="172"/>
      <c r="I18" s="172"/>
      <c r="J18" s="178"/>
    </row>
    <row r="19" spans="1:10" x14ac:dyDescent="0.3">
      <c r="A19" s="236" t="s">
        <v>1840</v>
      </c>
      <c r="B19" s="172"/>
      <c r="C19" s="172"/>
      <c r="D19" s="172"/>
      <c r="E19" s="172"/>
      <c r="F19" s="172"/>
      <c r="G19" s="172"/>
      <c r="H19" s="172"/>
      <c r="I19" s="172"/>
      <c r="J19" s="178"/>
    </row>
    <row r="20" spans="1:10" x14ac:dyDescent="0.3">
      <c r="A20" s="235" t="s">
        <v>1841</v>
      </c>
      <c r="B20" s="172"/>
      <c r="C20" s="172"/>
      <c r="D20" s="172"/>
      <c r="E20" s="172"/>
      <c r="F20" s="172"/>
      <c r="G20" s="172"/>
      <c r="H20" s="172"/>
      <c r="I20" s="172"/>
      <c r="J20" s="178"/>
    </row>
    <row r="21" spans="1:10" x14ac:dyDescent="0.3">
      <c r="A21" s="235" t="s">
        <v>1842</v>
      </c>
      <c r="B21" s="172"/>
      <c r="C21" s="172"/>
      <c r="D21" s="172"/>
      <c r="E21" s="172"/>
      <c r="F21" s="172"/>
      <c r="G21" s="172"/>
      <c r="H21" s="172"/>
      <c r="I21" s="172"/>
      <c r="J21" s="178"/>
    </row>
    <row r="22" spans="1:10" x14ac:dyDescent="0.3">
      <c r="A22" s="177"/>
      <c r="B22" s="172"/>
      <c r="C22" s="172"/>
      <c r="D22" s="172"/>
      <c r="E22" s="172"/>
      <c r="F22" s="172"/>
      <c r="G22" s="172"/>
      <c r="H22" s="172"/>
      <c r="I22" s="172"/>
      <c r="J22" s="178"/>
    </row>
    <row r="23" spans="1:10" x14ac:dyDescent="0.3">
      <c r="A23" s="237" t="s">
        <v>1843</v>
      </c>
      <c r="B23" s="172"/>
      <c r="C23" s="172"/>
      <c r="D23" s="172"/>
      <c r="E23" s="172"/>
      <c r="F23" s="172"/>
      <c r="G23" s="172"/>
      <c r="H23" s="172"/>
      <c r="I23" s="172"/>
      <c r="J23" s="178"/>
    </row>
    <row r="24" spans="1:10" x14ac:dyDescent="0.3">
      <c r="A24" s="175"/>
      <c r="B24" s="174"/>
      <c r="C24" s="174"/>
      <c r="D24" s="174"/>
      <c r="E24" s="174"/>
      <c r="F24" s="174"/>
      <c r="G24" s="174"/>
      <c r="H24" s="174"/>
      <c r="I24" s="174"/>
      <c r="J24" s="176"/>
    </row>
  </sheetData>
  <sheetProtection algorithmName="SHA-512" hashValue="7hZZEjUJ+kaP2ykSDWQXwzbTFC0yS3XYUSBZ9xrAjpxVOGPlyhRzxoCCzDSmugA5+Y8sopX2sBFYnApVgGQz8A==" saltValue="KAXELb/xzSdEQjXsbxyDbw=="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57"/>
  <sheetViews>
    <sheetView showGridLines="0" zoomScale="80" zoomScaleNormal="80" zoomScaleSheetLayoutView="80" workbookViewId="0"/>
  </sheetViews>
  <sheetFormatPr defaultColWidth="8.5546875" defaultRowHeight="14.4" x14ac:dyDescent="0.3"/>
  <cols>
    <col min="1" max="1" width="63.44140625" style="1" customWidth="1"/>
    <col min="2" max="2" width="14.33203125" style="1" customWidth="1"/>
    <col min="3" max="3" width="12.109375" style="1" customWidth="1"/>
    <col min="4" max="6" width="12.109375" customWidth="1"/>
    <col min="7" max="7" width="3.5546875" customWidth="1"/>
    <col min="8" max="8" width="11.5546875" style="1" customWidth="1"/>
    <col min="9" max="12" width="11.5546875" customWidth="1"/>
    <col min="17" max="17" width="1.88671875" customWidth="1"/>
  </cols>
  <sheetData>
    <row r="1" spans="1:33" s="128" customFormat="1" ht="30" customHeight="1" x14ac:dyDescent="0.3">
      <c r="A1" s="838" t="str">
        <f>'Population and treatments'!A1</f>
        <v>Treatments with chemotherapy before surgery (neoadjuvant) then alone after surgery (adjuvant) for treating resectable non-small-cell lung cancer</v>
      </c>
      <c r="B1" s="263"/>
      <c r="C1" s="131"/>
      <c r="H1" s="263"/>
    </row>
    <row r="2" spans="1:33" ht="30" customHeight="1" x14ac:dyDescent="0.3">
      <c r="A2" s="216" t="s">
        <v>1836</v>
      </c>
      <c r="B2" s="568"/>
      <c r="C2" s="568"/>
      <c r="D2" s="568"/>
      <c r="E2" s="568"/>
      <c r="F2" s="568"/>
      <c r="G2" s="568"/>
      <c r="H2" s="568"/>
      <c r="I2" s="568"/>
      <c r="J2" s="568"/>
      <c r="K2" s="568"/>
      <c r="L2" s="568"/>
      <c r="M2" s="568"/>
      <c r="N2" s="568"/>
      <c r="O2" s="568"/>
      <c r="P2" s="568"/>
    </row>
    <row r="3" spans="1:33" x14ac:dyDescent="0.3">
      <c r="A3" s="117" t="s">
        <v>1854</v>
      </c>
      <c r="B3" s="117"/>
      <c r="C3" s="117"/>
      <c r="D3" s="545"/>
      <c r="E3" s="545"/>
      <c r="F3" s="545"/>
      <c r="G3" s="545"/>
      <c r="H3" s="117"/>
      <c r="I3" s="128"/>
    </row>
    <row r="4" spans="1:33" x14ac:dyDescent="0.3">
      <c r="A4" s="8" t="s">
        <v>2278</v>
      </c>
      <c r="B4" s="117"/>
      <c r="C4" s="117"/>
      <c r="D4" s="545"/>
      <c r="E4" s="545"/>
      <c r="F4" s="545"/>
      <c r="G4" s="545"/>
      <c r="H4" s="117"/>
      <c r="I4" s="128"/>
    </row>
    <row r="5" spans="1:33" x14ac:dyDescent="0.3">
      <c r="A5" s="8" t="s">
        <v>2277</v>
      </c>
      <c r="B5" s="117"/>
      <c r="C5" s="117"/>
      <c r="D5" s="545"/>
      <c r="E5" s="545"/>
      <c r="F5" s="545"/>
      <c r="G5" s="545"/>
      <c r="H5" s="117"/>
      <c r="I5" s="128"/>
    </row>
    <row r="6" spans="1:33" x14ac:dyDescent="0.3">
      <c r="A6" s="117"/>
      <c r="B6" s="117"/>
      <c r="C6" s="117"/>
      <c r="D6" s="545"/>
      <c r="E6" s="545"/>
      <c r="F6" s="545"/>
      <c r="G6" s="545"/>
      <c r="H6" s="117"/>
      <c r="I6" s="128"/>
    </row>
    <row r="7" spans="1:33" ht="43.2" x14ac:dyDescent="0.3">
      <c r="A7" s="192" t="s">
        <v>1909</v>
      </c>
      <c r="B7" s="316"/>
      <c r="C7" s="608" t="s">
        <v>2263</v>
      </c>
      <c r="D7" s="508" t="s">
        <v>2264</v>
      </c>
      <c r="E7" s="508" t="s">
        <v>2265</v>
      </c>
      <c r="F7" s="508" t="s">
        <v>2266</v>
      </c>
      <c r="H7" s="133"/>
      <c r="I7" s="128"/>
    </row>
    <row r="8" spans="1:33" s="133" customFormat="1" x14ac:dyDescent="0.3">
      <c r="A8" s="148" t="s">
        <v>1911</v>
      </c>
      <c r="B8" s="714"/>
      <c r="C8" s="115">
        <f>'Population and treatments'!I57</f>
        <v>2355.7630608500767</v>
      </c>
      <c r="D8" s="115">
        <f>'Population and treatments'!J57</f>
        <v>2355.7630608500767</v>
      </c>
      <c r="E8" s="115">
        <f>'Population and treatments'!K57</f>
        <v>2355.7630608500767</v>
      </c>
      <c r="F8" s="115">
        <f>'Population and treatments'!L57</f>
        <v>2355.7630608500767</v>
      </c>
      <c r="G8"/>
      <c r="H8" s="504"/>
      <c r="I8"/>
      <c r="J8"/>
    </row>
    <row r="9" spans="1:33" ht="14.85" customHeight="1" x14ac:dyDescent="0.3">
      <c r="A9" s="183"/>
      <c r="B9" s="183"/>
      <c r="C9" s="183"/>
      <c r="D9" s="120"/>
      <c r="E9" s="120"/>
      <c r="F9" s="120"/>
      <c r="H9" s="183"/>
      <c r="I9" s="120"/>
    </row>
    <row r="10" spans="1:33" s="182" customFormat="1" x14ac:dyDescent="0.3">
      <c r="A10" s="201" t="s">
        <v>1984</v>
      </c>
      <c r="B10" s="517"/>
      <c r="C10" s="199"/>
      <c r="D10" s="158"/>
      <c r="E10" s="158"/>
      <c r="F10" s="562"/>
      <c r="G10"/>
      <c r="H10" s="561"/>
      <c r="I10" s="120"/>
      <c r="J10"/>
      <c r="K10"/>
      <c r="O10" s="120"/>
      <c r="P10" s="120"/>
      <c r="Q10" s="120"/>
      <c r="R10" s="120"/>
      <c r="S10" s="120"/>
      <c r="T10" s="120"/>
    </row>
    <row r="11" spans="1:33" s="182" customFormat="1" ht="60.75" customHeight="1" x14ac:dyDescent="0.3">
      <c r="A11" s="201" t="s">
        <v>2038</v>
      </c>
      <c r="B11" s="716"/>
      <c r="C11" s="608" t="s">
        <v>2263</v>
      </c>
      <c r="D11" s="508" t="s">
        <v>2264</v>
      </c>
      <c r="E11" s="508" t="s">
        <v>2265</v>
      </c>
      <c r="F11" s="508" t="s">
        <v>2266</v>
      </c>
      <c r="G11"/>
      <c r="H11" s="576" t="s">
        <v>2011</v>
      </c>
      <c r="I11" s="608" t="s">
        <v>2267</v>
      </c>
      <c r="J11" s="508" t="s">
        <v>2268</v>
      </c>
      <c r="K11" s="508" t="s">
        <v>2269</v>
      </c>
      <c r="L11" s="508" t="s">
        <v>2270</v>
      </c>
      <c r="O11" s="120"/>
      <c r="P11" s="120"/>
      <c r="Q11" s="120"/>
      <c r="R11" s="120"/>
      <c r="S11" s="120"/>
      <c r="T11" s="120"/>
    </row>
    <row r="12" spans="1:33" s="182" customFormat="1" x14ac:dyDescent="0.3">
      <c r="A12" s="209" t="str">
        <f>'Population and treatments'!B67</f>
        <v xml:space="preserve">People having nivolumab as neoadjuvant  </v>
      </c>
      <c r="B12" s="717"/>
      <c r="C12" s="200">
        <f>'Population and treatments'!I67</f>
        <v>800.95944068902611</v>
      </c>
      <c r="D12" s="200">
        <f>'Population and treatments'!J67</f>
        <v>612.49839582101993</v>
      </c>
      <c r="E12" s="200">
        <f>'Population and treatments'!K67</f>
        <v>565.38313460401844</v>
      </c>
      <c r="F12" s="200">
        <f>'Population and treatments'!L67</f>
        <v>541.82550399551769</v>
      </c>
      <c r="G12"/>
      <c r="H12" s="549">
        <f>'Unit costs'!B13</f>
        <v>112.03164161612801</v>
      </c>
      <c r="I12" s="203">
        <f>C12*$H12/1000</f>
        <v>89.732801008327314</v>
      </c>
      <c r="J12" s="203">
        <f t="shared" ref="J12:J18" si="0">D12*$H12/1000</f>
        <v>68.619200771073821</v>
      </c>
      <c r="K12" s="203">
        <f t="shared" ref="K12:K18" si="1">E12*$H12/1000</f>
        <v>63.340800711760458</v>
      </c>
      <c r="L12" s="203">
        <f t="shared" ref="L12:L18" si="2">F12*$H12/1000</f>
        <v>60.701600682103773</v>
      </c>
      <c r="M12" s="823"/>
      <c r="N12" s="824"/>
      <c r="O12" s="824"/>
      <c r="P12" s="824"/>
      <c r="Q12" s="120"/>
      <c r="R12" s="120"/>
      <c r="S12" s="120"/>
      <c r="U12" s="198"/>
      <c r="V12" s="198"/>
      <c r="W12" s="198"/>
      <c r="X12" s="198"/>
      <c r="Y12" s="198"/>
      <c r="Z12" s="198"/>
      <c r="AB12" s="198"/>
      <c r="AC12" s="198"/>
      <c r="AD12" s="198"/>
      <c r="AE12" s="198"/>
      <c r="AF12" s="198"/>
      <c r="AG12" s="198"/>
    </row>
    <row r="13" spans="1:33" s="182" customFormat="1" x14ac:dyDescent="0.3">
      <c r="A13" s="209" t="str">
        <f>'Population and treatments'!B68</f>
        <v>People having durvalumab as neoadjuvant</v>
      </c>
      <c r="B13" s="717"/>
      <c r="C13" s="200">
        <f>'Population and treatments'!I68</f>
        <v>23.557630608500769</v>
      </c>
      <c r="D13" s="200">
        <f>'Population and treatments'!J68</f>
        <v>235.57630608500767</v>
      </c>
      <c r="E13" s="200">
        <f>'Population and treatments'!K68</f>
        <v>353.36445912751151</v>
      </c>
      <c r="F13" s="200">
        <f>'Population and treatments'!L68</f>
        <v>541.82550399551769</v>
      </c>
      <c r="G13"/>
      <c r="H13" s="549">
        <f>'Unit costs'!B16</f>
        <v>112.031643324128</v>
      </c>
      <c r="I13" s="203">
        <f t="shared" ref="I13:I18" si="3">C13*$H13/1000</f>
        <v>2.6392000698931186</v>
      </c>
      <c r="J13" s="203">
        <f t="shared" si="0"/>
        <v>26.392000698931184</v>
      </c>
      <c r="K13" s="203">
        <f t="shared" si="1"/>
        <v>39.588001048396777</v>
      </c>
      <c r="L13" s="203">
        <f t="shared" si="2"/>
        <v>60.701601607541726</v>
      </c>
      <c r="N13" s="120"/>
      <c r="O13" s="120"/>
      <c r="P13" s="120"/>
      <c r="Q13" s="120"/>
      <c r="R13" s="120"/>
      <c r="S13" s="120"/>
      <c r="U13" s="198"/>
      <c r="V13" s="198"/>
      <c r="W13" s="198"/>
      <c r="X13" s="198"/>
      <c r="Y13" s="198"/>
      <c r="Z13" s="198"/>
      <c r="AB13" s="198"/>
      <c r="AC13" s="198"/>
      <c r="AD13" s="198"/>
      <c r="AE13" s="198"/>
      <c r="AF13" s="198"/>
      <c r="AG13" s="198"/>
    </row>
    <row r="14" spans="1:33" s="182" customFormat="1" x14ac:dyDescent="0.3">
      <c r="A14" s="209" t="str">
        <f>'Population and treatments'!B69</f>
        <v xml:space="preserve">People having pembrolizumab as neoadjuvant </v>
      </c>
      <c r="B14" s="717"/>
      <c r="C14" s="200">
        <f>'Population and treatments'!I69</f>
        <v>235.57630608500767</v>
      </c>
      <c r="D14" s="200">
        <f>'Population and treatments'!J69</f>
        <v>353.36445912751151</v>
      </c>
      <c r="E14" s="200">
        <f>'Population and treatments'!K69</f>
        <v>494.71024277851609</v>
      </c>
      <c r="F14" s="200">
        <f>'Population and treatments'!L69</f>
        <v>541.82550399551769</v>
      </c>
      <c r="G14"/>
      <c r="H14" s="203">
        <f>'Unit costs'!B18</f>
        <v>112.031643324128</v>
      </c>
      <c r="I14" s="203">
        <f t="shared" si="3"/>
        <v>26.392000698931184</v>
      </c>
      <c r="J14" s="203">
        <f t="shared" si="0"/>
        <v>39.588001048396777</v>
      </c>
      <c r="K14" s="203">
        <f t="shared" si="1"/>
        <v>55.423201467755483</v>
      </c>
      <c r="L14" s="203">
        <f t="shared" si="2"/>
        <v>60.701601607541726</v>
      </c>
      <c r="N14" s="120"/>
      <c r="O14" s="120"/>
      <c r="P14" s="120"/>
      <c r="Q14" s="120"/>
      <c r="R14" s="120"/>
      <c r="S14" s="120"/>
      <c r="U14" s="198"/>
      <c r="V14" s="198"/>
      <c r="W14" s="198"/>
      <c r="X14" s="198"/>
      <c r="Y14" s="198"/>
      <c r="Z14" s="198"/>
      <c r="AB14" s="198"/>
      <c r="AC14" s="198"/>
      <c r="AD14" s="198"/>
      <c r="AE14" s="198"/>
      <c r="AF14" s="198"/>
      <c r="AG14" s="198"/>
    </row>
    <row r="15" spans="1:33" s="182" customFormat="1" x14ac:dyDescent="0.3">
      <c r="A15" s="209" t="str">
        <f>'Population and treatments'!B70</f>
        <v xml:space="preserve">People having IV nivolumab as adjuvant </v>
      </c>
      <c r="B15" s="717"/>
      <c r="C15" s="200">
        <f>'Population and treatments'!I70</f>
        <v>0</v>
      </c>
      <c r="D15" s="200">
        <f>'Population and treatments'!J70</f>
        <v>189.87450270451617</v>
      </c>
      <c r="E15" s="200">
        <f>'Population and treatments'!K70</f>
        <v>175.26877172724571</v>
      </c>
      <c r="F15" s="200">
        <f>'Population and treatments'!L70</f>
        <v>167.96590623861047</v>
      </c>
      <c r="G15"/>
      <c r="H15" s="203">
        <f>'Unit costs'!B14</f>
        <v>0</v>
      </c>
      <c r="I15" s="203">
        <f t="shared" si="3"/>
        <v>0</v>
      </c>
      <c r="J15" s="203">
        <f t="shared" si="0"/>
        <v>0</v>
      </c>
      <c r="K15" s="203">
        <f t="shared" si="1"/>
        <v>0</v>
      </c>
      <c r="L15" s="203">
        <f t="shared" si="2"/>
        <v>0</v>
      </c>
      <c r="N15" s="120"/>
      <c r="O15" s="120"/>
      <c r="P15" s="120"/>
      <c r="Q15" s="120"/>
      <c r="R15" s="120"/>
      <c r="S15" s="120"/>
      <c r="U15" s="198"/>
      <c r="V15" s="198"/>
      <c r="W15" s="198"/>
      <c r="X15" s="198"/>
      <c r="Y15" s="198"/>
      <c r="Z15" s="198"/>
      <c r="AB15" s="198"/>
      <c r="AC15" s="198"/>
      <c r="AD15" s="198"/>
      <c r="AE15" s="198"/>
      <c r="AF15" s="198"/>
      <c r="AG15" s="198"/>
    </row>
    <row r="16" spans="1:33" s="182" customFormat="1" x14ac:dyDescent="0.3">
      <c r="A16" s="209" t="str">
        <f>'Population and treatments'!B71</f>
        <v xml:space="preserve">People having subcutaneous nivolumab as adjuvant </v>
      </c>
      <c r="B16" s="717"/>
      <c r="C16" s="200">
        <f>'Population and treatments'!I71</f>
        <v>0</v>
      </c>
      <c r="D16" s="200">
        <f>'Population and treatments'!J71</f>
        <v>189.87450270451617</v>
      </c>
      <c r="E16" s="200">
        <f>'Population and treatments'!K71</f>
        <v>175.26877172724571</v>
      </c>
      <c r="F16" s="200">
        <f>'Population and treatments'!L71</f>
        <v>167.96590623861047</v>
      </c>
      <c r="G16"/>
      <c r="H16" s="203">
        <f>'Unit costs'!B15</f>
        <v>0</v>
      </c>
      <c r="I16" s="203">
        <f t="shared" si="3"/>
        <v>0</v>
      </c>
      <c r="J16" s="203">
        <f t="shared" si="0"/>
        <v>0</v>
      </c>
      <c r="K16" s="203">
        <f t="shared" si="1"/>
        <v>0</v>
      </c>
      <c r="L16" s="203">
        <f t="shared" si="2"/>
        <v>0</v>
      </c>
      <c r="N16" s="120"/>
      <c r="O16" s="120"/>
      <c r="P16" s="120"/>
      <c r="Q16" s="120"/>
      <c r="R16" s="120"/>
      <c r="S16" s="120"/>
      <c r="U16" s="198"/>
      <c r="V16" s="198"/>
      <c r="W16" s="198"/>
      <c r="X16" s="198"/>
      <c r="Y16" s="198"/>
      <c r="Z16" s="198"/>
      <c r="AB16" s="198"/>
      <c r="AC16" s="198"/>
      <c r="AD16" s="198"/>
      <c r="AE16" s="198"/>
      <c r="AF16" s="198"/>
      <c r="AG16" s="198"/>
    </row>
    <row r="17" spans="1:33" s="182" customFormat="1" x14ac:dyDescent="0.3">
      <c r="A17" s="209" t="str">
        <f>'Population and treatments'!B72</f>
        <v xml:space="preserve">People having durvalumab as adjuvant </v>
      </c>
      <c r="B17" s="717"/>
      <c r="C17" s="200">
        <f>'Population and treatments'!I72</f>
        <v>15.548036201610509</v>
      </c>
      <c r="D17" s="200">
        <f>'Population and treatments'!J72</f>
        <v>155.48036201610506</v>
      </c>
      <c r="E17" s="200">
        <f>'Population and treatments'!K72</f>
        <v>233.22054302415762</v>
      </c>
      <c r="F17" s="200">
        <f>'Population and treatments'!L72</f>
        <v>357.60483263704168</v>
      </c>
      <c r="G17"/>
      <c r="H17" s="203">
        <f>'Unit costs'!B17</f>
        <v>0</v>
      </c>
      <c r="I17" s="203">
        <f t="shared" si="3"/>
        <v>0</v>
      </c>
      <c r="J17" s="203">
        <f t="shared" si="0"/>
        <v>0</v>
      </c>
      <c r="K17" s="203">
        <f t="shared" si="1"/>
        <v>0</v>
      </c>
      <c r="L17" s="203">
        <f t="shared" si="2"/>
        <v>0</v>
      </c>
      <c r="N17" s="120"/>
      <c r="O17" s="120"/>
      <c r="P17" s="120"/>
      <c r="Q17" s="120"/>
      <c r="R17" s="120"/>
      <c r="S17" s="120"/>
      <c r="U17" s="198"/>
      <c r="V17" s="198"/>
      <c r="W17" s="198"/>
      <c r="X17" s="198"/>
      <c r="Y17" s="198"/>
      <c r="Z17" s="198"/>
      <c r="AB17" s="198"/>
      <c r="AC17" s="198"/>
      <c r="AD17" s="198"/>
      <c r="AE17" s="198"/>
      <c r="AF17" s="198"/>
      <c r="AG17" s="198"/>
    </row>
    <row r="18" spans="1:33" s="182" customFormat="1" x14ac:dyDescent="0.3">
      <c r="A18" s="817" t="str">
        <f>'Population and treatments'!B73</f>
        <v xml:space="preserve">People having pembrolizumab as adjuvant </v>
      </c>
      <c r="B18" s="818"/>
      <c r="C18" s="819">
        <f>'Population and treatments'!I73</f>
        <v>167.73032993252545</v>
      </c>
      <c r="D18" s="819">
        <f>'Population and treatments'!J73</f>
        <v>251.59549489878819</v>
      </c>
      <c r="E18" s="819">
        <f>'Population and treatments'!K73</f>
        <v>352.23369285830341</v>
      </c>
      <c r="F18" s="819">
        <f>'Population and treatments'!L73</f>
        <v>385.77975884480855</v>
      </c>
      <c r="G18"/>
      <c r="H18" s="548">
        <f>'Unit costs'!B19</f>
        <v>0</v>
      </c>
      <c r="I18" s="203">
        <f t="shared" si="3"/>
        <v>0</v>
      </c>
      <c r="J18" s="203">
        <f t="shared" si="0"/>
        <v>0</v>
      </c>
      <c r="K18" s="203">
        <f t="shared" si="1"/>
        <v>0</v>
      </c>
      <c r="L18" s="203">
        <f t="shared" si="2"/>
        <v>0</v>
      </c>
      <c r="N18" s="120"/>
      <c r="O18" s="120"/>
      <c r="P18" s="120"/>
      <c r="Q18" s="120"/>
      <c r="R18" s="120"/>
      <c r="S18" s="120"/>
      <c r="U18" s="198"/>
      <c r="V18" s="198"/>
      <c r="W18" s="198"/>
      <c r="X18" s="198"/>
      <c r="Y18" s="198"/>
      <c r="Z18" s="198"/>
      <c r="AB18" s="198"/>
      <c r="AC18" s="198"/>
      <c r="AD18" s="198"/>
      <c r="AE18" s="198"/>
      <c r="AF18" s="198"/>
      <c r="AG18" s="198"/>
    </row>
    <row r="19" spans="1:33" s="182" customFormat="1" x14ac:dyDescent="0.3">
      <c r="A19" s="715" t="s">
        <v>2197</v>
      </c>
      <c r="B19" s="820"/>
      <c r="C19" s="821"/>
      <c r="D19" s="821"/>
      <c r="E19" s="821"/>
      <c r="F19" s="822"/>
      <c r="G19"/>
      <c r="H19" s="547"/>
      <c r="I19" s="204">
        <f>SUM(I12:I18)</f>
        <v>118.76400177715162</v>
      </c>
      <c r="J19" s="204">
        <f>SUM(J12:J18)</f>
        <v>134.5992025184018</v>
      </c>
      <c r="K19" s="204">
        <f>SUM(K12:K18)</f>
        <v>158.35200322791272</v>
      </c>
      <c r="L19" s="204">
        <f>SUM(L12:L18)</f>
        <v>182.10480389718722</v>
      </c>
      <c r="N19" s="120"/>
      <c r="O19" s="120"/>
      <c r="P19" s="120"/>
      <c r="Q19" s="120"/>
      <c r="R19" s="120"/>
      <c r="S19" s="120"/>
      <c r="U19" s="198"/>
      <c r="V19" s="198"/>
      <c r="W19" s="198"/>
      <c r="X19" s="198"/>
      <c r="Y19" s="198"/>
      <c r="Z19" s="198"/>
      <c r="AB19" s="198"/>
      <c r="AC19" s="198"/>
      <c r="AD19" s="198"/>
      <c r="AE19" s="198"/>
      <c r="AF19" s="198"/>
      <c r="AG19" s="198"/>
    </row>
    <row r="20" spans="1:33" x14ac:dyDescent="0.3">
      <c r="A20" s="195"/>
      <c r="B20" s="195"/>
      <c r="C20" s="195"/>
      <c r="D20" s="206"/>
      <c r="E20" s="206"/>
      <c r="F20" s="206"/>
      <c r="H20" s="195"/>
      <c r="J20" s="163">
        <f>J19-I19</f>
        <v>15.835200741250176</v>
      </c>
      <c r="K20" s="163">
        <f>K19-I19</f>
        <v>39.588001450761098</v>
      </c>
      <c r="L20" s="163">
        <f>L19-I19</f>
        <v>63.340802120035605</v>
      </c>
      <c r="M20" s="230" t="s">
        <v>1912</v>
      </c>
      <c r="N20" s="555"/>
      <c r="O20" s="164"/>
      <c r="P20" s="149"/>
    </row>
    <row r="21" spans="1:33" x14ac:dyDescent="0.3">
      <c r="A21" s="195"/>
      <c r="B21" s="195"/>
      <c r="C21" s="195"/>
      <c r="D21" s="206"/>
      <c r="E21" s="206"/>
      <c r="F21" s="206"/>
      <c r="H21" s="195"/>
      <c r="J21" s="163">
        <f>J20</f>
        <v>15.835200741250176</v>
      </c>
      <c r="K21" s="163">
        <f>K20-J20</f>
        <v>23.752800709510922</v>
      </c>
      <c r="L21" s="163">
        <f>L20-K20</f>
        <v>23.752800669274507</v>
      </c>
      <c r="M21" s="230" t="s">
        <v>1913</v>
      </c>
      <c r="N21" s="555"/>
      <c r="O21" s="164"/>
      <c r="P21" s="149"/>
    </row>
    <row r="23" spans="1:33" x14ac:dyDescent="0.3">
      <c r="A23" s="201" t="s">
        <v>2003</v>
      </c>
      <c r="B23" s="517"/>
      <c r="C23" s="199"/>
      <c r="D23" s="158"/>
      <c r="E23" s="158"/>
      <c r="F23" s="562"/>
      <c r="H23" s="195"/>
      <c r="I23" s="120"/>
    </row>
    <row r="24" spans="1:33" ht="43.2" x14ac:dyDescent="0.3">
      <c r="A24" s="193" t="s">
        <v>2072</v>
      </c>
      <c r="B24" s="718"/>
      <c r="C24" s="608" t="s">
        <v>2263</v>
      </c>
      <c r="D24" s="508" t="s">
        <v>2264</v>
      </c>
      <c r="E24" s="508" t="s">
        <v>2265</v>
      </c>
      <c r="F24" s="508" t="s">
        <v>2266</v>
      </c>
      <c r="H24" s="576" t="s">
        <v>2011</v>
      </c>
      <c r="I24" s="608" t="s">
        <v>2267</v>
      </c>
      <c r="J24" s="508" t="s">
        <v>2268</v>
      </c>
      <c r="K24" s="508" t="s">
        <v>2269</v>
      </c>
      <c r="L24" s="508" t="s">
        <v>2270</v>
      </c>
    </row>
    <row r="25" spans="1:33" x14ac:dyDescent="0.3">
      <c r="A25" s="300" t="s">
        <v>2071</v>
      </c>
      <c r="B25" s="719"/>
      <c r="C25" s="556">
        <f>C57</f>
        <v>5601.0622534771419</v>
      </c>
      <c r="D25" s="556">
        <f t="shared" ref="D25:F25" si="4">D57</f>
        <v>13369.426522936355</v>
      </c>
      <c r="E25" s="556">
        <f t="shared" si="4"/>
        <v>15475.101777246588</v>
      </c>
      <c r="F25" s="556">
        <f t="shared" si="4"/>
        <v>17860.735913708242</v>
      </c>
      <c r="H25" s="550"/>
      <c r="I25" s="203">
        <f>I57</f>
        <v>1806.5838068838093</v>
      </c>
      <c r="J25" s="203">
        <f>J57</f>
        <v>3339.4279460968401</v>
      </c>
      <c r="K25" s="203">
        <f>K57</f>
        <v>3882.069863338726</v>
      </c>
      <c r="L25" s="203">
        <f>L57</f>
        <v>4476.2242148964733</v>
      </c>
    </row>
    <row r="26" spans="1:33" x14ac:dyDescent="0.3">
      <c r="A26" s="300" t="s">
        <v>2005</v>
      </c>
      <c r="B26" s="719"/>
      <c r="C26" s="529">
        <f>Capacity!C56</f>
        <v>1243.3717435166704</v>
      </c>
      <c r="D26" s="528">
        <f>Capacity!D56</f>
        <v>1988.2640233574648</v>
      </c>
      <c r="E26" s="528">
        <f>Capacity!E56</f>
        <v>2349.4496158469988</v>
      </c>
      <c r="F26" s="528">
        <f>Capacity!F56</f>
        <v>2704.7929159456244</v>
      </c>
      <c r="H26" s="551">
        <f>'Unit costs'!K207</f>
        <v>340</v>
      </c>
      <c r="I26" s="203">
        <f>C26*$H26/1000</f>
        <v>422.74639279566793</v>
      </c>
      <c r="J26" s="203">
        <f t="shared" ref="J26:J27" si="5">D26*$H26/1000</f>
        <v>676.00976794153803</v>
      </c>
      <c r="K26" s="203">
        <f t="shared" ref="K26:K27" si="6">E26*$H26/1000</f>
        <v>798.81286938797962</v>
      </c>
      <c r="L26" s="203">
        <f t="shared" ref="L26:L27" si="7">F26*$H26/1000</f>
        <v>919.62959142151226</v>
      </c>
    </row>
    <row r="27" spans="1:33" x14ac:dyDescent="0.3">
      <c r="A27" s="300" t="s">
        <v>2204</v>
      </c>
      <c r="B27" s="719"/>
      <c r="C27" s="529">
        <f>Capacity!C76</f>
        <v>3730.1152305500118</v>
      </c>
      <c r="D27" s="529">
        <f>Capacity!D76</f>
        <v>5964.7920700723935</v>
      </c>
      <c r="E27" s="529">
        <f>Capacity!E76</f>
        <v>7048.3488475409958</v>
      </c>
      <c r="F27" s="529">
        <f>Capacity!F76</f>
        <v>8114.3787478368722</v>
      </c>
      <c r="H27" s="551">
        <f>'Unit costs'!K206</f>
        <v>154</v>
      </c>
      <c r="I27" s="203">
        <f t="shared" ref="I27" si="8">C27*$H27/1000</f>
        <v>574.43774550470187</v>
      </c>
      <c r="J27" s="203">
        <f t="shared" si="5"/>
        <v>918.57797879114867</v>
      </c>
      <c r="K27" s="203">
        <f t="shared" si="6"/>
        <v>1085.4457225213134</v>
      </c>
      <c r="L27" s="203">
        <f t="shared" si="7"/>
        <v>1249.6143271668784</v>
      </c>
    </row>
    <row r="28" spans="1:33" x14ac:dyDescent="0.3">
      <c r="A28" s="205" t="s">
        <v>2004</v>
      </c>
      <c r="B28" s="243"/>
      <c r="C28" s="724"/>
      <c r="D28" s="724"/>
      <c r="E28" s="724"/>
      <c r="F28" s="725"/>
      <c r="H28" s="560"/>
      <c r="I28" s="204">
        <f>SUM(I25:I27)</f>
        <v>2803.7679451841791</v>
      </c>
      <c r="J28" s="204">
        <f t="shared" ref="J28:L28" si="9">SUM(J25:J27)</f>
        <v>4934.0156928295264</v>
      </c>
      <c r="K28" s="204">
        <f t="shared" si="9"/>
        <v>5766.3284552480191</v>
      </c>
      <c r="L28" s="204">
        <f t="shared" si="9"/>
        <v>6645.4681334848647</v>
      </c>
      <c r="N28" s="1"/>
    </row>
    <row r="29" spans="1:33" x14ac:dyDescent="0.3">
      <c r="D29" s="206"/>
      <c r="E29" s="206"/>
      <c r="F29" s="206"/>
      <c r="G29" s="546"/>
      <c r="I29" s="120"/>
      <c r="J29" s="552">
        <f>J28-I28</f>
        <v>2130.2477476453473</v>
      </c>
      <c r="K29" s="552">
        <f>K28-I28</f>
        <v>2962.56051006384</v>
      </c>
      <c r="L29" s="552">
        <f>L28-I28</f>
        <v>3841.7001883006856</v>
      </c>
      <c r="M29" s="230" t="s">
        <v>1912</v>
      </c>
      <c r="N29" s="554"/>
      <c r="O29" s="164"/>
      <c r="P29" s="149"/>
    </row>
    <row r="30" spans="1:33" x14ac:dyDescent="0.3">
      <c r="D30" s="206"/>
      <c r="E30" s="206"/>
      <c r="F30" s="206"/>
      <c r="G30" s="546"/>
      <c r="I30" s="120"/>
      <c r="J30" s="163">
        <f>J29</f>
        <v>2130.2477476453473</v>
      </c>
      <c r="K30" s="163">
        <f>K29-J29</f>
        <v>832.31276241849264</v>
      </c>
      <c r="L30" s="163">
        <f>L29-K29</f>
        <v>879.13967823684561</v>
      </c>
      <c r="M30" s="553" t="s">
        <v>1913</v>
      </c>
      <c r="N30" s="145"/>
      <c r="O30" s="145"/>
      <c r="P30" s="146"/>
    </row>
    <row r="31" spans="1:33" x14ac:dyDescent="0.3">
      <c r="A31" s="221"/>
      <c r="B31" s="221"/>
      <c r="C31" s="221"/>
      <c r="D31" s="221"/>
      <c r="E31" s="221"/>
      <c r="F31" s="221"/>
      <c r="H31" s="221"/>
      <c r="I31" s="120"/>
    </row>
    <row r="32" spans="1:33" ht="43.2" x14ac:dyDescent="0.3">
      <c r="A32" s="193" t="s">
        <v>1914</v>
      </c>
      <c r="B32" s="194"/>
      <c r="C32" s="721"/>
      <c r="D32" s="599"/>
      <c r="E32" s="599"/>
      <c r="F32" s="599"/>
      <c r="G32" s="599"/>
      <c r="H32" s="194"/>
      <c r="I32" s="608" t="s">
        <v>2267</v>
      </c>
      <c r="J32" s="508" t="s">
        <v>2268</v>
      </c>
      <c r="K32" s="508" t="s">
        <v>2269</v>
      </c>
      <c r="L32" s="508" t="s">
        <v>2270</v>
      </c>
    </row>
    <row r="33" spans="1:16" x14ac:dyDescent="0.3">
      <c r="A33" s="205" t="s">
        <v>1992</v>
      </c>
      <c r="B33" s="243"/>
      <c r="C33" s="554"/>
      <c r="D33" s="164"/>
      <c r="E33" s="164"/>
      <c r="F33" s="164"/>
      <c r="G33" s="555"/>
      <c r="H33" s="563"/>
      <c r="I33" s="257">
        <f>I28+I19</f>
        <v>2922.5319469613305</v>
      </c>
      <c r="J33" s="257">
        <f>J28+J19</f>
        <v>5068.6148953479278</v>
      </c>
      <c r="K33" s="257">
        <f>K28+K19</f>
        <v>5924.680458475932</v>
      </c>
      <c r="L33" s="257">
        <f>L28+L19</f>
        <v>6827.5729373820523</v>
      </c>
    </row>
    <row r="34" spans="1:16" x14ac:dyDescent="0.3">
      <c r="A34" s="571"/>
      <c r="B34" s="571"/>
      <c r="C34" s="484"/>
      <c r="D34" s="453"/>
      <c r="E34" s="453"/>
      <c r="F34" s="453"/>
      <c r="G34" s="572"/>
      <c r="H34" s="571"/>
      <c r="I34" s="573"/>
      <c r="J34" s="246">
        <f>J33-$I$33</f>
        <v>2146.0829483865973</v>
      </c>
      <c r="K34" s="246">
        <f>K33-$I$33</f>
        <v>3002.1485115146015</v>
      </c>
      <c r="L34" s="246">
        <f>L33-$I$33</f>
        <v>3905.0409904207218</v>
      </c>
      <c r="M34" s="230" t="s">
        <v>1912</v>
      </c>
      <c r="N34" s="164"/>
      <c r="O34" s="164"/>
      <c r="P34" s="149"/>
    </row>
    <row r="35" spans="1:16" x14ac:dyDescent="0.3">
      <c r="A35" s="574"/>
      <c r="B35" s="574"/>
      <c r="G35" s="546"/>
      <c r="H35" s="574"/>
      <c r="I35" s="575"/>
      <c r="J35" s="247">
        <f>J33-I33</f>
        <v>2146.0829483865973</v>
      </c>
      <c r="K35" s="247">
        <f>K33-J33</f>
        <v>856.06556312800421</v>
      </c>
      <c r="L35" s="247">
        <f>L33-K33</f>
        <v>902.89247890612023</v>
      </c>
      <c r="M35" s="553" t="s">
        <v>1913</v>
      </c>
      <c r="N35" s="145"/>
      <c r="O35" s="145"/>
      <c r="P35" s="146"/>
    </row>
    <row r="36" spans="1:16" ht="15" thickBot="1" x14ac:dyDescent="0.35">
      <c r="A36" s="248"/>
      <c r="B36" s="248"/>
      <c r="C36" s="248"/>
      <c r="D36" s="249"/>
      <c r="E36" s="249"/>
      <c r="F36" s="249"/>
      <c r="G36" s="250"/>
      <c r="H36" s="248"/>
      <c r="I36" s="250"/>
      <c r="J36" s="564"/>
      <c r="K36" s="564"/>
      <c r="L36" s="564"/>
      <c r="M36" s="564"/>
      <c r="N36" s="564"/>
      <c r="O36" s="564"/>
      <c r="P36" s="564"/>
    </row>
    <row r="37" spans="1:16" x14ac:dyDescent="0.3">
      <c r="A37" s="195"/>
      <c r="B37" s="195"/>
      <c r="C37" s="195"/>
      <c r="D37" s="206"/>
      <c r="E37" s="206"/>
      <c r="F37" s="206"/>
      <c r="G37" s="120"/>
      <c r="H37" s="195"/>
      <c r="I37" s="120"/>
    </row>
    <row r="38" spans="1:16" x14ac:dyDescent="0.3">
      <c r="A38" s="722" t="s">
        <v>2262</v>
      </c>
      <c r="B38" s="726"/>
      <c r="C38" s="727"/>
      <c r="D38" s="728"/>
      <c r="E38" s="728"/>
      <c r="F38" s="316"/>
      <c r="G38" s="120"/>
      <c r="I38" s="120"/>
    </row>
    <row r="39" spans="1:16" ht="43.2" x14ac:dyDescent="0.3">
      <c r="A39" s="722" t="s">
        <v>2009</v>
      </c>
      <c r="B39" s="729"/>
      <c r="C39" s="608" t="s">
        <v>2263</v>
      </c>
      <c r="D39" s="508" t="s">
        <v>2264</v>
      </c>
      <c r="E39" s="508" t="s">
        <v>2265</v>
      </c>
      <c r="F39" s="508" t="s">
        <v>2266</v>
      </c>
      <c r="G39" s="120"/>
      <c r="H39" s="17"/>
      <c r="I39" s="881"/>
    </row>
    <row r="40" spans="1:16" x14ac:dyDescent="0.3">
      <c r="A40" s="876" t="s">
        <v>2257</v>
      </c>
      <c r="B40" s="875"/>
      <c r="C40" s="877">
        <f>Capacity!C66</f>
        <v>414.45724783889011</v>
      </c>
      <c r="D40" s="877">
        <f>Capacity!D66</f>
        <v>662.75467445248819</v>
      </c>
      <c r="E40" s="877">
        <f>Capacity!E66</f>
        <v>783.14987194899948</v>
      </c>
      <c r="F40" s="877">
        <f>Capacity!F66</f>
        <v>901.59763864854131</v>
      </c>
      <c r="G40" s="120"/>
      <c r="I40" s="120"/>
    </row>
    <row r="41" spans="1:16" x14ac:dyDescent="0.3">
      <c r="A41" s="300" t="s">
        <v>2000</v>
      </c>
      <c r="B41" s="719"/>
      <c r="C41" s="557">
        <f>Capacity!C76</f>
        <v>3730.1152305500118</v>
      </c>
      <c r="D41" s="557">
        <f>Capacity!D76</f>
        <v>5964.7920700723935</v>
      </c>
      <c r="E41" s="557">
        <f>Capacity!E76</f>
        <v>7048.3488475409958</v>
      </c>
      <c r="F41" s="557">
        <f>Capacity!F76</f>
        <v>8114.3787478368722</v>
      </c>
      <c r="G41" s="120"/>
      <c r="I41" s="120"/>
    </row>
    <row r="42" spans="1:16" x14ac:dyDescent="0.3">
      <c r="A42" s="300" t="s">
        <v>2258</v>
      </c>
      <c r="B42" s="719"/>
      <c r="C42" s="557">
        <f>Capacity!C95</f>
        <v>0</v>
      </c>
      <c r="D42" s="557">
        <f>Capacity!D95</f>
        <v>0</v>
      </c>
      <c r="E42" s="557">
        <f>Capacity!E95</f>
        <v>0</v>
      </c>
      <c r="F42" s="557">
        <f>Capacity!F95</f>
        <v>0</v>
      </c>
      <c r="G42" s="120"/>
      <c r="I42" s="120"/>
    </row>
    <row r="43" spans="1:16" x14ac:dyDescent="0.3">
      <c r="A43" s="300" t="s">
        <v>2259</v>
      </c>
      <c r="B43" s="719"/>
      <c r="C43" s="557">
        <f>Capacity!C113</f>
        <v>1882.7258382313812</v>
      </c>
      <c r="D43" s="557">
        <f>Capacity!D113</f>
        <v>5267.2506277546863</v>
      </c>
      <c r="E43" s="557">
        <f>Capacity!E113</f>
        <v>6482.1176382350714</v>
      </c>
      <c r="F43" s="557">
        <f>Capacity!F113</f>
        <v>8633.9894061685736</v>
      </c>
      <c r="G43" s="120"/>
      <c r="I43" s="120"/>
    </row>
    <row r="44" spans="1:16" x14ac:dyDescent="0.3">
      <c r="A44" s="300" t="s">
        <v>2001</v>
      </c>
      <c r="B44" s="719"/>
      <c r="C44" s="557">
        <f>Capacity!$C123</f>
        <v>0</v>
      </c>
      <c r="D44" s="557">
        <f>Capacity!$D123</f>
        <v>0</v>
      </c>
      <c r="E44" s="557">
        <f>Capacity!$E123</f>
        <v>0</v>
      </c>
      <c r="F44" s="557">
        <f>Capacity!$F123</f>
        <v>0</v>
      </c>
      <c r="G44" s="120"/>
      <c r="I44" s="120"/>
    </row>
    <row r="45" spans="1:16" x14ac:dyDescent="0.3">
      <c r="A45" s="300" t="s">
        <v>2002</v>
      </c>
      <c r="B45" s="719"/>
      <c r="C45" s="529">
        <f>Capacity!$C133</f>
        <v>0</v>
      </c>
      <c r="D45" s="529">
        <f>Capacity!$D133</f>
        <v>0</v>
      </c>
      <c r="E45" s="529">
        <f>Capacity!$E133</f>
        <v>0</v>
      </c>
      <c r="F45" s="529">
        <f>Capacity!$F133</f>
        <v>0</v>
      </c>
      <c r="G45" s="120"/>
      <c r="I45" s="120"/>
    </row>
    <row r="46" spans="1:16" x14ac:dyDescent="0.3">
      <c r="A46" s="540"/>
      <c r="B46" s="540"/>
      <c r="C46" s="195"/>
      <c r="D46" s="191"/>
      <c r="E46" s="191"/>
      <c r="F46" s="191"/>
      <c r="G46" s="120"/>
      <c r="I46" s="120"/>
    </row>
    <row r="47" spans="1:16" x14ac:dyDescent="0.3">
      <c r="A47" s="540"/>
      <c r="B47" s="540"/>
      <c r="C47" s="195"/>
      <c r="D47" s="191"/>
      <c r="E47" s="191"/>
      <c r="F47" s="191"/>
      <c r="G47" s="120"/>
      <c r="I47" s="120"/>
    </row>
    <row r="48" spans="1:16" x14ac:dyDescent="0.3">
      <c r="A48" s="722" t="s">
        <v>2010</v>
      </c>
      <c r="B48" s="721"/>
      <c r="C48" s="721"/>
      <c r="D48" s="599"/>
      <c r="E48" s="599"/>
      <c r="F48" s="600"/>
    </row>
    <row r="49" spans="1:13" ht="86.1" customHeight="1" x14ac:dyDescent="0.3">
      <c r="A49" s="720" t="s">
        <v>2038</v>
      </c>
      <c r="B49" s="723" t="s">
        <v>2198</v>
      </c>
      <c r="C49" s="608" t="s">
        <v>2263</v>
      </c>
      <c r="D49" s="508" t="s">
        <v>2264</v>
      </c>
      <c r="E49" s="508" t="s">
        <v>2265</v>
      </c>
      <c r="F49" s="508" t="s">
        <v>2266</v>
      </c>
      <c r="G49" s="504"/>
      <c r="H49" s="576" t="s">
        <v>2011</v>
      </c>
      <c r="I49" s="608" t="s">
        <v>2267</v>
      </c>
      <c r="J49" s="508" t="s">
        <v>2268</v>
      </c>
      <c r="K49" s="508" t="s">
        <v>2269</v>
      </c>
      <c r="L49" s="508" t="s">
        <v>2270</v>
      </c>
      <c r="M49" s="504"/>
    </row>
    <row r="50" spans="1:13" x14ac:dyDescent="0.3">
      <c r="A50" s="300" t="str">
        <f t="shared" ref="A50:A56" si="10">A12</f>
        <v xml:space="preserve">People having nivolumab as neoadjuvant  </v>
      </c>
      <c r="B50" s="557">
        <f>'Unit costs'!M54</f>
        <v>4</v>
      </c>
      <c r="C50" s="557">
        <f t="shared" ref="C50:F53" si="11">$B50*C12</f>
        <v>3203.8377627561044</v>
      </c>
      <c r="D50" s="557">
        <f t="shared" si="11"/>
        <v>2449.9935832840797</v>
      </c>
      <c r="E50" s="557">
        <f t="shared" si="11"/>
        <v>2261.5325384160737</v>
      </c>
      <c r="F50" s="557">
        <f t="shared" si="11"/>
        <v>2167.3020159820708</v>
      </c>
      <c r="G50" s="504"/>
      <c r="H50" s="558">
        <f>'Unit costs'!C13</f>
        <v>1468</v>
      </c>
      <c r="I50" s="558">
        <f t="shared" ref="I50:L56" si="12">C12*$H50/1000</f>
        <v>1175.8084589314903</v>
      </c>
      <c r="J50" s="558">
        <f t="shared" si="12"/>
        <v>899.14764506525717</v>
      </c>
      <c r="K50" s="558">
        <f t="shared" si="12"/>
        <v>829.9824415986991</v>
      </c>
      <c r="L50" s="558">
        <f t="shared" si="12"/>
        <v>795.39983986542006</v>
      </c>
      <c r="M50" s="504"/>
    </row>
    <row r="51" spans="1:13" x14ac:dyDescent="0.3">
      <c r="A51" s="300" t="str">
        <f t="shared" si="10"/>
        <v>People having durvalumab as neoadjuvant</v>
      </c>
      <c r="B51" s="557">
        <f>'Unit costs'!E16</f>
        <v>4</v>
      </c>
      <c r="C51" s="557">
        <f t="shared" si="11"/>
        <v>94.230522434003078</v>
      </c>
      <c r="D51" s="557">
        <f t="shared" si="11"/>
        <v>942.30522434003069</v>
      </c>
      <c r="E51" s="557">
        <f t="shared" si="11"/>
        <v>1413.457836510046</v>
      </c>
      <c r="F51" s="557">
        <f t="shared" si="11"/>
        <v>2167.3020159820708</v>
      </c>
      <c r="G51" s="504"/>
      <c r="H51" s="558">
        <f>'Unit costs'!C16</f>
        <v>1468</v>
      </c>
      <c r="I51" s="558">
        <f t="shared" si="12"/>
        <v>34.582601733279134</v>
      </c>
      <c r="J51" s="558">
        <f t="shared" si="12"/>
        <v>345.82601733279125</v>
      </c>
      <c r="K51" s="558">
        <f t="shared" si="12"/>
        <v>518.73902599918688</v>
      </c>
      <c r="L51" s="558">
        <f t="shared" si="12"/>
        <v>795.39983986542006</v>
      </c>
      <c r="M51" s="504"/>
    </row>
    <row r="52" spans="1:13" x14ac:dyDescent="0.3">
      <c r="A52" s="300" t="str">
        <f t="shared" si="10"/>
        <v xml:space="preserve">People having pembrolizumab as neoadjuvant </v>
      </c>
      <c r="B52" s="557">
        <f>'Unit costs'!E18</f>
        <v>4</v>
      </c>
      <c r="C52" s="557">
        <f t="shared" si="11"/>
        <v>942.30522434003069</v>
      </c>
      <c r="D52" s="557">
        <f t="shared" si="11"/>
        <v>1413.457836510046</v>
      </c>
      <c r="E52" s="557">
        <f t="shared" si="11"/>
        <v>1978.8409711140644</v>
      </c>
      <c r="F52" s="557">
        <f t="shared" si="11"/>
        <v>2167.3020159820708</v>
      </c>
      <c r="H52" s="558">
        <f>'Unit costs'!C18</f>
        <v>1468</v>
      </c>
      <c r="I52" s="558">
        <f t="shared" si="12"/>
        <v>345.82601733279125</v>
      </c>
      <c r="J52" s="558">
        <f t="shared" si="12"/>
        <v>518.73902599918688</v>
      </c>
      <c r="K52" s="558">
        <f t="shared" si="12"/>
        <v>726.23463639886165</v>
      </c>
      <c r="L52" s="558">
        <f t="shared" si="12"/>
        <v>795.39983986542006</v>
      </c>
    </row>
    <row r="53" spans="1:13" x14ac:dyDescent="0.3">
      <c r="A53" s="300" t="str">
        <f t="shared" si="10"/>
        <v xml:space="preserve">People having IV nivolumab as adjuvant </v>
      </c>
      <c r="B53" s="557">
        <f>'Unit costs'!E14</f>
        <v>13</v>
      </c>
      <c r="C53" s="557">
        <f t="shared" si="11"/>
        <v>0</v>
      </c>
      <c r="D53" s="557">
        <f t="shared" si="11"/>
        <v>2468.3685351587101</v>
      </c>
      <c r="E53" s="557">
        <f t="shared" si="11"/>
        <v>2278.494032454194</v>
      </c>
      <c r="F53" s="557">
        <f t="shared" si="11"/>
        <v>2183.5567811019359</v>
      </c>
      <c r="H53" s="558">
        <f>'Unit costs'!C14</f>
        <v>2392</v>
      </c>
      <c r="I53" s="558">
        <f t="shared" si="12"/>
        <v>0</v>
      </c>
      <c r="J53" s="558">
        <f t="shared" si="12"/>
        <v>454.17981046920272</v>
      </c>
      <c r="K53" s="558">
        <f t="shared" si="12"/>
        <v>419.24290197157171</v>
      </c>
      <c r="L53" s="558">
        <f t="shared" si="12"/>
        <v>401.77444772275624</v>
      </c>
    </row>
    <row r="54" spans="1:13" x14ac:dyDescent="0.3">
      <c r="A54" s="300" t="str">
        <f t="shared" si="10"/>
        <v xml:space="preserve">People having subcutaneous nivolumab as adjuvant </v>
      </c>
      <c r="B54" s="557">
        <f>'Unit costs'!E15</f>
        <v>13</v>
      </c>
      <c r="C54" s="557">
        <f>$B54*C16</f>
        <v>0</v>
      </c>
      <c r="D54" s="557">
        <f t="shared" ref="D54:F54" si="13">$B54*D16</f>
        <v>2468.3685351587101</v>
      </c>
      <c r="E54" s="557">
        <f t="shared" si="13"/>
        <v>2278.494032454194</v>
      </c>
      <c r="F54" s="557">
        <f t="shared" si="13"/>
        <v>2183.5567811019359</v>
      </c>
      <c r="H54" s="558">
        <f>'Unit costs'!C15</f>
        <v>2392</v>
      </c>
      <c r="I54" s="558">
        <f t="shared" si="12"/>
        <v>0</v>
      </c>
      <c r="J54" s="558">
        <f t="shared" si="12"/>
        <v>454.17981046920272</v>
      </c>
      <c r="K54" s="558">
        <f t="shared" si="12"/>
        <v>419.24290197157171</v>
      </c>
      <c r="L54" s="558">
        <f t="shared" si="12"/>
        <v>401.77444772275624</v>
      </c>
    </row>
    <row r="55" spans="1:13" x14ac:dyDescent="0.3">
      <c r="A55" s="300" t="str">
        <f t="shared" si="10"/>
        <v xml:space="preserve">People having durvalumab as adjuvant </v>
      </c>
      <c r="B55" s="557">
        <f>'Unit costs'!E17</f>
        <v>12</v>
      </c>
      <c r="C55" s="557">
        <f>$B55*C17</f>
        <v>186.57643441932612</v>
      </c>
      <c r="D55" s="557">
        <f t="shared" ref="D55:F56" si="14">$B55*D17</f>
        <v>1865.7643441932607</v>
      </c>
      <c r="E55" s="557">
        <f t="shared" si="14"/>
        <v>2798.6465162898912</v>
      </c>
      <c r="F55" s="557">
        <f t="shared" si="14"/>
        <v>4291.2579916445002</v>
      </c>
      <c r="H55" s="558">
        <f>'Unit costs'!C17</f>
        <v>2208</v>
      </c>
      <c r="I55" s="558">
        <f t="shared" si="12"/>
        <v>34.330063933156005</v>
      </c>
      <c r="J55" s="558">
        <f t="shared" si="12"/>
        <v>343.30063933155998</v>
      </c>
      <c r="K55" s="558">
        <f t="shared" si="12"/>
        <v>514.95095899733997</v>
      </c>
      <c r="L55" s="558">
        <f t="shared" si="12"/>
        <v>789.59147046258806</v>
      </c>
    </row>
    <row r="56" spans="1:13" x14ac:dyDescent="0.3">
      <c r="A56" s="300" t="str">
        <f t="shared" si="10"/>
        <v xml:space="preserve">People having pembrolizumab as adjuvant </v>
      </c>
      <c r="B56" s="557">
        <f>'Unit costs'!E19</f>
        <v>7</v>
      </c>
      <c r="C56" s="557">
        <f>$B56*C18</f>
        <v>1174.1123095276782</v>
      </c>
      <c r="D56" s="557">
        <f t="shared" si="14"/>
        <v>1761.1684642915172</v>
      </c>
      <c r="E56" s="557">
        <f t="shared" si="14"/>
        <v>2465.6358500081237</v>
      </c>
      <c r="F56" s="557">
        <f t="shared" si="14"/>
        <v>2700.4583119136601</v>
      </c>
      <c r="H56" s="558">
        <f>'Unit costs'!C19</f>
        <v>1288</v>
      </c>
      <c r="I56" s="558">
        <f t="shared" si="12"/>
        <v>216.03666495309278</v>
      </c>
      <c r="J56" s="558">
        <f t="shared" si="12"/>
        <v>324.05499742963917</v>
      </c>
      <c r="K56" s="558">
        <f t="shared" si="12"/>
        <v>453.67699640149476</v>
      </c>
      <c r="L56" s="558">
        <f t="shared" si="12"/>
        <v>496.88432939211344</v>
      </c>
    </row>
    <row r="57" spans="1:13" x14ac:dyDescent="0.3">
      <c r="C57" s="825">
        <f>SUM(C50:C56)</f>
        <v>5601.0622534771419</v>
      </c>
      <c r="D57" s="825">
        <f>SUM(D50:D56)</f>
        <v>13369.426522936355</v>
      </c>
      <c r="E57" s="825">
        <f>SUM(E50:E56)</f>
        <v>15475.101777246588</v>
      </c>
      <c r="F57" s="825">
        <f>SUM(F50:F56)</f>
        <v>17860.735913708242</v>
      </c>
      <c r="I57" s="559">
        <f>SUM(I50:I56)</f>
        <v>1806.5838068838093</v>
      </c>
      <c r="J57" s="559">
        <f>SUM(J50:J56)</f>
        <v>3339.4279460968401</v>
      </c>
      <c r="K57" s="559">
        <f>SUM(K50:K56)</f>
        <v>3882.069863338726</v>
      </c>
      <c r="L57" s="559">
        <f>SUM(L50:L56)</f>
        <v>4476.2242148964733</v>
      </c>
    </row>
  </sheetData>
  <sheetProtection algorithmName="SHA-512" hashValue="TZgS2DhAjJ5t0MTqcxEo10XIGifUJJIsj/xSoH5Q/IR1Nw0OYsJDXJzvsTYGByA7azTIml8cYIb3u5YmVHJ12g==" saltValue="G0VzJ+XCkJZCGvQ98jjGo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Q93"/>
  <sheetViews>
    <sheetView showGridLines="0" zoomScale="80" zoomScaleNormal="80" zoomScaleSheetLayoutView="25" workbookViewId="0"/>
  </sheetViews>
  <sheetFormatPr defaultRowHeight="14.4" x14ac:dyDescent="0.3"/>
  <cols>
    <col min="1" max="1" width="5.5546875" customWidth="1"/>
    <col min="2" max="2" width="130.88671875" customWidth="1"/>
    <col min="3" max="3" width="16.109375" customWidth="1"/>
    <col min="4" max="4" width="15.44140625" customWidth="1"/>
    <col min="5" max="6" width="13.44140625" customWidth="1"/>
    <col min="7" max="7" width="13.5546875" customWidth="1"/>
    <col min="8" max="8" width="5.88671875" customWidth="1"/>
    <col min="9" max="9" width="13.88671875" customWidth="1"/>
    <col min="10" max="11" width="13.44140625" customWidth="1"/>
    <col min="12" max="12" width="13" customWidth="1"/>
    <col min="13" max="13" width="55" customWidth="1"/>
  </cols>
  <sheetData>
    <row r="1" spans="1:13" s="128" customFormat="1" ht="30" customHeight="1" x14ac:dyDescent="0.3">
      <c r="A1" s="838" t="s">
        <v>2256</v>
      </c>
    </row>
    <row r="2" spans="1:13" ht="30" customHeight="1" x14ac:dyDescent="0.3">
      <c r="A2" s="139" t="s">
        <v>2064</v>
      </c>
      <c r="B2" s="139"/>
      <c r="C2" s="138"/>
      <c r="D2" s="138"/>
      <c r="E2" s="138"/>
      <c r="F2" s="138"/>
      <c r="G2" s="138"/>
      <c r="H2" s="138"/>
      <c r="I2" s="138"/>
      <c r="J2" s="138"/>
      <c r="K2" s="138"/>
      <c r="L2" s="138"/>
      <c r="M2" s="138"/>
    </row>
    <row r="4" spans="1:13" x14ac:dyDescent="0.3">
      <c r="A4" s="220" t="s">
        <v>2066</v>
      </c>
      <c r="B4" s="469"/>
      <c r="C4" s="469"/>
      <c r="D4" s="469"/>
      <c r="E4" s="469"/>
      <c r="F4" s="469"/>
      <c r="G4" s="469"/>
      <c r="H4" s="469"/>
      <c r="I4" s="469"/>
      <c r="J4" s="469"/>
      <c r="K4" s="469"/>
      <c r="L4" s="469"/>
      <c r="M4" s="543"/>
    </row>
    <row r="5" spans="1:13" x14ac:dyDescent="0.3">
      <c r="A5" s="711" t="s">
        <v>2065</v>
      </c>
      <c r="B5" s="174"/>
      <c r="C5" s="174"/>
      <c r="D5" s="174"/>
      <c r="E5" s="174"/>
      <c r="F5" s="174"/>
      <c r="G5" s="174"/>
      <c r="H5" s="174"/>
      <c r="I5" s="174"/>
      <c r="J5" s="174"/>
      <c r="K5" s="174"/>
      <c r="L5" s="174"/>
      <c r="M5" s="176"/>
    </row>
    <row r="7" spans="1:13" x14ac:dyDescent="0.3">
      <c r="A7" s="140" t="s">
        <v>1844</v>
      </c>
      <c r="B7" s="453"/>
      <c r="C7" s="453"/>
      <c r="D7" s="453"/>
      <c r="E7" s="453"/>
      <c r="F7" s="453"/>
      <c r="G7" s="453"/>
      <c r="H7" s="453"/>
      <c r="I7" s="453"/>
      <c r="J7" s="453"/>
      <c r="K7" s="453"/>
      <c r="L7" s="453"/>
      <c r="M7" s="544"/>
    </row>
    <row r="8" spans="1:13" x14ac:dyDescent="0.3">
      <c r="A8" s="141"/>
      <c r="B8" s="136" t="s">
        <v>1845</v>
      </c>
      <c r="C8" s="135" t="s">
        <v>21</v>
      </c>
      <c r="M8" s="142"/>
    </row>
    <row r="9" spans="1:13" x14ac:dyDescent="0.3">
      <c r="A9" s="141"/>
      <c r="B9" s="136" t="s">
        <v>41</v>
      </c>
      <c r="C9" s="135" t="s">
        <v>62</v>
      </c>
      <c r="D9" s="115">
        <f>'Population selection'!F14</f>
        <v>45691677</v>
      </c>
      <c r="E9" t="str">
        <f>B21&amp;" based on selection on left using mid-2022 ONS data"</f>
        <v>Adult population based on selection on left using mid-2022 ONS data</v>
      </c>
      <c r="M9" s="142"/>
    </row>
    <row r="10" spans="1:13" x14ac:dyDescent="0.3">
      <c r="A10" s="141"/>
      <c r="B10" s="136"/>
      <c r="D10" s="463">
        <v>2.5222393017283001E-2</v>
      </c>
      <c r="E10" t="s">
        <v>1982</v>
      </c>
      <c r="H10" s="737"/>
      <c r="M10" s="142"/>
    </row>
    <row r="11" spans="1:13" x14ac:dyDescent="0.3">
      <c r="A11" s="141"/>
      <c r="B11" s="133"/>
      <c r="D11" s="157">
        <f>(100%+D10)*D9</f>
        <v>46844130.434912749</v>
      </c>
      <c r="E11" t="s">
        <v>1983</v>
      </c>
      <c r="M11" s="142"/>
    </row>
    <row r="12" spans="1:13" x14ac:dyDescent="0.3">
      <c r="A12" s="141"/>
      <c r="B12" s="133"/>
      <c r="M12" s="142"/>
    </row>
    <row r="13" spans="1:13" x14ac:dyDescent="0.3">
      <c r="A13" s="141"/>
      <c r="B13" s="136" t="s">
        <v>1846</v>
      </c>
      <c r="C13" s="602"/>
      <c r="D13" t="s">
        <v>1847</v>
      </c>
      <c r="M13" s="142"/>
    </row>
    <row r="14" spans="1:13" x14ac:dyDescent="0.3">
      <c r="A14" s="141"/>
      <c r="B14" s="133"/>
      <c r="H14" s="737"/>
      <c r="I14" s="737"/>
      <c r="J14" s="737"/>
      <c r="K14" s="737"/>
      <c r="M14" s="142"/>
    </row>
    <row r="15" spans="1:13" x14ac:dyDescent="0.3">
      <c r="A15" s="143"/>
      <c r="B15" s="136" t="s">
        <v>2006</v>
      </c>
      <c r="C15" s="302"/>
      <c r="D15" t="str">
        <f>IF(C15=0,"Enter local estimate.  ONS growth estimate is 0.98% per year","Local value")</f>
        <v>Enter local estimate.  ONS growth estimate is 0.98% per year</v>
      </c>
      <c r="H15" s="737"/>
      <c r="I15" s="737"/>
      <c r="J15" s="737"/>
      <c r="K15" s="737"/>
      <c r="M15" s="142"/>
    </row>
    <row r="16" spans="1:13" x14ac:dyDescent="0.3">
      <c r="A16" s="143"/>
      <c r="B16" s="136" t="s">
        <v>1848</v>
      </c>
      <c r="C16" s="302"/>
      <c r="D16" t="str">
        <f>IF(C16=0,"Enter local estimate","Local value")</f>
        <v>Enter local estimate</v>
      </c>
      <c r="M16" s="142"/>
    </row>
    <row r="17" spans="1:17" x14ac:dyDescent="0.3">
      <c r="A17" s="144"/>
      <c r="B17" s="145"/>
      <c r="C17" s="145"/>
      <c r="D17" s="145"/>
      <c r="E17" s="145"/>
      <c r="F17" s="145"/>
      <c r="G17" s="145"/>
      <c r="H17" s="145"/>
      <c r="I17" s="145"/>
      <c r="J17" s="145"/>
      <c r="K17" s="145"/>
      <c r="L17" s="145"/>
      <c r="M17" s="146"/>
    </row>
    <row r="19" spans="1:17" x14ac:dyDescent="0.3">
      <c r="A19" s="140" t="s">
        <v>1849</v>
      </c>
      <c r="B19" s="453"/>
      <c r="C19" s="453"/>
      <c r="D19" s="453"/>
      <c r="E19" s="453"/>
      <c r="F19" s="453"/>
      <c r="G19" s="453"/>
      <c r="H19" s="453"/>
      <c r="I19" s="453"/>
      <c r="J19" s="453"/>
      <c r="K19" s="453"/>
      <c r="L19" s="453"/>
      <c r="M19" s="544"/>
    </row>
    <row r="20" spans="1:17" ht="28.8" x14ac:dyDescent="0.3">
      <c r="A20" s="141"/>
      <c r="B20" s="737"/>
      <c r="D20" s="181" t="s">
        <v>1911</v>
      </c>
      <c r="E20" s="173" t="s">
        <v>1879</v>
      </c>
      <c r="F20" s="469"/>
      <c r="G20" s="469"/>
      <c r="H20" s="469"/>
      <c r="I20" s="469"/>
      <c r="J20" s="469"/>
      <c r="K20" s="469"/>
      <c r="L20" s="543"/>
      <c r="M20" s="142"/>
    </row>
    <row r="21" spans="1:17" x14ac:dyDescent="0.3">
      <c r="A21" s="143"/>
      <c r="B21" s="601" t="s">
        <v>2094</v>
      </c>
      <c r="C21" s="149"/>
      <c r="D21" s="115">
        <f>IF(ISBLANK(C13),D11,C13)</f>
        <v>46844130.434912749</v>
      </c>
      <c r="E21" s="180" t="s">
        <v>2034</v>
      </c>
      <c r="F21" s="164"/>
      <c r="G21" s="164"/>
      <c r="H21" s="164"/>
      <c r="I21" s="164"/>
      <c r="J21" s="164"/>
      <c r="K21" s="164"/>
      <c r="L21" s="149"/>
      <c r="M21" s="142"/>
    </row>
    <row r="22" spans="1:17" x14ac:dyDescent="0.3">
      <c r="A22" s="143"/>
      <c r="B22" s="180" t="s">
        <v>2088</v>
      </c>
      <c r="C22" s="302">
        <v>8.2780899999999999E-4</v>
      </c>
      <c r="D22" s="462">
        <f t="shared" ref="D22:D23" si="0">D21*$C22</f>
        <v>38777.992771194688</v>
      </c>
      <c r="E22" s="211" t="s">
        <v>2086</v>
      </c>
      <c r="F22" s="164"/>
      <c r="G22" s="164"/>
      <c r="H22" s="164"/>
      <c r="I22" s="164"/>
      <c r="J22" s="164"/>
      <c r="K22" s="164"/>
      <c r="L22" s="149"/>
      <c r="M22" s="142"/>
    </row>
    <row r="23" spans="1:17" x14ac:dyDescent="0.3">
      <c r="A23" s="143"/>
      <c r="B23" s="180" t="s">
        <v>2215</v>
      </c>
      <c r="C23" s="302">
        <v>0.18</v>
      </c>
      <c r="D23" s="462">
        <f t="shared" si="0"/>
        <v>6980.0386988150431</v>
      </c>
      <c r="E23" s="837" t="s">
        <v>2087</v>
      </c>
      <c r="F23" s="164"/>
      <c r="G23" s="164"/>
      <c r="H23" s="164"/>
      <c r="I23" s="164"/>
      <c r="J23" s="164" t="s">
        <v>2089</v>
      </c>
      <c r="K23" s="164"/>
      <c r="L23" s="149"/>
      <c r="M23" s="142"/>
    </row>
    <row r="24" spans="1:17" ht="44.1" customHeight="1" x14ac:dyDescent="0.3">
      <c r="A24" s="143"/>
      <c r="B24" s="342" t="s">
        <v>2216</v>
      </c>
      <c r="C24" s="735">
        <v>0.55000000000000004</v>
      </c>
      <c r="D24" s="462">
        <f>D23*$C24</f>
        <v>3839.0212843482741</v>
      </c>
      <c r="E24" s="211" t="s">
        <v>2087</v>
      </c>
      <c r="F24" s="180"/>
      <c r="G24" s="164"/>
      <c r="H24" s="164"/>
      <c r="I24" s="164"/>
      <c r="J24" s="918" t="s">
        <v>2090</v>
      </c>
      <c r="K24" s="918"/>
      <c r="L24" s="919"/>
      <c r="M24" s="583"/>
    </row>
    <row r="25" spans="1:17" x14ac:dyDescent="0.3">
      <c r="A25" s="143"/>
      <c r="B25" s="733" t="s">
        <v>2217</v>
      </c>
      <c r="C25" s="736"/>
      <c r="D25" s="734">
        <f>D23-D24</f>
        <v>3141.017414466769</v>
      </c>
      <c r="E25" s="731"/>
      <c r="F25" s="164"/>
      <c r="G25" s="164"/>
      <c r="H25" s="164"/>
      <c r="I25" s="164"/>
      <c r="J25" s="164"/>
      <c r="K25" s="164"/>
      <c r="L25" s="149"/>
      <c r="M25" s="583"/>
    </row>
    <row r="26" spans="1:17" ht="22.35" customHeight="1" x14ac:dyDescent="0.3">
      <c r="A26" s="143"/>
      <c r="B26" s="844" t="s">
        <v>2223</v>
      </c>
      <c r="C26" s="747">
        <v>1</v>
      </c>
      <c r="D26" s="746">
        <f>D25*$C26</f>
        <v>3141.017414466769</v>
      </c>
      <c r="E26" s="920" t="s">
        <v>2225</v>
      </c>
      <c r="F26" s="921"/>
      <c r="G26" s="921"/>
      <c r="H26" s="921"/>
      <c r="I26" s="921"/>
      <c r="J26" s="921"/>
      <c r="K26" s="921"/>
      <c r="L26" s="922"/>
      <c r="M26" s="738"/>
      <c r="N26" s="504"/>
      <c r="O26" s="504"/>
      <c r="P26" s="504"/>
      <c r="Q26" s="504"/>
    </row>
    <row r="27" spans="1:17" ht="36.6" customHeight="1" x14ac:dyDescent="0.3">
      <c r="A27" s="143"/>
      <c r="B27" s="732" t="s">
        <v>2091</v>
      </c>
      <c r="C27" s="302">
        <v>0.75</v>
      </c>
      <c r="D27" s="462">
        <f>D26*$C27</f>
        <v>2355.7630608500767</v>
      </c>
      <c r="E27" s="923" t="s">
        <v>2092</v>
      </c>
      <c r="F27" s="918"/>
      <c r="G27" s="918"/>
      <c r="H27" s="918"/>
      <c r="I27" s="918"/>
      <c r="J27" s="918"/>
      <c r="K27" s="918"/>
      <c r="L27" s="919"/>
      <c r="M27" s="583"/>
    </row>
    <row r="28" spans="1:17" x14ac:dyDescent="0.3">
      <c r="A28" s="143"/>
      <c r="B28" s="512" t="s">
        <v>2093</v>
      </c>
      <c r="C28" s="451"/>
      <c r="D28" s="503">
        <f>D27</f>
        <v>2355.7630608500767</v>
      </c>
      <c r="E28" s="180"/>
      <c r="F28" s="164"/>
      <c r="G28" s="164"/>
      <c r="H28" s="164"/>
      <c r="I28" s="164"/>
      <c r="J28" s="164"/>
      <c r="K28" s="164"/>
      <c r="L28" s="149"/>
      <c r="M28" s="142"/>
      <c r="N28" s="143"/>
    </row>
    <row r="29" spans="1:17" x14ac:dyDescent="0.3">
      <c r="A29" s="143"/>
      <c r="B29" s="513"/>
      <c r="C29" s="514"/>
      <c r="M29" s="142"/>
    </row>
    <row r="30" spans="1:17" x14ac:dyDescent="0.3">
      <c r="A30" s="143"/>
      <c r="B30" s="133"/>
      <c r="C30" s="212"/>
      <c r="M30" s="142"/>
    </row>
    <row r="31" spans="1:17" ht="43.2" x14ac:dyDescent="0.3">
      <c r="A31" s="143"/>
      <c r="B31" s="145"/>
      <c r="C31" s="146"/>
      <c r="D31" s="505" t="s">
        <v>2036</v>
      </c>
      <c r="E31" s="223" t="s">
        <v>1979</v>
      </c>
      <c r="F31" s="223" t="s">
        <v>1980</v>
      </c>
      <c r="G31" s="223" t="s">
        <v>1981</v>
      </c>
      <c r="M31" s="142"/>
    </row>
    <row r="32" spans="1:17" x14ac:dyDescent="0.3">
      <c r="A32" s="143"/>
      <c r="B32" s="180" t="s">
        <v>1852</v>
      </c>
      <c r="C32" s="149"/>
      <c r="D32" s="159"/>
      <c r="E32" s="210">
        <f>IF(C15&lt;&gt;"",C15+100%,100%)</f>
        <v>1</v>
      </c>
      <c r="F32" s="210">
        <f>IF($C$15&lt;&gt;"",E32*(100%+$C$15),100%)</f>
        <v>1</v>
      </c>
      <c r="G32" s="210">
        <f>IF($C$15&lt;&gt;"",F32*(100%+$C$15),100%)</f>
        <v>1</v>
      </c>
      <c r="M32" s="142"/>
    </row>
    <row r="33" spans="1:13" x14ac:dyDescent="0.3">
      <c r="A33" s="143"/>
      <c r="B33" s="180" t="s">
        <v>1853</v>
      </c>
      <c r="C33" s="149"/>
      <c r="D33" s="159"/>
      <c r="E33" s="210">
        <f>IF(C16&lt;&gt;"",C16+100%,100%)</f>
        <v>1</v>
      </c>
      <c r="F33" s="210">
        <f>IF($C$16&lt;&gt;"",E33*(100%+$C$16),100%)</f>
        <v>1</v>
      </c>
      <c r="G33" s="210">
        <f>IF($C$16&lt;&gt;"",F33*(100%+$C$16),100%)</f>
        <v>1</v>
      </c>
      <c r="M33" s="142"/>
    </row>
    <row r="34" spans="1:13" x14ac:dyDescent="0.3">
      <c r="A34" s="143"/>
      <c r="B34" s="581" t="str">
        <f>B21</f>
        <v>Adult population</v>
      </c>
      <c r="C34" s="544"/>
      <c r="D34" s="582">
        <f>D21</f>
        <v>46844130.434912749</v>
      </c>
      <c r="E34" s="582">
        <f>D34*E32</f>
        <v>46844130.434912749</v>
      </c>
      <c r="F34" s="582">
        <f>D34*F32</f>
        <v>46844130.434912749</v>
      </c>
      <c r="G34" s="582">
        <f>D34*G32</f>
        <v>46844130.434912749</v>
      </c>
      <c r="M34" s="142"/>
    </row>
    <row r="35" spans="1:13" x14ac:dyDescent="0.3">
      <c r="A35" s="583"/>
      <c r="B35" s="567" t="str">
        <f>IF(ISBLANK(D29),"Eligible population adjusted for population and disease growth")</f>
        <v>Eligible population adjusted for population and disease growth</v>
      </c>
      <c r="C35" s="149"/>
      <c r="D35" s="157">
        <f>D28</f>
        <v>2355.7630608500767</v>
      </c>
      <c r="E35" s="157">
        <f>D35*E32*E33</f>
        <v>2355.7630608500767</v>
      </c>
      <c r="F35" s="157">
        <f>E35*F32*F33</f>
        <v>2355.7630608500767</v>
      </c>
      <c r="G35" s="157">
        <f>F35*G32*G33</f>
        <v>2355.7630608500767</v>
      </c>
      <c r="M35" s="142"/>
    </row>
    <row r="36" spans="1:13" x14ac:dyDescent="0.3">
      <c r="A36" s="144"/>
      <c r="B36" s="579"/>
      <c r="C36" s="145"/>
      <c r="D36" s="580"/>
      <c r="E36" s="580"/>
      <c r="F36" s="580"/>
      <c r="G36" s="580"/>
      <c r="H36" s="145"/>
      <c r="I36" s="145"/>
      <c r="J36" s="145"/>
      <c r="K36" s="145"/>
      <c r="L36" s="145"/>
      <c r="M36" s="146"/>
    </row>
    <row r="37" spans="1:13" x14ac:dyDescent="0.3">
      <c r="B37" s="133"/>
      <c r="D37" s="212"/>
      <c r="E37" s="212"/>
      <c r="F37" s="212"/>
      <c r="G37" s="212"/>
    </row>
    <row r="38" spans="1:13" ht="15.6" x14ac:dyDescent="0.3">
      <c r="A38" s="140" t="s">
        <v>2035</v>
      </c>
      <c r="B38" s="535"/>
      <c r="C38" s="453"/>
      <c r="D38" s="453"/>
      <c r="E38" s="453"/>
      <c r="F38" s="453"/>
      <c r="G38" s="453"/>
      <c r="H38" s="453"/>
      <c r="I38" s="453"/>
      <c r="J38" s="453"/>
      <c r="K38" s="453"/>
      <c r="L38" s="453"/>
      <c r="M38" s="544"/>
    </row>
    <row r="39" spans="1:13" x14ac:dyDescent="0.3">
      <c r="A39" s="143"/>
      <c r="B39" t="s">
        <v>2100</v>
      </c>
      <c r="C39" s="262"/>
      <c r="D39" s="262"/>
      <c r="E39" s="262"/>
      <c r="F39" s="262"/>
      <c r="G39" s="262"/>
      <c r="M39" s="142"/>
    </row>
    <row r="40" spans="1:13" x14ac:dyDescent="0.3">
      <c r="A40" s="143"/>
      <c r="B40" s="603" t="s">
        <v>2103</v>
      </c>
      <c r="C40" s="262"/>
      <c r="D40" s="262"/>
      <c r="E40" s="262"/>
      <c r="F40" s="262"/>
      <c r="G40" s="262"/>
      <c r="M40" s="142"/>
    </row>
    <row r="41" spans="1:13" x14ac:dyDescent="0.3">
      <c r="A41" s="143"/>
      <c r="B41" s="603" t="s">
        <v>2102</v>
      </c>
      <c r="C41" s="262"/>
      <c r="D41" s="262"/>
      <c r="E41" s="262"/>
      <c r="F41" s="262"/>
      <c r="G41" s="262"/>
      <c r="M41" s="142"/>
    </row>
    <row r="42" spans="1:13" x14ac:dyDescent="0.3">
      <c r="A42" s="143"/>
      <c r="B42" s="603" t="s">
        <v>2101</v>
      </c>
      <c r="C42" s="262"/>
      <c r="D42" s="262"/>
      <c r="E42" s="262"/>
      <c r="F42" s="262"/>
      <c r="G42" s="262"/>
      <c r="M42" s="142"/>
    </row>
    <row r="43" spans="1:13" x14ac:dyDescent="0.3">
      <c r="A43" s="143"/>
      <c r="B43" t="s">
        <v>2282</v>
      </c>
      <c r="C43" s="262"/>
      <c r="D43" s="262"/>
      <c r="E43" s="262"/>
      <c r="F43" s="262"/>
      <c r="G43" s="262"/>
      <c r="M43" s="142"/>
    </row>
    <row r="44" spans="1:13" x14ac:dyDescent="0.3">
      <c r="A44" s="143"/>
      <c r="B44" t="s">
        <v>2283</v>
      </c>
      <c r="C44" s="262"/>
      <c r="D44" s="262"/>
      <c r="E44" s="262"/>
      <c r="F44" s="262"/>
      <c r="G44" s="262"/>
      <c r="M44" s="142"/>
    </row>
    <row r="45" spans="1:13" x14ac:dyDescent="0.3">
      <c r="A45" s="143"/>
      <c r="B45" t="s">
        <v>2236</v>
      </c>
      <c r="C45" s="262"/>
      <c r="D45" s="262"/>
      <c r="E45" s="262"/>
      <c r="F45" s="262"/>
      <c r="G45" s="262"/>
      <c r="M45" s="142"/>
    </row>
    <row r="46" spans="1:13" x14ac:dyDescent="0.3">
      <c r="A46" s="143"/>
      <c r="B46" t="s">
        <v>2104</v>
      </c>
      <c r="C46" s="262"/>
      <c r="D46" s="262"/>
      <c r="E46" s="262"/>
      <c r="F46" s="262"/>
      <c r="G46" s="262"/>
      <c r="M46" s="142"/>
    </row>
    <row r="47" spans="1:13" x14ac:dyDescent="0.3">
      <c r="A47" s="143"/>
      <c r="B47" t="s">
        <v>2260</v>
      </c>
      <c r="C47" s="262"/>
      <c r="D47" s="262"/>
      <c r="E47" s="262"/>
      <c r="F47" s="262"/>
      <c r="G47" s="262"/>
      <c r="M47" s="142"/>
    </row>
    <row r="48" spans="1:13" x14ac:dyDescent="0.3">
      <c r="A48" s="143"/>
      <c r="B48" s="211" t="s">
        <v>2105</v>
      </c>
      <c r="C48" s="262"/>
      <c r="D48" s="262"/>
      <c r="E48" s="262"/>
      <c r="F48" s="262"/>
      <c r="G48" s="262"/>
      <c r="M48" s="142"/>
    </row>
    <row r="49" spans="1:17" x14ac:dyDescent="0.3">
      <c r="A49" s="143"/>
      <c r="B49" s="603" t="s">
        <v>2106</v>
      </c>
      <c r="C49" s="262"/>
      <c r="D49" s="262"/>
      <c r="E49" s="262"/>
      <c r="F49" s="262"/>
      <c r="G49" s="262"/>
      <c r="M49" s="142"/>
    </row>
    <row r="50" spans="1:17" x14ac:dyDescent="0.3">
      <c r="A50" s="143"/>
      <c r="M50" s="142"/>
    </row>
    <row r="51" spans="1:17" x14ac:dyDescent="0.3">
      <c r="A51" s="143"/>
      <c r="B51" s="133" t="s">
        <v>2095</v>
      </c>
      <c r="D51" s="604" t="s">
        <v>2037</v>
      </c>
      <c r="E51" s="605"/>
      <c r="F51" s="605"/>
      <c r="G51" s="606"/>
      <c r="I51" s="604" t="s">
        <v>2041</v>
      </c>
      <c r="J51" s="599"/>
      <c r="K51" s="599"/>
      <c r="L51" s="600"/>
      <c r="M51" s="142"/>
    </row>
    <row r="52" spans="1:17" ht="43.2" x14ac:dyDescent="0.3">
      <c r="A52" s="143"/>
      <c r="B52" s="607" t="s">
        <v>2038</v>
      </c>
      <c r="C52" s="600"/>
      <c r="D52" s="608" t="s">
        <v>2263</v>
      </c>
      <c r="E52" s="508" t="s">
        <v>2264</v>
      </c>
      <c r="F52" s="508" t="s">
        <v>2265</v>
      </c>
      <c r="G52" s="508" t="s">
        <v>2266</v>
      </c>
      <c r="I52" s="608" t="s">
        <v>2263</v>
      </c>
      <c r="J52" s="508" t="s">
        <v>2264</v>
      </c>
      <c r="K52" s="508" t="s">
        <v>2265</v>
      </c>
      <c r="L52" s="508" t="s">
        <v>2266</v>
      </c>
      <c r="M52" s="142"/>
    </row>
    <row r="53" spans="1:17" x14ac:dyDescent="0.3">
      <c r="A53" s="143"/>
      <c r="B53" s="209" t="s">
        <v>2218</v>
      </c>
      <c r="C53" s="149"/>
      <c r="D53" s="303">
        <v>0.34</v>
      </c>
      <c r="E53" s="304">
        <v>0.26</v>
      </c>
      <c r="F53" s="304">
        <v>0.24</v>
      </c>
      <c r="G53" s="304">
        <v>0.23</v>
      </c>
      <c r="I53" s="510">
        <f t="shared" ref="I53:L56" si="1">D$35*D53</f>
        <v>800.95944068902611</v>
      </c>
      <c r="J53" s="510">
        <f t="shared" si="1"/>
        <v>612.49839582101993</v>
      </c>
      <c r="K53" s="510">
        <f t="shared" si="1"/>
        <v>565.38313460401844</v>
      </c>
      <c r="L53" s="510">
        <f t="shared" si="1"/>
        <v>541.82550399551769</v>
      </c>
      <c r="M53" s="142"/>
    </row>
    <row r="54" spans="1:17" x14ac:dyDescent="0.3">
      <c r="A54" s="143"/>
      <c r="B54" s="209" t="s">
        <v>2219</v>
      </c>
      <c r="C54" s="149"/>
      <c r="D54" s="501">
        <v>0.01</v>
      </c>
      <c r="E54" s="304">
        <v>0.1</v>
      </c>
      <c r="F54" s="304">
        <v>0.15</v>
      </c>
      <c r="G54" s="304">
        <v>0.23</v>
      </c>
      <c r="I54" s="510">
        <f t="shared" si="1"/>
        <v>23.557630608500769</v>
      </c>
      <c r="J54" s="510">
        <f>E$35*E54</f>
        <v>235.57630608500767</v>
      </c>
      <c r="K54" s="510">
        <f t="shared" si="1"/>
        <v>353.36445912751151</v>
      </c>
      <c r="L54" s="510">
        <f t="shared" si="1"/>
        <v>541.82550399551769</v>
      </c>
      <c r="M54" s="142"/>
    </row>
    <row r="55" spans="1:17" x14ac:dyDescent="0.3">
      <c r="A55" s="143"/>
      <c r="B55" s="209" t="s">
        <v>2220</v>
      </c>
      <c r="C55" s="748"/>
      <c r="D55" s="749">
        <v>0.1</v>
      </c>
      <c r="E55" s="501">
        <v>0.15</v>
      </c>
      <c r="F55" s="750">
        <v>0.21</v>
      </c>
      <c r="G55" s="304">
        <v>0.23</v>
      </c>
      <c r="I55" s="751">
        <f t="shared" si="1"/>
        <v>235.57630608500767</v>
      </c>
      <c r="J55" s="751">
        <f t="shared" si="1"/>
        <v>353.36445912751151</v>
      </c>
      <c r="K55" s="751">
        <f t="shared" si="1"/>
        <v>494.71024277851609</v>
      </c>
      <c r="L55" s="751">
        <f t="shared" si="1"/>
        <v>541.82550399551769</v>
      </c>
      <c r="M55" s="142"/>
    </row>
    <row r="56" spans="1:17" x14ac:dyDescent="0.3">
      <c r="A56" s="143"/>
      <c r="B56" s="845" t="s">
        <v>2099</v>
      </c>
      <c r="C56" s="149"/>
      <c r="D56" s="532">
        <v>0.55000000000000004</v>
      </c>
      <c r="E56" s="532">
        <v>0.49</v>
      </c>
      <c r="F56" s="532">
        <v>0.4</v>
      </c>
      <c r="G56" s="532">
        <v>0.31</v>
      </c>
      <c r="I56" s="752">
        <f t="shared" si="1"/>
        <v>1295.6696834675422</v>
      </c>
      <c r="J56" s="752">
        <f t="shared" ref="J56" si="2">E$35*E56</f>
        <v>1154.3238998165375</v>
      </c>
      <c r="K56" s="752">
        <f t="shared" ref="K56" si="3">F$35*F56</f>
        <v>942.30522434003069</v>
      </c>
      <c r="L56" s="752">
        <f t="shared" ref="L56" si="4">G$35*G56</f>
        <v>730.28654886352376</v>
      </c>
      <c r="M56" s="142"/>
    </row>
    <row r="57" spans="1:17" s="133" customFormat="1" x14ac:dyDescent="0.3">
      <c r="A57" s="141"/>
      <c r="C57" s="584"/>
      <c r="D57" s="511">
        <f>IF(SUM(D53:D56)&lt;&gt;100%,"ERROR",SUM(D53:D56))</f>
        <v>1</v>
      </c>
      <c r="E57" s="511">
        <f t="shared" ref="E57:G57" si="5">IF(SUM(E53:E56)&lt;&gt;100%,"ERROR",SUM(E53:E56))</f>
        <v>1</v>
      </c>
      <c r="F57" s="511">
        <f t="shared" si="5"/>
        <v>1</v>
      </c>
      <c r="G57" s="511">
        <f t="shared" si="5"/>
        <v>1</v>
      </c>
      <c r="I57" s="509">
        <f>SUM(I53:I56)</f>
        <v>2355.7630608500767</v>
      </c>
      <c r="J57" s="509">
        <f t="shared" ref="J57:L57" si="6">SUM(J53:J56)</f>
        <v>2355.7630608500767</v>
      </c>
      <c r="K57" s="509">
        <f t="shared" si="6"/>
        <v>2355.7630608500767</v>
      </c>
      <c r="L57" s="509">
        <f t="shared" si="6"/>
        <v>2355.7630608500767</v>
      </c>
      <c r="M57" s="585"/>
      <c r="N57"/>
    </row>
    <row r="58" spans="1:17" x14ac:dyDescent="0.3">
      <c r="B58" s="739" t="s">
        <v>2096</v>
      </c>
      <c r="C58" s="740"/>
      <c r="D58" s="743"/>
      <c r="E58" s="743"/>
      <c r="F58" s="743"/>
      <c r="G58" s="743"/>
      <c r="H58" s="743"/>
      <c r="J58" s="741"/>
      <c r="K58" s="741"/>
      <c r="L58" s="741"/>
      <c r="M58" s="238"/>
      <c r="N58" s="842"/>
      <c r="O58" s="238"/>
      <c r="Q58" s="142"/>
    </row>
    <row r="59" spans="1:17" x14ac:dyDescent="0.3">
      <c r="B59" s="148" t="s">
        <v>2232</v>
      </c>
      <c r="C59" s="744"/>
      <c r="D59" s="882">
        <v>0</v>
      </c>
      <c r="E59" s="882">
        <v>0.31</v>
      </c>
      <c r="F59" s="882">
        <v>0.31</v>
      </c>
      <c r="G59" s="882">
        <v>0.31</v>
      </c>
      <c r="H59" s="238"/>
      <c r="I59" s="745">
        <f>I53*D59</f>
        <v>0</v>
      </c>
      <c r="J59" s="745">
        <f t="shared" ref="J59:L59" si="7">J53*E59</f>
        <v>189.87450270451617</v>
      </c>
      <c r="K59" s="745">
        <f t="shared" si="7"/>
        <v>175.26877172724571</v>
      </c>
      <c r="L59" s="745">
        <f t="shared" si="7"/>
        <v>167.96590623861047</v>
      </c>
      <c r="N59" s="143"/>
    </row>
    <row r="60" spans="1:17" ht="15" customHeight="1" x14ac:dyDescent="0.3">
      <c r="B60" s="923" t="s">
        <v>2233</v>
      </c>
      <c r="C60" s="919"/>
      <c r="D60" s="882">
        <v>0</v>
      </c>
      <c r="E60" s="882">
        <v>0.31</v>
      </c>
      <c r="F60" s="882">
        <v>0.31</v>
      </c>
      <c r="G60" s="882">
        <v>0.31</v>
      </c>
      <c r="H60" s="238"/>
      <c r="I60" s="745">
        <f>I53*D60</f>
        <v>0</v>
      </c>
      <c r="J60" s="745">
        <f t="shared" ref="J60:L60" si="8">J53*E60</f>
        <v>189.87450270451617</v>
      </c>
      <c r="K60" s="745">
        <f t="shared" si="8"/>
        <v>175.26877172724571</v>
      </c>
      <c r="L60" s="745">
        <f t="shared" si="8"/>
        <v>167.96590623861047</v>
      </c>
      <c r="N60" s="143"/>
    </row>
    <row r="61" spans="1:17" x14ac:dyDescent="0.3">
      <c r="B61" s="148" t="s">
        <v>2097</v>
      </c>
      <c r="C61" s="714"/>
      <c r="D61" s="882">
        <v>0.66</v>
      </c>
      <c r="E61" s="882">
        <v>0.66</v>
      </c>
      <c r="F61" s="882">
        <v>0.66</v>
      </c>
      <c r="G61" s="882">
        <v>0.66</v>
      </c>
      <c r="I61" s="745">
        <f t="shared" ref="I61:L61" si="9">I54*D61</f>
        <v>15.548036201610509</v>
      </c>
      <c r="J61" s="745">
        <f t="shared" si="9"/>
        <v>155.48036201610506</v>
      </c>
      <c r="K61" s="745">
        <f t="shared" si="9"/>
        <v>233.22054302415762</v>
      </c>
      <c r="L61" s="745">
        <f t="shared" si="9"/>
        <v>357.60483263704168</v>
      </c>
      <c r="N61" s="143"/>
    </row>
    <row r="62" spans="1:17" x14ac:dyDescent="0.3">
      <c r="B62" s="148" t="s">
        <v>2098</v>
      </c>
      <c r="C62" s="843"/>
      <c r="D62" s="882">
        <f>89.2%-18%</f>
        <v>0.71199999999999997</v>
      </c>
      <c r="E62" s="882">
        <f t="shared" ref="E62:G62" si="10">89.2%-18%</f>
        <v>0.71199999999999997</v>
      </c>
      <c r="F62" s="882">
        <f t="shared" si="10"/>
        <v>0.71199999999999997</v>
      </c>
      <c r="G62" s="882">
        <f t="shared" si="10"/>
        <v>0.71199999999999997</v>
      </c>
      <c r="I62" s="745">
        <f t="shared" ref="I62:L62" si="11">I55*D62</f>
        <v>167.73032993252545</v>
      </c>
      <c r="J62" s="745">
        <f t="shared" si="11"/>
        <v>251.59549489878819</v>
      </c>
      <c r="K62" s="745">
        <f t="shared" si="11"/>
        <v>352.23369285830341</v>
      </c>
      <c r="L62" s="745">
        <f t="shared" si="11"/>
        <v>385.77975884480855</v>
      </c>
      <c r="N62" s="143"/>
    </row>
    <row r="63" spans="1:17" x14ac:dyDescent="0.3">
      <c r="B63" s="742" t="s">
        <v>1986</v>
      </c>
      <c r="C63" s="754"/>
      <c r="D63" s="755"/>
      <c r="E63" s="755"/>
      <c r="F63" s="755"/>
      <c r="G63" s="756"/>
      <c r="I63" s="509">
        <f>SUM(I59:I62)</f>
        <v>183.27836613413595</v>
      </c>
      <c r="J63" s="509">
        <f t="shared" ref="J63:L63" si="12">SUM(J59:J62)</f>
        <v>786.82486232392557</v>
      </c>
      <c r="K63" s="509">
        <f t="shared" si="12"/>
        <v>935.9917793369525</v>
      </c>
      <c r="L63" s="509">
        <f t="shared" si="12"/>
        <v>1079.3164039590713</v>
      </c>
      <c r="N63" s="143"/>
    </row>
    <row r="64" spans="1:17" x14ac:dyDescent="0.3">
      <c r="A64" s="143"/>
      <c r="D64" s="262"/>
      <c r="E64" s="262"/>
      <c r="F64" s="262"/>
      <c r="G64" s="262"/>
      <c r="H64" s="515"/>
      <c r="I64" s="515"/>
      <c r="J64" s="515"/>
      <c r="K64" s="515"/>
      <c r="L64" s="142"/>
      <c r="N64" s="143"/>
    </row>
    <row r="65" spans="1:14" s="202" customFormat="1" x14ac:dyDescent="0.3">
      <c r="A65" s="143"/>
      <c r="B65" s="518"/>
      <c r="C65" s="238"/>
      <c r="D65" s="238"/>
      <c r="E65" s="753"/>
      <c r="F65" s="753"/>
      <c r="I65" s="604" t="s">
        <v>2039</v>
      </c>
      <c r="J65" s="599"/>
      <c r="K65" s="599"/>
      <c r="L65" s="600"/>
      <c r="N65" s="143"/>
    </row>
    <row r="66" spans="1:14" s="202" customFormat="1" ht="43.2" x14ac:dyDescent="0.3">
      <c r="A66" s="143"/>
      <c r="B66" s="519" t="s">
        <v>2107</v>
      </c>
      <c r="E66" s="238"/>
      <c r="F66" s="238"/>
      <c r="I66" s="608" t="s">
        <v>2263</v>
      </c>
      <c r="J66" s="508" t="s">
        <v>2264</v>
      </c>
      <c r="K66" s="508" t="s">
        <v>2265</v>
      </c>
      <c r="L66" s="508" t="s">
        <v>2266</v>
      </c>
      <c r="N66" s="143"/>
    </row>
    <row r="67" spans="1:14" s="202" customFormat="1" x14ac:dyDescent="0.3">
      <c r="A67" s="143"/>
      <c r="B67" s="209" t="s">
        <v>2192</v>
      </c>
      <c r="C67" s="520"/>
      <c r="D67" s="520"/>
      <c r="E67" s="521"/>
      <c r="F67" s="521"/>
      <c r="G67" s="520"/>
      <c r="H67" s="522"/>
      <c r="I67" s="115">
        <f t="shared" ref="I67:L69" si="13">I53</f>
        <v>800.95944068902611</v>
      </c>
      <c r="J67" s="115">
        <f t="shared" si="13"/>
        <v>612.49839582101993</v>
      </c>
      <c r="K67" s="115">
        <f t="shared" si="13"/>
        <v>565.38313460401844</v>
      </c>
      <c r="L67" s="115">
        <f t="shared" si="13"/>
        <v>541.82550399551769</v>
      </c>
      <c r="M67" s="609"/>
      <c r="N67"/>
    </row>
    <row r="68" spans="1:14" s="202" customFormat="1" x14ac:dyDescent="0.3">
      <c r="A68" s="143"/>
      <c r="B68" s="209" t="s">
        <v>2193</v>
      </c>
      <c r="C68" s="520"/>
      <c r="D68" s="520"/>
      <c r="E68" s="521"/>
      <c r="F68" s="521"/>
      <c r="G68" s="520"/>
      <c r="H68" s="522"/>
      <c r="I68" s="115">
        <f t="shared" si="13"/>
        <v>23.557630608500769</v>
      </c>
      <c r="J68" s="115">
        <f t="shared" si="13"/>
        <v>235.57630608500767</v>
      </c>
      <c r="K68" s="115">
        <f t="shared" si="13"/>
        <v>353.36445912751151</v>
      </c>
      <c r="L68" s="115">
        <f t="shared" si="13"/>
        <v>541.82550399551769</v>
      </c>
      <c r="M68" s="609"/>
      <c r="N68"/>
    </row>
    <row r="69" spans="1:14" s="202" customFormat="1" x14ac:dyDescent="0.3">
      <c r="A69" s="143"/>
      <c r="B69" s="209" t="s">
        <v>2194</v>
      </c>
      <c r="C69" s="520"/>
      <c r="D69" s="520"/>
      <c r="E69" s="521"/>
      <c r="F69" s="521"/>
      <c r="G69" s="520"/>
      <c r="H69" s="522"/>
      <c r="I69" s="115">
        <f t="shared" si="13"/>
        <v>235.57630608500767</v>
      </c>
      <c r="J69" s="115">
        <f t="shared" si="13"/>
        <v>353.36445912751151</v>
      </c>
      <c r="K69" s="115">
        <f t="shared" si="13"/>
        <v>494.71024277851609</v>
      </c>
      <c r="L69" s="115">
        <f t="shared" si="13"/>
        <v>541.82550399551769</v>
      </c>
      <c r="M69" s="609"/>
      <c r="N69"/>
    </row>
    <row r="70" spans="1:14" s="202" customFormat="1" x14ac:dyDescent="0.3">
      <c r="A70" s="143"/>
      <c r="B70" s="209" t="s">
        <v>2234</v>
      </c>
      <c r="C70" s="520"/>
      <c r="D70" s="520"/>
      <c r="E70" s="521"/>
      <c r="F70" s="521"/>
      <c r="G70" s="520"/>
      <c r="H70" s="522"/>
      <c r="I70" s="115">
        <f>I59</f>
        <v>0</v>
      </c>
      <c r="J70" s="115">
        <f t="shared" ref="J70:L70" si="14">J59</f>
        <v>189.87450270451617</v>
      </c>
      <c r="K70" s="115">
        <f t="shared" si="14"/>
        <v>175.26877172724571</v>
      </c>
      <c r="L70" s="115">
        <f t="shared" si="14"/>
        <v>167.96590623861047</v>
      </c>
      <c r="M70" s="609"/>
      <c r="N70"/>
    </row>
    <row r="71" spans="1:14" s="202" customFormat="1" x14ac:dyDescent="0.3">
      <c r="A71" s="143"/>
      <c r="B71" s="209" t="s">
        <v>2235</v>
      </c>
      <c r="C71" s="520"/>
      <c r="D71" s="520"/>
      <c r="E71" s="521"/>
      <c r="F71" s="521"/>
      <c r="G71" s="520"/>
      <c r="H71" s="522"/>
      <c r="I71" s="115">
        <f>I60</f>
        <v>0</v>
      </c>
      <c r="J71" s="115">
        <f t="shared" ref="J71:L71" si="15">J60</f>
        <v>189.87450270451617</v>
      </c>
      <c r="K71" s="115">
        <f t="shared" si="15"/>
        <v>175.26877172724571</v>
      </c>
      <c r="L71" s="115">
        <f t="shared" si="15"/>
        <v>167.96590623861047</v>
      </c>
      <c r="M71" s="609"/>
      <c r="N71"/>
    </row>
    <row r="72" spans="1:14" s="202" customFormat="1" x14ac:dyDescent="0.3">
      <c r="A72" s="143"/>
      <c r="B72" s="209" t="s">
        <v>2195</v>
      </c>
      <c r="C72" s="520"/>
      <c r="D72" s="520"/>
      <c r="E72" s="521"/>
      <c r="F72" s="521"/>
      <c r="G72" s="520"/>
      <c r="H72" s="522"/>
      <c r="I72" s="115">
        <f t="shared" ref="I72:L72" si="16">I61</f>
        <v>15.548036201610509</v>
      </c>
      <c r="J72" s="115">
        <f t="shared" si="16"/>
        <v>155.48036201610506</v>
      </c>
      <c r="K72" s="115">
        <f t="shared" si="16"/>
        <v>233.22054302415762</v>
      </c>
      <c r="L72" s="115">
        <f t="shared" si="16"/>
        <v>357.60483263704168</v>
      </c>
      <c r="M72" s="609"/>
      <c r="N72"/>
    </row>
    <row r="73" spans="1:14" s="202" customFormat="1" x14ac:dyDescent="0.3">
      <c r="A73" s="143"/>
      <c r="B73" s="209" t="s">
        <v>2196</v>
      </c>
      <c r="C73" s="520"/>
      <c r="D73" s="520"/>
      <c r="E73" s="521"/>
      <c r="F73" s="521"/>
      <c r="G73" s="520"/>
      <c r="H73" s="522"/>
      <c r="I73" s="115">
        <f t="shared" ref="I73:L73" si="17">I62</f>
        <v>167.73032993252545</v>
      </c>
      <c r="J73" s="115">
        <f t="shared" si="17"/>
        <v>251.59549489878819</v>
      </c>
      <c r="K73" s="115">
        <f t="shared" si="17"/>
        <v>352.23369285830341</v>
      </c>
      <c r="L73" s="115">
        <f t="shared" si="17"/>
        <v>385.77975884480855</v>
      </c>
      <c r="M73" s="609"/>
      <c r="N73"/>
    </row>
    <row r="74" spans="1:14" s="202" customFormat="1" x14ac:dyDescent="0.3">
      <c r="A74" s="143"/>
      <c r="B74" s="518"/>
      <c r="E74" s="238"/>
      <c r="F74" s="238"/>
      <c r="I74" s="157">
        <f>SUM(I67:I73)</f>
        <v>1243.3717435166704</v>
      </c>
      <c r="J74" s="157">
        <f>SUM(J67:J73)</f>
        <v>1988.2640233574648</v>
      </c>
      <c r="K74" s="157">
        <f>SUM(K67:K73)</f>
        <v>2349.4496158469983</v>
      </c>
      <c r="L74" s="157">
        <f>SUM(L67:L73)</f>
        <v>2704.7929159456239</v>
      </c>
      <c r="M74" s="609"/>
      <c r="N74"/>
    </row>
    <row r="75" spans="1:14" x14ac:dyDescent="0.3">
      <c r="A75" s="144"/>
      <c r="B75" s="145"/>
      <c r="C75" s="145"/>
      <c r="D75" s="145"/>
      <c r="E75" s="145"/>
      <c r="F75" s="145"/>
      <c r="G75" s="145"/>
      <c r="H75" s="145"/>
      <c r="I75" s="145"/>
      <c r="J75" s="145"/>
      <c r="K75" s="145"/>
      <c r="L75" s="145"/>
      <c r="M75" s="146"/>
    </row>
    <row r="78" spans="1:14" x14ac:dyDescent="0.3">
      <c r="A78" s="220" t="s">
        <v>1860</v>
      </c>
      <c r="B78" s="469"/>
      <c r="C78" s="469"/>
      <c r="D78" s="469"/>
      <c r="E78" s="469"/>
      <c r="F78" s="469"/>
      <c r="G78" s="469"/>
      <c r="H78" s="469"/>
      <c r="I78" s="469"/>
      <c r="J78" s="469"/>
      <c r="K78" s="469"/>
      <c r="L78" s="469"/>
      <c r="M78" s="470"/>
    </row>
    <row r="79" spans="1:14" x14ac:dyDescent="0.3">
      <c r="A79" s="177"/>
      <c r="B79" s="172"/>
      <c r="C79" s="172"/>
      <c r="D79" s="172"/>
      <c r="E79" s="172"/>
      <c r="F79" s="172"/>
      <c r="G79" s="172"/>
      <c r="H79" s="172"/>
      <c r="I79" s="172"/>
      <c r="J79" s="172"/>
      <c r="K79" s="172"/>
      <c r="L79" s="172"/>
      <c r="M79" s="178"/>
    </row>
    <row r="80" spans="1:14" x14ac:dyDescent="0.3">
      <c r="A80" s="177"/>
      <c r="B80" s="319" t="s">
        <v>1861</v>
      </c>
      <c r="C80" s="172"/>
      <c r="D80" s="172"/>
      <c r="E80" s="172"/>
      <c r="F80" s="172"/>
      <c r="G80" s="172"/>
      <c r="H80" s="172"/>
      <c r="I80" s="172"/>
      <c r="J80" s="172"/>
      <c r="K80" s="172"/>
      <c r="L80" s="172"/>
      <c r="M80" s="178"/>
    </row>
    <row r="81" spans="1:13" x14ac:dyDescent="0.3">
      <c r="A81" s="177"/>
      <c r="B81" s="317" t="s">
        <v>1862</v>
      </c>
      <c r="C81" s="172"/>
      <c r="D81" s="172"/>
      <c r="E81" s="172"/>
      <c r="F81" s="172"/>
      <c r="G81" s="172"/>
      <c r="H81" s="172"/>
      <c r="I81" s="172"/>
      <c r="J81" s="172"/>
      <c r="K81" s="172"/>
      <c r="L81" s="172"/>
      <c r="M81" s="178"/>
    </row>
    <row r="82" spans="1:13" x14ac:dyDescent="0.3">
      <c r="A82" s="177"/>
      <c r="B82" s="317" t="s">
        <v>1863</v>
      </c>
      <c r="C82" s="172"/>
      <c r="D82" s="172"/>
      <c r="E82" s="172"/>
      <c r="F82" s="172"/>
      <c r="G82" s="172"/>
      <c r="H82" s="172"/>
      <c r="I82" s="172"/>
      <c r="J82" s="172"/>
      <c r="K82" s="172"/>
      <c r="L82" s="172"/>
      <c r="M82" s="178"/>
    </row>
    <row r="83" spans="1:13" x14ac:dyDescent="0.3">
      <c r="A83" s="177"/>
      <c r="B83" s="232" t="s">
        <v>1864</v>
      </c>
      <c r="C83" s="172"/>
      <c r="D83" s="172"/>
      <c r="E83" s="172"/>
      <c r="F83" s="172"/>
      <c r="G83" s="172"/>
      <c r="H83" s="172"/>
      <c r="I83" s="172"/>
      <c r="J83" s="172"/>
      <c r="K83" s="172"/>
      <c r="L83" s="172"/>
      <c r="M83" s="178"/>
    </row>
    <row r="84" spans="1:13" x14ac:dyDescent="0.3">
      <c r="A84" s="177"/>
      <c r="B84" s="232" t="s">
        <v>1865</v>
      </c>
      <c r="C84" s="172"/>
      <c r="D84" s="172"/>
      <c r="E84" s="172"/>
      <c r="F84" s="172"/>
      <c r="G84" s="172"/>
      <c r="H84" s="172"/>
      <c r="I84" s="172"/>
      <c r="J84" s="172"/>
      <c r="K84" s="172"/>
      <c r="L84" s="172"/>
      <c r="M84" s="178"/>
    </row>
    <row r="85" spans="1:13" x14ac:dyDescent="0.3">
      <c r="A85" s="177"/>
      <c r="B85" s="498" t="s">
        <v>1866</v>
      </c>
      <c r="C85" s="172"/>
      <c r="D85" s="172"/>
      <c r="E85" s="172"/>
      <c r="F85" s="172"/>
      <c r="G85" s="172"/>
      <c r="H85" s="172"/>
      <c r="I85" s="172"/>
      <c r="J85" s="172"/>
      <c r="K85" s="172"/>
      <c r="L85" s="172"/>
      <c r="M85" s="178"/>
    </row>
    <row r="86" spans="1:13" x14ac:dyDescent="0.3">
      <c r="A86" s="177"/>
      <c r="B86" s="232" t="s">
        <v>1867</v>
      </c>
      <c r="C86" s="172"/>
      <c r="D86" s="172"/>
      <c r="E86" s="172"/>
      <c r="F86" s="172"/>
      <c r="G86" s="172"/>
      <c r="H86" s="172"/>
      <c r="I86" s="172"/>
      <c r="J86" s="172"/>
      <c r="K86" s="172"/>
      <c r="L86" s="172"/>
      <c r="M86" s="178"/>
    </row>
    <row r="87" spans="1:13" x14ac:dyDescent="0.3">
      <c r="A87" s="177"/>
      <c r="B87" s="232" t="s">
        <v>1868</v>
      </c>
      <c r="C87" s="172"/>
      <c r="D87" s="172"/>
      <c r="E87" s="172"/>
      <c r="F87" s="172"/>
      <c r="G87" s="172"/>
      <c r="H87" s="172"/>
      <c r="I87" s="172"/>
      <c r="J87" s="172"/>
      <c r="K87" s="172"/>
      <c r="L87" s="172"/>
      <c r="M87" s="178"/>
    </row>
    <row r="88" spans="1:13" x14ac:dyDescent="0.3">
      <c r="A88" s="177"/>
      <c r="B88" s="232"/>
      <c r="C88" s="172"/>
      <c r="D88" s="172"/>
      <c r="E88" s="172"/>
      <c r="F88" s="172"/>
      <c r="G88" s="172"/>
      <c r="H88" s="172"/>
      <c r="I88" s="172"/>
      <c r="J88" s="172"/>
      <c r="K88" s="172"/>
      <c r="L88" s="172"/>
      <c r="M88" s="178"/>
    </row>
    <row r="89" spans="1:13" x14ac:dyDescent="0.3">
      <c r="A89" s="177"/>
      <c r="B89" s="318" t="s">
        <v>1869</v>
      </c>
      <c r="C89" s="172"/>
      <c r="D89" s="172"/>
      <c r="E89" s="172"/>
      <c r="F89" s="172"/>
      <c r="G89" s="172"/>
      <c r="H89" s="172"/>
      <c r="I89" s="172"/>
      <c r="J89" s="172"/>
      <c r="K89" s="172"/>
      <c r="L89" s="172"/>
      <c r="M89" s="178"/>
    </row>
    <row r="90" spans="1:13" x14ac:dyDescent="0.3">
      <c r="A90" s="177"/>
      <c r="B90" s="317" t="s">
        <v>1870</v>
      </c>
      <c r="C90" s="172"/>
      <c r="D90" s="172"/>
      <c r="E90" s="172"/>
      <c r="F90" s="172"/>
      <c r="G90" s="172"/>
      <c r="H90" s="172"/>
      <c r="I90" s="172"/>
      <c r="J90" s="172"/>
      <c r="K90" s="172"/>
      <c r="L90" s="172"/>
      <c r="M90" s="178"/>
    </row>
    <row r="91" spans="1:13" x14ac:dyDescent="0.3">
      <c r="A91" s="177"/>
      <c r="B91" s="232" t="s">
        <v>1871</v>
      </c>
      <c r="C91" s="172"/>
      <c r="D91" s="172"/>
      <c r="E91" s="172"/>
      <c r="F91" s="172"/>
      <c r="G91" s="172"/>
      <c r="H91" s="172"/>
      <c r="I91" s="172"/>
      <c r="J91" s="172"/>
      <c r="K91" s="172"/>
      <c r="L91" s="172"/>
      <c r="M91" s="178"/>
    </row>
    <row r="92" spans="1:13" x14ac:dyDescent="0.3">
      <c r="A92" s="177"/>
      <c r="B92" s="232" t="s">
        <v>1872</v>
      </c>
      <c r="C92" s="172"/>
      <c r="D92" s="172"/>
      <c r="E92" s="172"/>
      <c r="F92" s="172"/>
      <c r="G92" s="172"/>
      <c r="H92" s="172"/>
      <c r="I92" s="172"/>
      <c r="J92" s="172"/>
      <c r="K92" s="172"/>
      <c r="L92" s="172"/>
      <c r="M92" s="178"/>
    </row>
    <row r="93" spans="1:13" x14ac:dyDescent="0.3">
      <c r="A93" s="175"/>
      <c r="B93" s="179"/>
      <c r="C93" s="174"/>
      <c r="D93" s="174"/>
      <c r="E93" s="174"/>
      <c r="F93" s="174"/>
      <c r="G93" s="174"/>
      <c r="H93" s="174"/>
      <c r="I93" s="174"/>
      <c r="J93" s="174"/>
      <c r="K93" s="174"/>
      <c r="L93" s="174"/>
      <c r="M93" s="176"/>
    </row>
  </sheetData>
  <sheetProtection algorithmName="SHA-512" hashValue="qAIhGM2QMVGrjOGznRGzLZb0Nz3PRJDK/7MTlAJCLLYuC+PitRF7llMoXSCnrFKk4Y/2KprSSk1mwZpID/ZgvQ==" saltValue="MXWt8jvrpoQjKYLGY3zJHw==" spinCount="100000" sheet="1" objects="1" scenarios="1"/>
  <protectedRanges>
    <protectedRange sqref="C8:C9 C15:C16 C29:C30 D32:D37 C22:D27 E35:G37 D28 D53:G56 I53:L56" name="Range1"/>
    <protectedRange sqref="D59:G62" name="Range1_1"/>
  </protectedRanges>
  <mergeCells count="4">
    <mergeCell ref="J24:L24"/>
    <mergeCell ref="E26:L26"/>
    <mergeCell ref="E27:L27"/>
    <mergeCell ref="B60:C60"/>
  </mergeCells>
  <phoneticPr fontId="43" type="noConversion"/>
  <conditionalFormatting sqref="D9 D11">
    <cfRule type="cellIs" dxfId="0" priority="2" operator="equal">
      <formula>0</formula>
    </cfRule>
  </conditionalFormatting>
  <dataValidations count="1">
    <dataValidation type="list" allowBlank="1" showInputMessage="1" showErrorMessage="1" sqref="C8" xr:uid="{A1309421-97D1-407A-BD55-015169719BCD}">
      <formula1>ORGTYPE</formula1>
    </dataValidation>
  </dataValidations>
  <hyperlinks>
    <hyperlink ref="B81" r:id="rId1" xr:uid="{9E6038DB-C4EC-431A-B5C3-A48009ECA9D3}"/>
    <hyperlink ref="B82" r:id="rId2" xr:uid="{F90404C9-B340-4E9B-AA51-58D791264704}"/>
    <hyperlink ref="B90" r:id="rId3" xr:uid="{FC9107BA-DC63-4474-BE80-C70D0B07C108}"/>
    <hyperlink ref="B85" r:id="rId4" xr:uid="{D457B1CB-8B19-4A1D-996E-899FA025186B}"/>
    <hyperlink ref="E22" r:id="rId5" xr:uid="{D3FE20BB-29B0-4FAC-83CE-60977FE7FB07}"/>
    <hyperlink ref="E23" r:id="rId6" display="https://www.lungcanceraudit.org.uk/reports-publications/nlca-state-of-the-nation-2024/" xr:uid="{506A39FE-5CAE-4DCA-9F51-97942EDD1101}"/>
    <hyperlink ref="E24" r:id="rId7" display="https://www.lungcanceraudit.org.uk/reports-publications/nlca-state-of-the-nation-2024/" xr:uid="{AC9BE794-33F4-438A-8C23-5BA8486CA30D}"/>
    <hyperlink ref="B48" r:id="rId8" display="https://www.nejm.org/doi/full/10.1056/NEJMoa2302983" xr:uid="{2678141D-0C03-485C-B82F-BBC31581A196}"/>
  </hyperlinks>
  <pageMargins left="0.7" right="0.7" top="0.75" bottom="0.75" header="0.3" footer="0.3"/>
  <pageSetup paperSize="9" scale="34" fitToHeight="0" orientation="portrait"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212"/>
  <sheetViews>
    <sheetView showGridLines="0" zoomScale="80" zoomScaleNormal="80" workbookViewId="0">
      <selection sqref="A1:M1"/>
    </sheetView>
  </sheetViews>
  <sheetFormatPr defaultColWidth="9.44140625" defaultRowHeight="13.2" x14ac:dyDescent="0.25"/>
  <cols>
    <col min="1" max="1" width="49.109375" style="3" customWidth="1"/>
    <col min="2" max="2" width="17.5546875" style="3" customWidth="1"/>
    <col min="3" max="3" width="20.44140625" style="3" customWidth="1"/>
    <col min="4" max="4" width="13" style="3" customWidth="1"/>
    <col min="5" max="5" width="12" style="3" customWidth="1"/>
    <col min="6" max="7" width="12.44140625" style="3" customWidth="1"/>
    <col min="8" max="8" width="14.44140625" style="3" customWidth="1"/>
    <col min="9" max="9" width="15.5546875" style="3" customWidth="1"/>
    <col min="10" max="10" width="12.5546875" style="3" customWidth="1"/>
    <col min="11" max="11" width="14" style="3" customWidth="1"/>
    <col min="12" max="12" width="16.88671875" style="3" customWidth="1"/>
    <col min="13" max="13" width="15.109375" style="3" customWidth="1"/>
    <col min="14" max="14" width="15.6640625" style="3" customWidth="1"/>
    <col min="15" max="15" width="12.44140625" style="3" customWidth="1"/>
    <col min="16" max="16" width="34.44140625" style="3" customWidth="1"/>
    <col min="17" max="17" width="20.6640625" style="3" customWidth="1"/>
    <col min="18" max="16384" width="9.44140625" style="3"/>
  </cols>
  <sheetData>
    <row r="1" spans="1:16" ht="30" customHeight="1" x14ac:dyDescent="0.25">
      <c r="A1" s="924" t="str">
        <f>'Population and treatments'!A1</f>
        <v>Treatments with chemotherapy before surgery (neoadjuvant) then alone after surgery (adjuvant) for treating resectable non-small-cell lung cancer</v>
      </c>
      <c r="B1" s="924"/>
      <c r="C1" s="924"/>
      <c r="D1" s="924"/>
      <c r="E1" s="924"/>
      <c r="F1" s="924"/>
      <c r="G1" s="924"/>
      <c r="H1" s="924"/>
      <c r="I1" s="924"/>
      <c r="J1" s="924"/>
      <c r="K1" s="924"/>
      <c r="L1" s="924"/>
      <c r="M1" s="924"/>
      <c r="N1" s="161"/>
      <c r="O1" s="161"/>
      <c r="P1" s="161"/>
    </row>
    <row r="2" spans="1:16" ht="26.25" customHeight="1" x14ac:dyDescent="0.25">
      <c r="A2" s="710" t="s">
        <v>7</v>
      </c>
      <c r="B2" s="138"/>
      <c r="C2" s="138"/>
      <c r="D2" s="138"/>
      <c r="E2" s="138"/>
      <c r="F2" s="138"/>
      <c r="G2" s="138"/>
      <c r="H2" s="138"/>
      <c r="I2" s="138"/>
      <c r="J2" s="138"/>
      <c r="K2" s="138"/>
      <c r="L2" s="138"/>
      <c r="M2" s="138"/>
      <c r="N2" s="138"/>
      <c r="O2" s="138"/>
      <c r="P2" s="138"/>
    </row>
    <row r="3" spans="1:16" ht="14.85" customHeight="1" x14ac:dyDescent="0.4">
      <c r="A3" s="116"/>
      <c r="B3" s="132"/>
      <c r="C3" s="118"/>
      <c r="D3" s="118"/>
      <c r="E3" s="118"/>
      <c r="F3" s="118" t="s">
        <v>1854</v>
      </c>
      <c r="G3" s="118" t="s">
        <v>1854</v>
      </c>
      <c r="H3" s="119" t="s">
        <v>1854</v>
      </c>
      <c r="I3" s="119"/>
      <c r="J3" s="119"/>
      <c r="K3" s="119"/>
      <c r="L3" s="119"/>
      <c r="M3" s="119"/>
      <c r="N3" s="161"/>
      <c r="O3" s="161"/>
      <c r="P3" s="161"/>
    </row>
    <row r="4" spans="1:16" ht="14.85" customHeight="1" x14ac:dyDescent="0.4">
      <c r="A4" s="610" t="s">
        <v>2042</v>
      </c>
      <c r="B4" s="472"/>
      <c r="C4" s="426"/>
      <c r="D4" s="426"/>
      <c r="E4" s="426"/>
      <c r="F4" s="426"/>
      <c r="G4" s="426"/>
      <c r="H4" s="426"/>
      <c r="I4" s="426"/>
      <c r="J4" s="426"/>
      <c r="K4" s="426"/>
      <c r="L4" s="426"/>
      <c r="M4" s="426"/>
      <c r="N4" s="426"/>
      <c r="O4" s="426"/>
      <c r="P4" s="473"/>
    </row>
    <row r="5" spans="1:16" ht="14.25" customHeight="1" x14ac:dyDescent="0.4">
      <c r="A5" s="161"/>
      <c r="B5" s="132"/>
      <c r="C5" s="118"/>
      <c r="D5" s="118"/>
      <c r="E5" s="118"/>
      <c r="F5" s="118"/>
      <c r="G5" s="118"/>
      <c r="H5" s="119"/>
      <c r="I5" s="118"/>
      <c r="J5" s="119"/>
      <c r="K5" s="119"/>
      <c r="L5" s="119"/>
      <c r="M5" s="119"/>
      <c r="N5" s="119"/>
      <c r="O5" s="119"/>
      <c r="P5" s="119"/>
    </row>
    <row r="6" spans="1:16" ht="14.25" customHeight="1" x14ac:dyDescent="0.4">
      <c r="A6" s="619" t="s">
        <v>2279</v>
      </c>
      <c r="B6" s="611"/>
      <c r="C6" s="612"/>
      <c r="D6" s="612"/>
      <c r="E6" s="612"/>
      <c r="F6" s="612"/>
      <c r="G6" s="612"/>
      <c r="H6" s="612"/>
      <c r="I6" s="612"/>
      <c r="J6" s="612"/>
      <c r="K6" s="612"/>
      <c r="L6" s="612"/>
      <c r="M6" s="612"/>
      <c r="N6" s="612"/>
      <c r="O6" s="612"/>
      <c r="P6" s="613"/>
    </row>
    <row r="7" spans="1:16" ht="14.25" customHeight="1" x14ac:dyDescent="0.3">
      <c r="A7" s="620" t="s">
        <v>2280</v>
      </c>
      <c r="B7" s="928" t="s">
        <v>2165</v>
      </c>
      <c r="C7" s="929"/>
      <c r="D7" s="929"/>
      <c r="E7" s="929"/>
      <c r="F7" s="929"/>
      <c r="G7" s="929"/>
      <c r="H7" s="929"/>
      <c r="I7" s="614"/>
      <c r="J7" s="614"/>
      <c r="K7" s="614"/>
      <c r="L7" s="614"/>
      <c r="M7" s="614"/>
      <c r="N7" s="614"/>
      <c r="O7" s="614"/>
      <c r="P7" s="615"/>
    </row>
    <row r="8" spans="1:16" ht="14.25" customHeight="1" x14ac:dyDescent="0.3">
      <c r="A8" s="621" t="s">
        <v>2281</v>
      </c>
      <c r="B8" s="811" t="s">
        <v>2166</v>
      </c>
      <c r="C8" s="174"/>
      <c r="D8" s="174"/>
      <c r="E8" s="174"/>
      <c r="F8" s="174"/>
      <c r="G8" s="174"/>
      <c r="H8" s="176"/>
      <c r="I8" s="616"/>
      <c r="J8" s="616"/>
      <c r="K8" s="616"/>
      <c r="L8" s="616"/>
      <c r="M8" s="616"/>
      <c r="N8" s="616"/>
      <c r="O8" s="616"/>
      <c r="P8" s="617"/>
    </row>
    <row r="9" spans="1:16" ht="14.25" customHeight="1" x14ac:dyDescent="0.4">
      <c r="A9" s="531"/>
      <c r="B9" s="132"/>
      <c r="C9" s="118"/>
      <c r="D9" s="118"/>
      <c r="E9" s="118"/>
      <c r="F9" s="758"/>
      <c r="G9" s="118"/>
      <c r="H9" s="118"/>
      <c r="I9" s="137"/>
      <c r="J9" s="118"/>
      <c r="K9" s="118"/>
      <c r="L9" s="118"/>
      <c r="M9" s="118"/>
      <c r="N9" s="118"/>
      <c r="O9" s="119"/>
      <c r="P9" s="119"/>
    </row>
    <row r="10" spans="1:16" ht="14.25" customHeight="1" x14ac:dyDescent="0.4">
      <c r="A10" s="531"/>
      <c r="B10" s="132"/>
      <c r="C10" s="118"/>
      <c r="D10" s="118"/>
      <c r="E10" s="118"/>
      <c r="F10" s="118"/>
      <c r="G10" s="118"/>
      <c r="H10" s="118"/>
      <c r="I10" s="118"/>
      <c r="J10" s="118"/>
      <c r="K10" s="118"/>
      <c r="L10" s="118"/>
      <c r="M10" s="118"/>
      <c r="N10" s="118"/>
      <c r="O10" s="118"/>
      <c r="P10" s="118"/>
    </row>
    <row r="11" spans="1:16" ht="48" customHeight="1" x14ac:dyDescent="0.3">
      <c r="A11" s="192" t="s">
        <v>2061</v>
      </c>
      <c r="B11" s="158"/>
      <c r="C11" s="812"/>
      <c r="D11" s="118"/>
      <c r="E11" s="815"/>
      <c r="F11" s="623"/>
      <c r="G11" s="119"/>
      <c r="H11" s="119"/>
      <c r="I11" s="119"/>
      <c r="J11" s="119"/>
      <c r="K11" s="119"/>
      <c r="L11" s="119"/>
      <c r="M11" s="137"/>
      <c r="N11" s="137"/>
      <c r="O11" s="137"/>
      <c r="P11" s="137"/>
    </row>
    <row r="12" spans="1:16" ht="51.75" customHeight="1" x14ac:dyDescent="0.3">
      <c r="A12" s="624" t="s">
        <v>2038</v>
      </c>
      <c r="B12" s="624" t="s">
        <v>2188</v>
      </c>
      <c r="C12" s="816" t="s">
        <v>2189</v>
      </c>
      <c r="D12" s="118"/>
      <c r="E12" s="814" t="s">
        <v>2062</v>
      </c>
      <c r="F12" s="810"/>
      <c r="G12" s="119"/>
      <c r="H12" s="119"/>
      <c r="I12" s="119"/>
      <c r="J12" s="119"/>
      <c r="K12" s="119"/>
      <c r="L12" s="119"/>
      <c r="M12" s="137"/>
      <c r="N12" s="137"/>
      <c r="O12" s="137"/>
      <c r="P12" s="137"/>
    </row>
    <row r="13" spans="1:16" ht="14.4" x14ac:dyDescent="0.3">
      <c r="A13" s="134" t="s">
        <v>2120</v>
      </c>
      <c r="B13" s="622">
        <f>O50</f>
        <v>112.03164161612801</v>
      </c>
      <c r="C13" s="622">
        <f>O54</f>
        <v>1468</v>
      </c>
      <c r="D13" s="118"/>
      <c r="E13" s="836">
        <f>I47</f>
        <v>4</v>
      </c>
      <c r="F13" s="803"/>
      <c r="G13" s="119"/>
      <c r="H13" s="119"/>
      <c r="I13" s="119"/>
      <c r="J13" s="119"/>
      <c r="K13" s="119"/>
      <c r="L13" s="119"/>
      <c r="M13" s="137"/>
      <c r="N13" s="137"/>
      <c r="O13" s="137"/>
      <c r="P13" s="137"/>
    </row>
    <row r="14" spans="1:16" ht="14.4" x14ac:dyDescent="0.3">
      <c r="A14" s="134" t="s">
        <v>2228</v>
      </c>
      <c r="B14" s="622">
        <f>O66</f>
        <v>0</v>
      </c>
      <c r="C14" s="622">
        <f>O70</f>
        <v>2392</v>
      </c>
      <c r="D14" s="118"/>
      <c r="E14" s="836">
        <f>I65</f>
        <v>13</v>
      </c>
      <c r="F14" s="803"/>
      <c r="G14" s="119"/>
      <c r="H14" s="119"/>
      <c r="I14" s="119"/>
      <c r="J14" s="119"/>
      <c r="K14" s="119"/>
      <c r="L14" s="119"/>
      <c r="M14" s="137"/>
      <c r="N14" s="137"/>
      <c r="O14" s="137"/>
      <c r="P14" s="137"/>
    </row>
    <row r="15" spans="1:16" ht="14.4" x14ac:dyDescent="0.3">
      <c r="A15" s="134" t="s">
        <v>2229</v>
      </c>
      <c r="B15" s="622">
        <f>O81</f>
        <v>0</v>
      </c>
      <c r="C15" s="622">
        <f>O85</f>
        <v>2392</v>
      </c>
      <c r="D15" s="118"/>
      <c r="E15" s="836">
        <f>I80</f>
        <v>13</v>
      </c>
      <c r="F15" s="803"/>
      <c r="G15" s="119"/>
      <c r="H15" s="119"/>
      <c r="I15" s="119"/>
      <c r="J15" s="119"/>
      <c r="K15" s="119"/>
      <c r="L15" s="119"/>
      <c r="M15" s="137"/>
      <c r="N15" s="137"/>
      <c r="O15" s="137"/>
      <c r="P15" s="137"/>
    </row>
    <row r="16" spans="1:16" ht="14.4" x14ac:dyDescent="0.3">
      <c r="A16" s="134" t="s">
        <v>2178</v>
      </c>
      <c r="B16" s="622">
        <f>O98</f>
        <v>112.031643324128</v>
      </c>
      <c r="C16" s="622">
        <f>O102</f>
        <v>1468</v>
      </c>
      <c r="D16" s="118"/>
      <c r="E16" s="836">
        <f>I95</f>
        <v>4</v>
      </c>
      <c r="F16" s="803"/>
      <c r="G16" s="119"/>
      <c r="H16" s="119"/>
      <c r="I16" s="119"/>
      <c r="J16" s="119"/>
      <c r="K16" s="119"/>
      <c r="L16" s="119"/>
      <c r="M16" s="137"/>
      <c r="N16" s="137"/>
      <c r="O16" s="137"/>
      <c r="P16" s="137"/>
    </row>
    <row r="17" spans="1:16" ht="14.4" x14ac:dyDescent="0.3">
      <c r="A17" s="134" t="s">
        <v>2179</v>
      </c>
      <c r="B17" s="622">
        <f>O114</f>
        <v>0</v>
      </c>
      <c r="C17" s="622">
        <f>O118</f>
        <v>2208</v>
      </c>
      <c r="D17" s="118"/>
      <c r="E17" s="836">
        <f>I113</f>
        <v>12</v>
      </c>
      <c r="F17" s="803"/>
      <c r="G17" s="119"/>
      <c r="H17" s="119"/>
      <c r="I17" s="119"/>
      <c r="J17" s="119"/>
      <c r="K17" s="119"/>
      <c r="L17" s="119"/>
      <c r="M17" s="137"/>
      <c r="N17" s="137"/>
      <c r="O17" s="137"/>
      <c r="P17" s="137"/>
    </row>
    <row r="18" spans="1:16" ht="14.4" x14ac:dyDescent="0.3">
      <c r="A18" s="134" t="s">
        <v>2183</v>
      </c>
      <c r="B18" s="622">
        <f>O131</f>
        <v>112.031643324128</v>
      </c>
      <c r="C18" s="622">
        <f>O135</f>
        <v>1468</v>
      </c>
      <c r="D18" s="118"/>
      <c r="E18" s="836">
        <f>I128</f>
        <v>4</v>
      </c>
      <c r="F18" s="803"/>
      <c r="G18" s="119"/>
      <c r="H18" s="119"/>
      <c r="I18" s="119"/>
      <c r="J18" s="119"/>
      <c r="K18" s="119"/>
      <c r="L18" s="119"/>
      <c r="M18" s="137"/>
      <c r="N18" s="137"/>
      <c r="O18" s="137"/>
      <c r="P18" s="137"/>
    </row>
    <row r="19" spans="1:16" ht="14.4" x14ac:dyDescent="0.3">
      <c r="A19" s="134" t="s">
        <v>2185</v>
      </c>
      <c r="B19" s="622">
        <f>O148</f>
        <v>0</v>
      </c>
      <c r="C19" s="622">
        <f>O152</f>
        <v>1288</v>
      </c>
      <c r="D19" s="118"/>
      <c r="E19" s="836">
        <f>I146+I147</f>
        <v>7</v>
      </c>
      <c r="F19" s="803"/>
      <c r="G19" s="119"/>
      <c r="H19" s="119"/>
      <c r="I19" s="119"/>
      <c r="J19" s="119"/>
      <c r="K19" s="119"/>
      <c r="L19" s="119"/>
      <c r="M19" s="137"/>
      <c r="N19" s="137"/>
      <c r="O19" s="137"/>
      <c r="P19" s="137"/>
    </row>
    <row r="20" spans="1:16" ht="14.4" x14ac:dyDescent="0.3">
      <c r="A20"/>
      <c r="B20" s="701"/>
      <c r="C20" s="701"/>
      <c r="D20" s="118"/>
      <c r="E20" s="118"/>
      <c r="F20" s="119"/>
      <c r="G20" s="118"/>
      <c r="H20" s="118"/>
      <c r="I20" s="119"/>
      <c r="J20" s="119"/>
      <c r="K20" s="119"/>
      <c r="L20" s="119"/>
      <c r="M20" s="119"/>
      <c r="N20" s="119"/>
      <c r="O20" s="137"/>
      <c r="P20" s="137"/>
    </row>
    <row r="21" spans="1:16" ht="14.4" x14ac:dyDescent="0.3">
      <c r="A21"/>
      <c r="B21" s="701"/>
      <c r="C21" s="701"/>
      <c r="D21" s="623"/>
      <c r="E21" s="623"/>
      <c r="F21" s="118"/>
      <c r="G21" s="118"/>
      <c r="H21" s="119"/>
      <c r="I21" s="118"/>
      <c r="J21" s="119"/>
      <c r="K21" s="119"/>
      <c r="L21" s="119"/>
      <c r="M21" s="119"/>
      <c r="N21" s="119"/>
      <c r="O21" s="119"/>
      <c r="P21" s="118"/>
    </row>
    <row r="22" spans="1:16" ht="14.4" x14ac:dyDescent="0.3">
      <c r="A22"/>
      <c r="B22" s="701"/>
      <c r="C22" s="701"/>
      <c r="D22" s="623"/>
      <c r="E22" s="623"/>
      <c r="F22" s="118"/>
      <c r="G22" s="118"/>
      <c r="H22" s="119"/>
      <c r="I22" s="118"/>
      <c r="J22" s="119"/>
      <c r="K22" s="119"/>
      <c r="L22" s="119"/>
      <c r="M22" s="119"/>
      <c r="N22" s="119"/>
      <c r="O22" s="119"/>
      <c r="P22" s="119"/>
    </row>
    <row r="23" spans="1:16" ht="29.4" customHeight="1" x14ac:dyDescent="0.3">
      <c r="A23" s="287" t="s">
        <v>1990</v>
      </c>
      <c r="B23" s="287" t="s">
        <v>1855</v>
      </c>
      <c r="C23" s="287" t="s">
        <v>1856</v>
      </c>
      <c r="D23" s="576" t="s">
        <v>2017</v>
      </c>
      <c r="E23" s="188" t="s">
        <v>2043</v>
      </c>
      <c r="F23" s="188" t="s">
        <v>2019</v>
      </c>
      <c r="G23" s="576" t="s">
        <v>2016</v>
      </c>
      <c r="H23" s="185" t="s">
        <v>1898</v>
      </c>
      <c r="I23" s="188" t="s">
        <v>1991</v>
      </c>
      <c r="J23" s="119"/>
      <c r="K23" s="119"/>
      <c r="L23" s="119"/>
      <c r="M23" s="119"/>
      <c r="N23" s="119"/>
      <c r="O23" s="119"/>
      <c r="P23" s="119"/>
    </row>
    <row r="24" spans="1:16" ht="15.6" x14ac:dyDescent="0.3">
      <c r="A24" s="631" t="s">
        <v>2109</v>
      </c>
      <c r="B24" s="625" t="s">
        <v>2018</v>
      </c>
      <c r="C24" s="632" t="s">
        <v>2117</v>
      </c>
      <c r="D24" s="626">
        <v>120</v>
      </c>
      <c r="E24" s="627">
        <v>1</v>
      </c>
      <c r="F24" s="628">
        <f>D24*E24</f>
        <v>120</v>
      </c>
      <c r="G24" s="502">
        <v>0</v>
      </c>
      <c r="H24" s="629">
        <v>0.2</v>
      </c>
      <c r="I24" s="305" t="s">
        <v>2119</v>
      </c>
      <c r="J24" s="758"/>
      <c r="K24" s="118"/>
      <c r="L24" s="118"/>
      <c r="M24" s="118"/>
      <c r="N24" s="118"/>
      <c r="O24" s="119"/>
      <c r="P24" s="119"/>
    </row>
    <row r="25" spans="1:16" ht="28.8" x14ac:dyDescent="0.3">
      <c r="A25" s="631" t="s">
        <v>2109</v>
      </c>
      <c r="B25" s="643" t="s">
        <v>2230</v>
      </c>
      <c r="C25" s="880" t="s">
        <v>2231</v>
      </c>
      <c r="D25" s="626">
        <v>600</v>
      </c>
      <c r="E25" s="627">
        <v>1</v>
      </c>
      <c r="F25" s="628">
        <v>600</v>
      </c>
      <c r="G25" s="502">
        <v>0</v>
      </c>
      <c r="H25" s="629">
        <v>0.2</v>
      </c>
      <c r="I25" s="305" t="s">
        <v>2119</v>
      </c>
      <c r="J25" s="758"/>
      <c r="K25" s="118"/>
      <c r="L25" s="118"/>
      <c r="M25" s="118"/>
      <c r="N25" s="118"/>
      <c r="O25" s="119"/>
      <c r="P25" s="119"/>
    </row>
    <row r="26" spans="1:16" ht="14.85" customHeight="1" x14ac:dyDescent="0.3">
      <c r="A26" s="631" t="s">
        <v>2108</v>
      </c>
      <c r="B26" s="625" t="s">
        <v>2018</v>
      </c>
      <c r="C26" s="632" t="s">
        <v>2117</v>
      </c>
      <c r="D26" s="757">
        <v>500</v>
      </c>
      <c r="E26" s="627">
        <v>1</v>
      </c>
      <c r="F26" s="628">
        <f t="shared" ref="F26:F29" si="0">D26*E26</f>
        <v>500</v>
      </c>
      <c r="G26" s="502">
        <v>0</v>
      </c>
      <c r="H26" s="629">
        <v>0.2</v>
      </c>
      <c r="I26" s="305" t="s">
        <v>2119</v>
      </c>
      <c r="J26" s="119"/>
      <c r="K26" s="119"/>
      <c r="L26" s="119"/>
      <c r="M26" s="119"/>
      <c r="N26" s="119"/>
      <c r="O26" s="119"/>
      <c r="P26" s="119"/>
    </row>
    <row r="27" spans="1:16" ht="14.85" customHeight="1" x14ac:dyDescent="0.3">
      <c r="A27" s="631" t="s">
        <v>2108</v>
      </c>
      <c r="B27" s="625" t="s">
        <v>2018</v>
      </c>
      <c r="C27" s="632" t="s">
        <v>2117</v>
      </c>
      <c r="D27" s="757">
        <v>120</v>
      </c>
      <c r="E27" s="627">
        <v>1</v>
      </c>
      <c r="F27" s="628">
        <f t="shared" si="0"/>
        <v>120</v>
      </c>
      <c r="G27" s="502">
        <v>0</v>
      </c>
      <c r="H27" s="629">
        <v>0.2</v>
      </c>
      <c r="I27" s="305" t="s">
        <v>2119</v>
      </c>
      <c r="J27" s="119"/>
      <c r="K27" s="119"/>
      <c r="L27" s="119"/>
      <c r="M27" s="119"/>
      <c r="N27" s="119"/>
      <c r="O27" s="119"/>
      <c r="P27" s="119"/>
    </row>
    <row r="28" spans="1:16" ht="14.85" customHeight="1" x14ac:dyDescent="0.3">
      <c r="A28" s="631" t="s">
        <v>2110</v>
      </c>
      <c r="B28" s="625" t="s">
        <v>2018</v>
      </c>
      <c r="C28" s="632" t="s">
        <v>2117</v>
      </c>
      <c r="D28" s="626">
        <v>100</v>
      </c>
      <c r="E28" s="627">
        <v>1</v>
      </c>
      <c r="F28" s="628">
        <f t="shared" si="0"/>
        <v>100</v>
      </c>
      <c r="G28" s="502">
        <v>0</v>
      </c>
      <c r="H28" s="629">
        <v>0.2</v>
      </c>
      <c r="I28" s="305" t="s">
        <v>2119</v>
      </c>
      <c r="J28" s="119"/>
      <c r="K28" s="119"/>
      <c r="L28" s="119"/>
      <c r="M28" s="119"/>
      <c r="N28" s="119"/>
      <c r="O28" s="119"/>
      <c r="P28" s="119"/>
    </row>
    <row r="29" spans="1:16" ht="14.4" x14ac:dyDescent="0.3">
      <c r="A29" s="631" t="s">
        <v>2111</v>
      </c>
      <c r="B29" s="625" t="s">
        <v>2018</v>
      </c>
      <c r="C29" s="632" t="s">
        <v>2117</v>
      </c>
      <c r="D29" s="626">
        <v>450</v>
      </c>
      <c r="E29" s="627">
        <v>1</v>
      </c>
      <c r="F29" s="628">
        <f t="shared" si="0"/>
        <v>450</v>
      </c>
      <c r="G29" s="502">
        <v>0</v>
      </c>
      <c r="H29" s="629">
        <v>0.2</v>
      </c>
      <c r="I29" s="305" t="s">
        <v>2119</v>
      </c>
      <c r="J29" s="119"/>
      <c r="K29" s="119"/>
      <c r="L29" s="119"/>
      <c r="M29" s="119"/>
      <c r="N29" s="119"/>
      <c r="O29" s="119"/>
      <c r="P29" s="119"/>
    </row>
    <row r="30" spans="1:16" ht="14.85" customHeight="1" x14ac:dyDescent="0.3">
      <c r="A30" s="631" t="s">
        <v>2111</v>
      </c>
      <c r="B30" s="625" t="s">
        <v>2018</v>
      </c>
      <c r="C30" s="632" t="s">
        <v>2117</v>
      </c>
      <c r="D30" s="626">
        <v>600</v>
      </c>
      <c r="E30" s="627">
        <v>1</v>
      </c>
      <c r="F30" s="628">
        <f t="shared" ref="F30:F34" si="1">D30*E30</f>
        <v>600</v>
      </c>
      <c r="G30" s="502">
        <v>0</v>
      </c>
      <c r="H30" s="629">
        <v>0.2</v>
      </c>
      <c r="I30" s="305" t="s">
        <v>2119</v>
      </c>
      <c r="J30" s="119"/>
      <c r="K30" s="119"/>
      <c r="L30" s="119"/>
      <c r="M30" s="119"/>
      <c r="N30" s="119"/>
      <c r="O30" s="119"/>
      <c r="P30" s="119"/>
    </row>
    <row r="31" spans="1:16" ht="14.85" customHeight="1" x14ac:dyDescent="0.3">
      <c r="A31" s="631" t="s">
        <v>2112</v>
      </c>
      <c r="B31" s="625" t="s">
        <v>2018</v>
      </c>
      <c r="C31" s="632" t="s">
        <v>2117</v>
      </c>
      <c r="D31" s="626">
        <v>100</v>
      </c>
      <c r="E31" s="627">
        <v>1</v>
      </c>
      <c r="F31" s="628">
        <f t="shared" si="1"/>
        <v>100</v>
      </c>
      <c r="G31" s="502">
        <v>30.5</v>
      </c>
      <c r="H31" s="629">
        <v>0.2</v>
      </c>
      <c r="I31" s="305" t="s">
        <v>2123</v>
      </c>
      <c r="J31" s="119"/>
      <c r="K31" s="119"/>
      <c r="L31" s="119"/>
      <c r="M31" s="119"/>
      <c r="N31" s="119"/>
      <c r="O31" s="119"/>
      <c r="P31" s="119"/>
    </row>
    <row r="32" spans="1:16" ht="14.85" customHeight="1" x14ac:dyDescent="0.3">
      <c r="A32" s="631" t="s">
        <v>2112</v>
      </c>
      <c r="B32" s="625" t="s">
        <v>2018</v>
      </c>
      <c r="C32" s="632" t="s">
        <v>2117</v>
      </c>
      <c r="D32" s="626">
        <v>10</v>
      </c>
      <c r="E32" s="627">
        <v>1</v>
      </c>
      <c r="F32" s="628">
        <f t="shared" si="1"/>
        <v>10</v>
      </c>
      <c r="G32" s="502">
        <v>3.77</v>
      </c>
      <c r="H32" s="629">
        <v>0.2</v>
      </c>
      <c r="I32" s="305" t="s">
        <v>2123</v>
      </c>
      <c r="J32" s="119"/>
      <c r="K32" s="119"/>
      <c r="L32" s="119"/>
      <c r="M32" s="119"/>
      <c r="N32" s="119"/>
      <c r="O32" s="119"/>
      <c r="P32" s="119"/>
    </row>
    <row r="33" spans="1:16" ht="14.4" x14ac:dyDescent="0.3">
      <c r="A33" s="631" t="s">
        <v>2113</v>
      </c>
      <c r="B33" s="625" t="s">
        <v>2018</v>
      </c>
      <c r="C33" s="632" t="s">
        <v>2117</v>
      </c>
      <c r="D33" s="626">
        <v>160</v>
      </c>
      <c r="E33" s="627">
        <v>1</v>
      </c>
      <c r="F33" s="630">
        <f t="shared" si="1"/>
        <v>160</v>
      </c>
      <c r="G33" s="502">
        <v>17.32</v>
      </c>
      <c r="H33" s="629">
        <v>0.2</v>
      </c>
      <c r="I33" s="305" t="s">
        <v>2123</v>
      </c>
      <c r="J33" s="119"/>
      <c r="K33" s="119"/>
      <c r="L33" s="119"/>
      <c r="M33" s="119"/>
      <c r="N33" s="119"/>
      <c r="O33" s="119"/>
      <c r="P33" s="119"/>
    </row>
    <row r="34" spans="1:16" ht="14.85" customHeight="1" x14ac:dyDescent="0.3">
      <c r="A34" s="631" t="s">
        <v>2114</v>
      </c>
      <c r="B34" s="625" t="s">
        <v>2018</v>
      </c>
      <c r="C34" s="632" t="s">
        <v>2117</v>
      </c>
      <c r="D34" s="626">
        <v>1000</v>
      </c>
      <c r="E34" s="627">
        <v>1</v>
      </c>
      <c r="F34" s="628">
        <f t="shared" si="1"/>
        <v>1000</v>
      </c>
      <c r="G34" s="502">
        <v>0</v>
      </c>
      <c r="H34" s="629">
        <v>0.2</v>
      </c>
      <c r="I34" s="305" t="s">
        <v>2119</v>
      </c>
      <c r="J34" s="119"/>
      <c r="K34" s="119"/>
      <c r="L34" s="119"/>
      <c r="M34" s="119"/>
      <c r="N34" s="119"/>
      <c r="O34" s="119"/>
      <c r="P34" s="119"/>
    </row>
    <row r="35" spans="1:16" ht="14.4" x14ac:dyDescent="0.3">
      <c r="A35" s="631" t="s">
        <v>2115</v>
      </c>
      <c r="B35" s="625" t="s">
        <v>2018</v>
      </c>
      <c r="C35" s="632" t="s">
        <v>2117</v>
      </c>
      <c r="D35" s="626">
        <v>100</v>
      </c>
      <c r="E35" s="627">
        <v>1</v>
      </c>
      <c r="F35" s="628">
        <f t="shared" ref="F35:F38" si="2">D35*E35</f>
        <v>100</v>
      </c>
      <c r="G35" s="502">
        <v>0</v>
      </c>
      <c r="H35" s="629">
        <v>0.2</v>
      </c>
      <c r="I35" s="305" t="s">
        <v>2119</v>
      </c>
      <c r="J35" s="119"/>
      <c r="K35" s="119"/>
      <c r="L35" s="119"/>
      <c r="M35" s="119"/>
      <c r="N35" s="119"/>
      <c r="O35" s="119"/>
      <c r="P35" s="119"/>
    </row>
    <row r="36" spans="1:16" ht="14.85" customHeight="1" x14ac:dyDescent="0.3">
      <c r="A36" s="631" t="s">
        <v>2115</v>
      </c>
      <c r="B36" s="625" t="s">
        <v>2018</v>
      </c>
      <c r="C36" s="632" t="s">
        <v>2117</v>
      </c>
      <c r="D36" s="626">
        <v>300</v>
      </c>
      <c r="E36" s="627">
        <v>1</v>
      </c>
      <c r="F36" s="628">
        <f t="shared" si="2"/>
        <v>300</v>
      </c>
      <c r="G36" s="502">
        <v>0</v>
      </c>
      <c r="H36" s="629">
        <v>0.2</v>
      </c>
      <c r="I36" s="305" t="s">
        <v>2119</v>
      </c>
      <c r="J36" s="119"/>
      <c r="K36" s="119"/>
      <c r="L36" s="119"/>
      <c r="M36" s="119"/>
      <c r="N36" s="119"/>
      <c r="O36" s="119"/>
      <c r="P36" s="119"/>
    </row>
    <row r="37" spans="1:16" ht="14.85" customHeight="1" x14ac:dyDescent="0.3">
      <c r="A37" s="631" t="s">
        <v>2116</v>
      </c>
      <c r="B37" s="625" t="s">
        <v>2018</v>
      </c>
      <c r="C37" s="632" t="s">
        <v>2117</v>
      </c>
      <c r="D37" s="626">
        <v>1000</v>
      </c>
      <c r="E37" s="627">
        <v>1</v>
      </c>
      <c r="F37" s="628">
        <f t="shared" si="2"/>
        <v>1000</v>
      </c>
      <c r="G37" s="502">
        <v>0</v>
      </c>
      <c r="H37" s="629">
        <v>0.2</v>
      </c>
      <c r="I37" s="305" t="s">
        <v>2119</v>
      </c>
      <c r="J37" s="119"/>
      <c r="K37" s="119"/>
      <c r="L37" s="119"/>
      <c r="M37" s="119"/>
      <c r="N37" s="119"/>
      <c r="O37" s="119"/>
      <c r="P37" s="119"/>
    </row>
    <row r="38" spans="1:16" ht="14.85" customHeight="1" x14ac:dyDescent="0.3">
      <c r="A38" s="631" t="s">
        <v>2118</v>
      </c>
      <c r="B38" s="625" t="s">
        <v>2018</v>
      </c>
      <c r="C38" s="632" t="s">
        <v>2117</v>
      </c>
      <c r="D38" s="626">
        <v>50</v>
      </c>
      <c r="E38" s="627">
        <v>10</v>
      </c>
      <c r="F38" s="628">
        <f t="shared" si="2"/>
        <v>500</v>
      </c>
      <c r="G38" s="502">
        <v>165.43</v>
      </c>
      <c r="H38" s="629">
        <v>0.2</v>
      </c>
      <c r="I38" s="305" t="s">
        <v>2123</v>
      </c>
      <c r="J38" s="119"/>
      <c r="K38" s="119"/>
      <c r="L38" s="119"/>
      <c r="M38" s="119"/>
      <c r="N38" s="119"/>
      <c r="O38" s="119"/>
      <c r="P38" s="119"/>
    </row>
    <row r="39" spans="1:16" ht="14.4" x14ac:dyDescent="0.3">
      <c r="A39" s="320" t="s">
        <v>2122</v>
      </c>
      <c r="B39" s="119"/>
      <c r="C39" s="633"/>
      <c r="D39" s="634"/>
      <c r="E39" s="425"/>
      <c r="F39" s="301"/>
      <c r="G39" s="635"/>
      <c r="H39" s="636"/>
      <c r="I39" s="425"/>
      <c r="J39" s="119"/>
      <c r="K39" s="119"/>
      <c r="L39" s="119"/>
      <c r="M39" s="119"/>
      <c r="N39" s="119"/>
      <c r="O39" s="119"/>
      <c r="P39" s="119"/>
    </row>
    <row r="40" spans="1:16" ht="14.85" customHeight="1" x14ac:dyDescent="0.3">
      <c r="A40" s="540" t="s">
        <v>2044</v>
      </c>
      <c r="B40" s="161"/>
      <c r="C40" s="119"/>
      <c r="D40" s="638"/>
      <c r="E40" s="638"/>
      <c r="F40" s="638"/>
      <c r="G40" s="638"/>
      <c r="H40" s="119"/>
      <c r="I40" s="119"/>
      <c r="J40" s="119"/>
      <c r="K40" s="119"/>
      <c r="L40" s="119"/>
      <c r="M40" s="119"/>
      <c r="N40" s="119"/>
      <c r="O40" s="119"/>
      <c r="P40" s="119"/>
    </row>
    <row r="41" spans="1:16" ht="14.85" customHeight="1" x14ac:dyDescent="0.4">
      <c r="A41"/>
      <c r="B41" s="132"/>
      <c r="C41" s="118"/>
      <c r="D41" s="118"/>
      <c r="E41" s="118"/>
      <c r="F41" s="118"/>
      <c r="G41" s="118"/>
      <c r="H41" s="119"/>
      <c r="I41" s="118"/>
      <c r="J41" s="119"/>
      <c r="K41" s="119"/>
      <c r="L41" s="119"/>
      <c r="M41" s="119"/>
      <c r="N41" s="119"/>
      <c r="O41" s="119"/>
      <c r="P41" s="119"/>
    </row>
    <row r="42" spans="1:16" ht="14.85" customHeight="1" x14ac:dyDescent="0.4">
      <c r="A42" s="425"/>
      <c r="B42" s="132"/>
      <c r="C42" s="118"/>
      <c r="D42" s="118"/>
      <c r="E42" s="118"/>
      <c r="F42" s="118"/>
      <c r="G42" s="118"/>
      <c r="H42" s="119"/>
      <c r="I42" s="118"/>
      <c r="J42" s="119"/>
      <c r="K42" s="119"/>
      <c r="L42" s="119"/>
      <c r="M42" s="119"/>
      <c r="N42" s="119"/>
      <c r="O42" s="119"/>
      <c r="P42" s="119"/>
    </row>
    <row r="43" spans="1:16" ht="17.25" customHeight="1" x14ac:dyDescent="0.4">
      <c r="A43" s="471" t="s">
        <v>2120</v>
      </c>
      <c r="B43" s="472"/>
      <c r="C43" s="426"/>
      <c r="D43" s="426"/>
      <c r="E43" s="426"/>
      <c r="F43" s="426"/>
      <c r="G43" s="426"/>
      <c r="H43" s="426"/>
      <c r="I43" s="426"/>
      <c r="J43" s="426"/>
      <c r="K43" s="426"/>
      <c r="L43" s="426"/>
      <c r="M43" s="426"/>
      <c r="N43" s="426"/>
      <c r="O43" s="473"/>
      <c r="P43" s="119"/>
    </row>
    <row r="44" spans="1:16" ht="14.85" customHeight="1" x14ac:dyDescent="0.4">
      <c r="A44" s="132"/>
      <c r="B44" s="132"/>
      <c r="C44" s="119"/>
      <c r="D44" s="119"/>
      <c r="E44" s="119"/>
      <c r="F44" s="119"/>
      <c r="G44" s="119"/>
      <c r="H44" s="119"/>
      <c r="I44" s="119"/>
      <c r="J44" s="119"/>
      <c r="K44" s="119"/>
      <c r="L44" s="119"/>
      <c r="M44" s="119"/>
      <c r="N44" s="119"/>
      <c r="O44" s="506"/>
      <c r="P44" s="119"/>
    </row>
    <row r="45" spans="1:16" s="184" customFormat="1" ht="14.4" x14ac:dyDescent="0.3">
      <c r="A45" s="507" t="s">
        <v>1891</v>
      </c>
      <c r="B45" s="619" t="s">
        <v>2021</v>
      </c>
      <c r="C45" s="639"/>
      <c r="D45" s="639"/>
      <c r="E45" s="639"/>
      <c r="F45" s="640"/>
      <c r="G45" s="619" t="s">
        <v>2045</v>
      </c>
      <c r="H45" s="639"/>
      <c r="I45" s="639"/>
      <c r="J45" s="639"/>
      <c r="K45" s="639"/>
      <c r="L45" s="639"/>
      <c r="M45" s="639"/>
      <c r="N45" s="639"/>
      <c r="O45" s="640"/>
      <c r="P45" s="119"/>
    </row>
    <row r="46" spans="1:16" s="184" customFormat="1" ht="66" customHeight="1" x14ac:dyDescent="0.3">
      <c r="A46" s="185" t="s">
        <v>1892</v>
      </c>
      <c r="B46" s="188" t="s">
        <v>2020</v>
      </c>
      <c r="C46" s="188" t="s">
        <v>1856</v>
      </c>
      <c r="D46" s="188" t="s">
        <v>1857</v>
      </c>
      <c r="E46" s="188" t="s">
        <v>1858</v>
      </c>
      <c r="F46" s="188" t="s">
        <v>1859</v>
      </c>
      <c r="G46" s="188" t="s">
        <v>1893</v>
      </c>
      <c r="H46" s="188" t="s">
        <v>1993</v>
      </c>
      <c r="I46" s="188" t="s">
        <v>1994</v>
      </c>
      <c r="J46" s="188" t="s">
        <v>1895</v>
      </c>
      <c r="K46" s="188" t="s">
        <v>1896</v>
      </c>
      <c r="L46" s="188" t="s">
        <v>1897</v>
      </c>
      <c r="M46" s="185" t="s">
        <v>1898</v>
      </c>
      <c r="N46" s="188" t="s">
        <v>2046</v>
      </c>
      <c r="O46" s="188" t="s">
        <v>1899</v>
      </c>
      <c r="P46" s="119"/>
    </row>
    <row r="47" spans="1:16" s="184" customFormat="1" ht="28.8" x14ac:dyDescent="0.3">
      <c r="A47" s="305" t="str">
        <f>A24</f>
        <v>Nivolumab</v>
      </c>
      <c r="B47" s="643" t="s">
        <v>2121</v>
      </c>
      <c r="C47" s="625" t="str">
        <f>C24</f>
        <v xml:space="preserve">vial </v>
      </c>
      <c r="D47" s="530">
        <f>D24</f>
        <v>120</v>
      </c>
      <c r="E47" s="644">
        <f>E24</f>
        <v>1</v>
      </c>
      <c r="F47" s="645">
        <f>F24</f>
        <v>120</v>
      </c>
      <c r="G47" s="530">
        <v>360</v>
      </c>
      <c r="H47" s="523">
        <v>21</v>
      </c>
      <c r="I47" s="524">
        <v>4</v>
      </c>
      <c r="J47" s="856">
        <f>G47*I47</f>
        <v>1440</v>
      </c>
      <c r="K47" s="857">
        <f>J47/F47</f>
        <v>12</v>
      </c>
      <c r="L47" s="883">
        <f>G24</f>
        <v>0</v>
      </c>
      <c r="M47" s="650">
        <f>H24</f>
        <v>0.2</v>
      </c>
      <c r="N47" s="650">
        <v>1</v>
      </c>
      <c r="O47" s="884">
        <f>K47*L47*(1+M47)*N47</f>
        <v>0</v>
      </c>
      <c r="P47" s="119"/>
    </row>
    <row r="48" spans="1:16" s="184" customFormat="1" ht="14.4" x14ac:dyDescent="0.3">
      <c r="A48" s="759"/>
      <c r="B48" s="759"/>
      <c r="C48" s="759"/>
      <c r="D48" s="759"/>
      <c r="E48" s="186"/>
      <c r="F48" s="186"/>
      <c r="G48" s="186"/>
      <c r="H48" s="186"/>
      <c r="I48" s="301"/>
      <c r="J48" s="301"/>
      <c r="K48" s="301"/>
      <c r="L48" s="186"/>
      <c r="M48" s="796" t="s">
        <v>2168</v>
      </c>
      <c r="N48" s="796" t="s">
        <v>2169</v>
      </c>
      <c r="O48" s="796"/>
      <c r="P48" s="119"/>
    </row>
    <row r="49" spans="1:16" s="184" customFormat="1" ht="28.8" x14ac:dyDescent="0.3">
      <c r="A49" s="759"/>
      <c r="B49" s="759"/>
      <c r="C49" s="759"/>
      <c r="D49" s="759"/>
      <c r="E49" s="186"/>
      <c r="F49" s="186"/>
      <c r="G49" s="186"/>
      <c r="H49" s="186"/>
      <c r="I49" s="186"/>
      <c r="J49" s="186"/>
      <c r="K49" s="186"/>
      <c r="L49" s="885" t="s">
        <v>2167</v>
      </c>
      <c r="M49" s="502">
        <f>D201</f>
        <v>28.007910404032003</v>
      </c>
      <c r="N49" s="306">
        <f>I47</f>
        <v>4</v>
      </c>
      <c r="O49" s="312">
        <f>M49*N49</f>
        <v>112.03164161612801</v>
      </c>
      <c r="P49" s="119"/>
    </row>
    <row r="50" spans="1:16" s="184" customFormat="1" ht="14.4" x14ac:dyDescent="0.3">
      <c r="A50" s="189" t="s">
        <v>1900</v>
      </c>
      <c r="B50" s="641"/>
      <c r="C50" s="641"/>
      <c r="D50" s="641"/>
      <c r="E50" s="641"/>
      <c r="F50" s="641"/>
      <c r="G50" s="641"/>
      <c r="H50" s="641"/>
      <c r="I50" s="642"/>
      <c r="J50" s="642"/>
      <c r="K50" s="642"/>
      <c r="L50" s="641"/>
      <c r="M50" s="641"/>
      <c r="N50" s="642"/>
      <c r="O50" s="651">
        <f>O47+O49</f>
        <v>112.03164161612801</v>
      </c>
      <c r="P50" s="119"/>
    </row>
    <row r="51" spans="1:16" s="184" customFormat="1" ht="14.4" x14ac:dyDescent="0.3">
      <c r="A51" s="759"/>
      <c r="B51" s="759"/>
      <c r="C51" s="759"/>
      <c r="D51" s="759"/>
      <c r="E51" s="186"/>
      <c r="F51" s="186"/>
      <c r="G51" s="186"/>
      <c r="H51" s="186"/>
      <c r="I51" s="186"/>
      <c r="J51" s="186"/>
      <c r="K51" s="186"/>
      <c r="L51" s="186"/>
      <c r="M51" s="186"/>
      <c r="N51" s="186"/>
      <c r="O51" s="427"/>
      <c r="P51" s="119"/>
    </row>
    <row r="52" spans="1:16" s="184" customFormat="1" ht="14.4" x14ac:dyDescent="0.3">
      <c r="A52" s="586" t="s">
        <v>1901</v>
      </c>
      <c r="B52" s="186"/>
      <c r="C52" s="153"/>
      <c r="D52" s="102"/>
      <c r="E52" s="154"/>
      <c r="F52" s="155"/>
      <c r="G52" s="5"/>
      <c r="H52" s="155"/>
      <c r="I52" s="155"/>
      <c r="J52" s="155"/>
      <c r="K52" s="155"/>
      <c r="L52" s="186"/>
      <c r="M52" s="186"/>
      <c r="N52" s="186"/>
      <c r="O52" s="427"/>
      <c r="P52" s="119"/>
    </row>
    <row r="53" spans="1:16" s="184" customFormat="1" ht="28.8" x14ac:dyDescent="0.3">
      <c r="A53" s="516" t="s">
        <v>1902</v>
      </c>
      <c r="B53" s="187" t="s">
        <v>1903</v>
      </c>
      <c r="C53" s="190" t="s">
        <v>1904</v>
      </c>
      <c r="D53" s="225"/>
      <c r="E53" s="226"/>
      <c r="F53" s="226"/>
      <c r="G53" s="226"/>
      <c r="H53" s="226"/>
      <c r="I53" s="227"/>
      <c r="J53" s="226"/>
      <c r="K53" s="226"/>
      <c r="L53" s="226"/>
      <c r="M53" s="188" t="s">
        <v>1894</v>
      </c>
      <c r="N53" s="185" t="s">
        <v>1905</v>
      </c>
      <c r="O53" s="188" t="s">
        <v>1899</v>
      </c>
      <c r="P53" s="119"/>
    </row>
    <row r="54" spans="1:16" s="184" customFormat="1" ht="14.4" x14ac:dyDescent="0.3">
      <c r="A54" s="305" t="str">
        <f>A43</f>
        <v>Nivolumab (neoadjuvant)</v>
      </c>
      <c r="B54" s="658" t="s">
        <v>2170</v>
      </c>
      <c r="C54" s="886" t="s">
        <v>2171</v>
      </c>
      <c r="D54" s="308"/>
      <c r="E54" s="309"/>
      <c r="F54" s="310"/>
      <c r="G54" s="310"/>
      <c r="H54" s="310"/>
      <c r="I54" s="309"/>
      <c r="J54" s="309"/>
      <c r="K54" s="309"/>
      <c r="L54" s="309"/>
      <c r="M54" s="306">
        <f>I47</f>
        <v>4</v>
      </c>
      <c r="N54" s="312">
        <v>367</v>
      </c>
      <c r="O54" s="651">
        <f>N54*M54</f>
        <v>1468</v>
      </c>
      <c r="P54" s="119"/>
    </row>
    <row r="55" spans="1:16" s="184" customFormat="1" ht="14.4" x14ac:dyDescent="0.3">
      <c r="A55" s="797"/>
      <c r="B55" s="798"/>
      <c r="C55" s="799"/>
      <c r="D55" s="800"/>
      <c r="E55" s="801"/>
      <c r="F55" s="802"/>
      <c r="G55" s="802"/>
      <c r="H55" s="802"/>
      <c r="I55" s="801"/>
      <c r="J55" s="801"/>
      <c r="K55" s="801"/>
      <c r="L55" s="801"/>
      <c r="M55" s="803"/>
      <c r="N55" s="804"/>
      <c r="O55" s="805"/>
      <c r="P55" s="119"/>
    </row>
    <row r="56" spans="1:16" s="184" customFormat="1" ht="14.4" x14ac:dyDescent="0.3">
      <c r="A56" s="807" t="s">
        <v>2174</v>
      </c>
      <c r="B56" s="186"/>
      <c r="C56" s="186"/>
      <c r="D56" s="186"/>
      <c r="E56" s="186"/>
      <c r="F56" s="186"/>
      <c r="G56" s="186"/>
      <c r="H56" s="186"/>
      <c r="I56" s="186"/>
      <c r="J56" s="186"/>
      <c r="K56" s="186"/>
      <c r="L56" s="186"/>
      <c r="M56" s="186"/>
      <c r="N56" s="186"/>
      <c r="O56" s="186"/>
      <c r="P56" s="186"/>
    </row>
    <row r="57" spans="1:16" s="184" customFormat="1" ht="14.4" x14ac:dyDescent="0.3">
      <c r="A57" s="730" t="s">
        <v>2173</v>
      </c>
      <c r="B57" s="186"/>
      <c r="C57" s="186"/>
      <c r="D57" s="186"/>
      <c r="E57" s="186"/>
      <c r="F57" s="186"/>
      <c r="G57" s="186"/>
      <c r="H57" s="186"/>
      <c r="I57" s="186"/>
      <c r="J57" s="186"/>
      <c r="K57" s="186"/>
      <c r="L57" s="186"/>
      <c r="M57" s="186"/>
      <c r="N57" s="186"/>
      <c r="O57" s="186"/>
      <c r="P57" s="186"/>
    </row>
    <row r="58" spans="1:16" s="184" customFormat="1" ht="14.4" x14ac:dyDescent="0.3">
      <c r="A58" s="702" t="s">
        <v>2172</v>
      </c>
      <c r="B58" s="186"/>
      <c r="C58" s="186"/>
      <c r="D58" s="186"/>
      <c r="E58" s="186"/>
      <c r="F58" s="186"/>
      <c r="G58" s="186"/>
      <c r="H58" s="186"/>
      <c r="I58" s="186"/>
      <c r="J58" s="186"/>
      <c r="K58" s="186"/>
      <c r="L58" s="186"/>
      <c r="M58" s="186"/>
      <c r="N58" s="186"/>
      <c r="O58" s="186"/>
      <c r="P58" s="186"/>
    </row>
    <row r="59" spans="1:16" s="184" customFormat="1" ht="14.4" x14ac:dyDescent="0.3">
      <c r="A59" s="162"/>
      <c r="B59" s="186"/>
      <c r="C59" s="186"/>
      <c r="D59" s="186"/>
      <c r="E59" s="186"/>
      <c r="F59" s="186"/>
      <c r="G59" s="186"/>
      <c r="H59" s="186"/>
      <c r="I59" s="186"/>
      <c r="J59" s="186"/>
      <c r="K59" s="186"/>
      <c r="L59" s="186"/>
      <c r="M59" s="186"/>
      <c r="N59" s="186"/>
      <c r="O59" s="186"/>
      <c r="P59" s="186"/>
    </row>
    <row r="60" spans="1:16" s="184" customFormat="1" ht="14.4" x14ac:dyDescent="0.3">
      <c r="A60" s="162"/>
      <c r="B60" s="186"/>
      <c r="C60" s="186"/>
      <c r="D60" s="186"/>
      <c r="E60" s="186"/>
      <c r="F60" s="186"/>
      <c r="G60" s="186"/>
      <c r="H60" s="186"/>
      <c r="I60" s="186"/>
      <c r="J60" s="186"/>
      <c r="K60" s="186"/>
      <c r="L60" s="186"/>
      <c r="M60" s="186"/>
      <c r="N60" s="186"/>
      <c r="O60" s="186"/>
      <c r="P60" s="186"/>
    </row>
    <row r="61" spans="1:16" ht="17.25" customHeight="1" x14ac:dyDescent="0.4">
      <c r="A61" s="471" t="s">
        <v>2228</v>
      </c>
      <c r="B61" s="472"/>
      <c r="C61" s="426"/>
      <c r="D61" s="426"/>
      <c r="E61" s="426"/>
      <c r="F61" s="426"/>
      <c r="G61" s="426"/>
      <c r="H61" s="426"/>
      <c r="I61" s="426"/>
      <c r="J61" s="426"/>
      <c r="K61" s="426"/>
      <c r="L61" s="426"/>
      <c r="M61" s="426"/>
      <c r="N61" s="426"/>
      <c r="O61" s="473"/>
      <c r="P61" s="119"/>
    </row>
    <row r="62" spans="1:16" ht="14.85" customHeight="1" x14ac:dyDescent="0.4">
      <c r="A62" s="132"/>
      <c r="B62" s="132"/>
      <c r="C62" s="119"/>
      <c r="D62" s="119"/>
      <c r="E62" s="119"/>
      <c r="F62" s="119"/>
      <c r="G62" s="119"/>
      <c r="H62" s="119"/>
      <c r="I62" s="119"/>
      <c r="J62" s="119"/>
      <c r="K62" s="119"/>
      <c r="L62" s="119"/>
      <c r="M62" s="119"/>
      <c r="N62" s="119"/>
      <c r="O62" s="506"/>
      <c r="P62" s="119"/>
    </row>
    <row r="63" spans="1:16" s="184" customFormat="1" ht="14.4" x14ac:dyDescent="0.3">
      <c r="A63" s="507" t="s">
        <v>1891</v>
      </c>
      <c r="B63" s="619" t="s">
        <v>2021</v>
      </c>
      <c r="C63" s="639"/>
      <c r="D63" s="639"/>
      <c r="E63" s="639"/>
      <c r="F63" s="640"/>
      <c r="G63" s="619" t="s">
        <v>2045</v>
      </c>
      <c r="H63" s="639"/>
      <c r="I63" s="639"/>
      <c r="J63" s="639"/>
      <c r="K63" s="639"/>
      <c r="L63" s="639"/>
      <c r="M63" s="639"/>
      <c r="N63" s="639"/>
      <c r="O63" s="640"/>
      <c r="P63" s="119"/>
    </row>
    <row r="64" spans="1:16" s="184" customFormat="1" ht="66" customHeight="1" x14ac:dyDescent="0.3">
      <c r="A64" s="185" t="s">
        <v>1892</v>
      </c>
      <c r="B64" s="188" t="s">
        <v>2020</v>
      </c>
      <c r="C64" s="188" t="s">
        <v>1856</v>
      </c>
      <c r="D64" s="188" t="s">
        <v>1857</v>
      </c>
      <c r="E64" s="188" t="s">
        <v>1858</v>
      </c>
      <c r="F64" s="188" t="s">
        <v>1859</v>
      </c>
      <c r="G64" s="188" t="s">
        <v>1893</v>
      </c>
      <c r="H64" s="188" t="s">
        <v>1993</v>
      </c>
      <c r="I64" s="188" t="s">
        <v>1994</v>
      </c>
      <c r="J64" s="188" t="s">
        <v>1895</v>
      </c>
      <c r="K64" s="188" t="s">
        <v>1896</v>
      </c>
      <c r="L64" s="188" t="s">
        <v>1897</v>
      </c>
      <c r="M64" s="185" t="s">
        <v>1898</v>
      </c>
      <c r="N64" s="188" t="s">
        <v>2046</v>
      </c>
      <c r="O64" s="188" t="s">
        <v>2175</v>
      </c>
      <c r="P64" s="119"/>
    </row>
    <row r="65" spans="1:16" s="184" customFormat="1" ht="29.85" customHeight="1" x14ac:dyDescent="0.3">
      <c r="A65" s="305" t="s">
        <v>2124</v>
      </c>
      <c r="B65" s="643" t="s">
        <v>2181</v>
      </c>
      <c r="C65" s="625" t="str">
        <f>C24</f>
        <v xml:space="preserve">vial </v>
      </c>
      <c r="D65" s="530">
        <f>D24</f>
        <v>120</v>
      </c>
      <c r="E65" s="644">
        <f>E24</f>
        <v>1</v>
      </c>
      <c r="F65" s="645">
        <f>F24</f>
        <v>120</v>
      </c>
      <c r="G65" s="530">
        <v>480</v>
      </c>
      <c r="H65" s="523">
        <v>28</v>
      </c>
      <c r="I65" s="524">
        <v>13</v>
      </c>
      <c r="J65" s="856">
        <f>G65*I65</f>
        <v>6240</v>
      </c>
      <c r="K65" s="887">
        <f>J65/F65</f>
        <v>52</v>
      </c>
      <c r="L65" s="883">
        <f>G24</f>
        <v>0</v>
      </c>
      <c r="M65" s="650">
        <f>H24</f>
        <v>0.2</v>
      </c>
      <c r="N65" s="650">
        <v>1</v>
      </c>
      <c r="O65" s="884">
        <f>K65*L65*(1+M65)*N65</f>
        <v>0</v>
      </c>
      <c r="P65" s="119"/>
    </row>
    <row r="66" spans="1:16" s="184" customFormat="1" ht="14.4" x14ac:dyDescent="0.3">
      <c r="A66" s="189" t="s">
        <v>1900</v>
      </c>
      <c r="B66" s="641"/>
      <c r="C66" s="641"/>
      <c r="D66" s="641"/>
      <c r="E66" s="641"/>
      <c r="F66" s="641"/>
      <c r="G66" s="641"/>
      <c r="H66" s="641"/>
      <c r="I66" s="642"/>
      <c r="J66" s="642"/>
      <c r="K66" s="642"/>
      <c r="L66" s="641"/>
      <c r="M66" s="641"/>
      <c r="N66" s="642"/>
      <c r="O66" s="651">
        <f>O65</f>
        <v>0</v>
      </c>
      <c r="P66" s="119"/>
    </row>
    <row r="67" spans="1:16" s="184" customFormat="1" ht="14.4" x14ac:dyDescent="0.3">
      <c r="A67" s="759"/>
      <c r="B67" s="759"/>
      <c r="C67" s="759"/>
      <c r="D67" s="759"/>
      <c r="E67" s="186"/>
      <c r="F67" s="186"/>
      <c r="G67" s="186"/>
      <c r="H67" s="186"/>
      <c r="I67" s="186"/>
      <c r="J67" s="186"/>
      <c r="K67" s="186"/>
      <c r="L67" s="186"/>
      <c r="M67" s="186"/>
      <c r="N67" s="186"/>
      <c r="O67" s="427"/>
      <c r="P67" s="119"/>
    </row>
    <row r="68" spans="1:16" s="184" customFormat="1" ht="14.4" x14ac:dyDescent="0.3">
      <c r="A68" s="586" t="s">
        <v>1901</v>
      </c>
      <c r="B68" s="186"/>
      <c r="C68" s="153"/>
      <c r="D68" s="102"/>
      <c r="E68" s="154"/>
      <c r="F68" s="155"/>
      <c r="G68" s="5"/>
      <c r="H68" s="155"/>
      <c r="I68" s="155"/>
      <c r="J68" s="155"/>
      <c r="K68" s="155"/>
      <c r="L68" s="186"/>
      <c r="M68" s="186"/>
      <c r="N68" s="186"/>
      <c r="O68" s="427"/>
      <c r="P68" s="119"/>
    </row>
    <row r="69" spans="1:16" s="184" customFormat="1" ht="28.8" x14ac:dyDescent="0.3">
      <c r="A69" s="516" t="s">
        <v>1902</v>
      </c>
      <c r="B69" s="187" t="s">
        <v>1903</v>
      </c>
      <c r="C69" s="190" t="s">
        <v>1904</v>
      </c>
      <c r="D69" s="225"/>
      <c r="E69" s="226"/>
      <c r="F69" s="226"/>
      <c r="G69" s="226"/>
      <c r="H69" s="226"/>
      <c r="I69" s="227"/>
      <c r="J69" s="226"/>
      <c r="K69" s="226"/>
      <c r="L69" s="226"/>
      <c r="M69" s="188" t="s">
        <v>1894</v>
      </c>
      <c r="N69" s="185" t="s">
        <v>1905</v>
      </c>
      <c r="O69" s="188" t="s">
        <v>1899</v>
      </c>
      <c r="P69" s="119"/>
    </row>
    <row r="70" spans="1:16" s="184" customFormat="1" ht="14.4" x14ac:dyDescent="0.3">
      <c r="A70" s="305" t="str">
        <f>A61</f>
        <v>Nivolumab (adjuvant) IV</v>
      </c>
      <c r="B70" s="658" t="s">
        <v>2176</v>
      </c>
      <c r="C70" s="886" t="s">
        <v>2177</v>
      </c>
      <c r="D70" s="308"/>
      <c r="E70" s="309"/>
      <c r="F70" s="310"/>
      <c r="G70" s="310"/>
      <c r="H70" s="310"/>
      <c r="I70" s="309"/>
      <c r="J70" s="309"/>
      <c r="K70" s="309"/>
      <c r="L70" s="309"/>
      <c r="M70" s="306">
        <f>I65</f>
        <v>13</v>
      </c>
      <c r="N70" s="312">
        <v>184</v>
      </c>
      <c r="O70" s="651">
        <f>N70*M70</f>
        <v>2392</v>
      </c>
      <c r="P70" s="119"/>
    </row>
    <row r="71" spans="1:16" s="184" customFormat="1" ht="14.4" x14ac:dyDescent="0.3">
      <c r="A71" s="797"/>
      <c r="B71" s="798"/>
      <c r="C71" s="799"/>
      <c r="D71" s="800"/>
      <c r="E71" s="801"/>
      <c r="F71" s="802"/>
      <c r="G71" s="802"/>
      <c r="H71" s="802"/>
      <c r="I71" s="801"/>
      <c r="J71" s="801"/>
      <c r="K71" s="801"/>
      <c r="L71" s="801"/>
      <c r="M71" s="803"/>
      <c r="N71" s="804"/>
      <c r="O71" s="805"/>
      <c r="P71" s="119"/>
    </row>
    <row r="72" spans="1:16" s="184" customFormat="1" ht="14.4" x14ac:dyDescent="0.3">
      <c r="A72" s="807" t="s">
        <v>2174</v>
      </c>
      <c r="B72" s="186"/>
      <c r="C72" s="186"/>
      <c r="D72" s="186"/>
      <c r="E72" s="186"/>
      <c r="F72" s="186"/>
      <c r="G72" s="186"/>
      <c r="H72" s="186"/>
      <c r="I72" s="186"/>
      <c r="J72" s="186"/>
      <c r="K72" s="186"/>
      <c r="L72" s="186"/>
      <c r="M72" s="186"/>
      <c r="N72" s="186"/>
      <c r="O72" s="186"/>
      <c r="P72" s="186"/>
    </row>
    <row r="73" spans="1:16" s="184" customFormat="1" ht="14.4" x14ac:dyDescent="0.3">
      <c r="A73" s="730" t="s">
        <v>2173</v>
      </c>
      <c r="B73" s="186"/>
      <c r="C73" s="186"/>
      <c r="D73" s="186"/>
      <c r="E73" s="186"/>
      <c r="F73" s="186"/>
      <c r="G73" s="186"/>
      <c r="H73" s="186"/>
      <c r="I73" s="186"/>
      <c r="J73" s="186"/>
      <c r="K73" s="186"/>
      <c r="L73" s="186"/>
      <c r="M73" s="186"/>
      <c r="N73" s="186"/>
      <c r="O73" s="186"/>
      <c r="P73" s="186"/>
    </row>
    <row r="74" spans="1:16" s="184" customFormat="1" ht="14.4" x14ac:dyDescent="0.3">
      <c r="A74" s="702" t="s">
        <v>2172</v>
      </c>
      <c r="B74" s="186"/>
      <c r="C74" s="186"/>
      <c r="D74" s="186"/>
      <c r="E74" s="186"/>
      <c r="F74" s="186"/>
      <c r="G74" s="186"/>
      <c r="H74" s="186"/>
      <c r="I74" s="186"/>
      <c r="J74" s="186"/>
      <c r="K74" s="186"/>
      <c r="L74" s="186"/>
      <c r="M74" s="186"/>
      <c r="N74" s="186"/>
      <c r="O74" s="186"/>
      <c r="P74" s="186"/>
    </row>
    <row r="75" spans="1:16" s="184" customFormat="1" ht="14.4" x14ac:dyDescent="0.3">
      <c r="A75" s="702"/>
      <c r="B75" s="186"/>
      <c r="C75" s="186"/>
      <c r="D75" s="186"/>
      <c r="E75" s="186"/>
      <c r="F75" s="186"/>
      <c r="G75" s="186"/>
      <c r="H75" s="186"/>
      <c r="I75" s="186"/>
      <c r="J75" s="186"/>
      <c r="K75" s="186"/>
      <c r="L75" s="186"/>
      <c r="M75" s="186"/>
      <c r="N75" s="186"/>
      <c r="O75" s="186"/>
      <c r="P75" s="186"/>
    </row>
    <row r="76" spans="1:16" s="184" customFormat="1" ht="14.85" customHeight="1" x14ac:dyDescent="0.4">
      <c r="A76" s="471" t="str">
        <f>A15</f>
        <v>Nivolumab (adjuvant) Subcutaneous</v>
      </c>
      <c r="B76" s="472"/>
      <c r="C76" s="426"/>
      <c r="D76" s="426"/>
      <c r="E76" s="426"/>
      <c r="F76" s="426"/>
      <c r="G76" s="426"/>
      <c r="H76" s="426"/>
      <c r="I76" s="426"/>
      <c r="J76" s="426"/>
      <c r="K76" s="426"/>
      <c r="L76" s="426"/>
      <c r="M76" s="426"/>
      <c r="N76" s="426"/>
      <c r="O76" s="473"/>
      <c r="P76" s="186"/>
    </row>
    <row r="77" spans="1:16" s="184" customFormat="1" ht="14.85" customHeight="1" x14ac:dyDescent="0.4">
      <c r="A77" s="846"/>
      <c r="B77" s="847"/>
      <c r="C77" s="848"/>
      <c r="D77" s="848"/>
      <c r="E77" s="848"/>
      <c r="F77" s="848"/>
      <c r="G77" s="848"/>
      <c r="H77" s="848"/>
      <c r="I77" s="848"/>
      <c r="J77" s="848"/>
      <c r="K77" s="848"/>
      <c r="L77" s="848"/>
      <c r="M77" s="848"/>
      <c r="N77" s="848"/>
      <c r="O77" s="849"/>
      <c r="P77" s="186"/>
    </row>
    <row r="78" spans="1:16" s="184" customFormat="1" ht="14.4" x14ac:dyDescent="0.3">
      <c r="A78" s="850" t="s">
        <v>1891</v>
      </c>
      <c r="B78" s="851" t="s">
        <v>2021</v>
      </c>
      <c r="C78" s="852"/>
      <c r="D78" s="852"/>
      <c r="E78" s="852"/>
      <c r="F78" s="853"/>
      <c r="G78" s="851" t="s">
        <v>2045</v>
      </c>
      <c r="H78" s="852"/>
      <c r="I78" s="852"/>
      <c r="J78" s="852"/>
      <c r="K78" s="852"/>
      <c r="L78" s="852"/>
      <c r="M78" s="852"/>
      <c r="N78" s="852"/>
      <c r="O78" s="854"/>
      <c r="P78" s="186"/>
    </row>
    <row r="79" spans="1:16" s="184" customFormat="1" ht="66" customHeight="1" x14ac:dyDescent="0.3">
      <c r="A79" s="185" t="s">
        <v>1892</v>
      </c>
      <c r="B79" s="188" t="s">
        <v>2020</v>
      </c>
      <c r="C79" s="188" t="s">
        <v>1856</v>
      </c>
      <c r="D79" s="188" t="s">
        <v>1857</v>
      </c>
      <c r="E79" s="188" t="s">
        <v>1858</v>
      </c>
      <c r="F79" s="188" t="s">
        <v>1859</v>
      </c>
      <c r="G79" s="188" t="s">
        <v>1893</v>
      </c>
      <c r="H79" s="188" t="s">
        <v>2227</v>
      </c>
      <c r="I79" s="188" t="s">
        <v>1994</v>
      </c>
      <c r="J79" s="188" t="s">
        <v>1895</v>
      </c>
      <c r="K79" s="188" t="s">
        <v>1896</v>
      </c>
      <c r="L79" s="188" t="s">
        <v>1897</v>
      </c>
      <c r="M79" s="185" t="s">
        <v>1898</v>
      </c>
      <c r="N79" s="188" t="s">
        <v>2046</v>
      </c>
      <c r="O79" s="188" t="s">
        <v>1899</v>
      </c>
      <c r="P79" s="186"/>
    </row>
    <row r="80" spans="1:16" s="184" customFormat="1" ht="14.4" x14ac:dyDescent="0.3">
      <c r="A80" s="888" t="str">
        <f>A15</f>
        <v>Nivolumab (adjuvant) Subcutaneous</v>
      </c>
      <c r="B80" s="888" t="str">
        <f>B25</f>
        <v>subcutaneous injection</v>
      </c>
      <c r="C80" s="888" t="str">
        <f t="shared" ref="C80:F80" si="3">C25</f>
        <v>solution for injection</v>
      </c>
      <c r="D80" s="888">
        <f t="shared" si="3"/>
        <v>600</v>
      </c>
      <c r="E80" s="888">
        <f t="shared" si="3"/>
        <v>1</v>
      </c>
      <c r="F80" s="888">
        <f t="shared" si="3"/>
        <v>600</v>
      </c>
      <c r="G80" s="855">
        <v>600</v>
      </c>
      <c r="H80" s="856">
        <v>1</v>
      </c>
      <c r="I80" s="857">
        <v>13</v>
      </c>
      <c r="J80" s="856">
        <f>I80*H80*G80</f>
        <v>7800</v>
      </c>
      <c r="K80" s="857">
        <f>G80/F80*I80</f>
        <v>13</v>
      </c>
      <c r="L80" s="502">
        <f>G25</f>
        <v>0</v>
      </c>
      <c r="M80" s="889">
        <f>H25</f>
        <v>0.2</v>
      </c>
      <c r="N80" s="650">
        <v>1</v>
      </c>
      <c r="O80" s="884">
        <f>K80*L80*(1+M80)*N80</f>
        <v>0</v>
      </c>
      <c r="P80" s="186"/>
    </row>
    <row r="81" spans="1:16" s="184" customFormat="1" ht="14.4" x14ac:dyDescent="0.3">
      <c r="A81" s="858" t="s">
        <v>1900</v>
      </c>
      <c r="B81" s="859"/>
      <c r="C81" s="859"/>
      <c r="D81" s="859"/>
      <c r="E81" s="859"/>
      <c r="F81" s="859"/>
      <c r="G81" s="859"/>
      <c r="H81" s="859"/>
      <c r="I81" s="859"/>
      <c r="J81" s="859"/>
      <c r="K81" s="859"/>
      <c r="L81" s="859"/>
      <c r="M81" s="859"/>
      <c r="N81" s="891"/>
      <c r="O81" s="651">
        <f>SUM(O80:O80)</f>
        <v>0</v>
      </c>
      <c r="P81" s="186"/>
    </row>
    <row r="82" spans="1:16" s="184" customFormat="1" ht="14.4" x14ac:dyDescent="0.3">
      <c r="A82" s="861"/>
      <c r="B82" s="759"/>
      <c r="C82" s="759"/>
      <c r="D82" s="759"/>
      <c r="E82" s="759"/>
      <c r="F82" s="759"/>
      <c r="G82" s="759"/>
      <c r="H82" s="759"/>
      <c r="I82" s="759"/>
      <c r="J82" s="759"/>
      <c r="K82" s="759"/>
      <c r="L82" s="759"/>
      <c r="M82" s="759"/>
      <c r="N82" s="759"/>
      <c r="O82" s="890"/>
      <c r="P82" s="759"/>
    </row>
    <row r="83" spans="1:16" s="184" customFormat="1" ht="14.4" x14ac:dyDescent="0.3">
      <c r="A83" s="860"/>
      <c r="B83" s="860"/>
      <c r="C83" s="860"/>
      <c r="D83" s="860"/>
      <c r="E83" s="860"/>
      <c r="F83" s="860"/>
      <c r="G83" s="860"/>
      <c r="H83" s="860"/>
      <c r="I83" s="860"/>
      <c r="J83" s="860"/>
      <c r="K83" s="860"/>
      <c r="L83" s="860"/>
      <c r="M83" s="860"/>
      <c r="N83" s="860"/>
      <c r="O83" s="868"/>
      <c r="P83" s="759"/>
    </row>
    <row r="84" spans="1:16" s="184" customFormat="1" ht="28.8" x14ac:dyDescent="0.3">
      <c r="A84" s="516" t="s">
        <v>1902</v>
      </c>
      <c r="B84" s="862" t="s">
        <v>1903</v>
      </c>
      <c r="C84" s="863" t="s">
        <v>1904</v>
      </c>
      <c r="D84" s="864"/>
      <c r="E84" s="865"/>
      <c r="F84" s="865"/>
      <c r="G84" s="865"/>
      <c r="H84" s="865"/>
      <c r="I84" s="866"/>
      <c r="J84" s="865"/>
      <c r="K84" s="865"/>
      <c r="L84" s="865"/>
      <c r="M84" s="867" t="s">
        <v>1894</v>
      </c>
      <c r="N84" s="516" t="s">
        <v>1905</v>
      </c>
      <c r="O84" s="867" t="s">
        <v>1899</v>
      </c>
      <c r="P84" s="119"/>
    </row>
    <row r="85" spans="1:16" s="184" customFormat="1" ht="14.4" x14ac:dyDescent="0.3">
      <c r="A85" s="305" t="str">
        <f>A76</f>
        <v>Nivolumab (adjuvant) Subcutaneous</v>
      </c>
      <c r="B85" s="658" t="s">
        <v>2176</v>
      </c>
      <c r="C85" s="806" t="s">
        <v>2177</v>
      </c>
      <c r="D85" s="308"/>
      <c r="E85" s="309"/>
      <c r="F85" s="310"/>
      <c r="G85" s="310"/>
      <c r="H85" s="310"/>
      <c r="I85" s="309"/>
      <c r="J85" s="309"/>
      <c r="K85" s="309"/>
      <c r="L85" s="309"/>
      <c r="M85" s="306">
        <f>K80</f>
        <v>13</v>
      </c>
      <c r="N85" s="312">
        <v>184</v>
      </c>
      <c r="O85" s="651">
        <f>N85*M85</f>
        <v>2392</v>
      </c>
      <c r="P85" s="119"/>
    </row>
    <row r="86" spans="1:16" s="184" customFormat="1" ht="14.4" x14ac:dyDescent="0.3">
      <c r="A86" s="797"/>
      <c r="B86" s="798"/>
      <c r="C86" s="799"/>
      <c r="D86" s="800"/>
      <c r="E86" s="801"/>
      <c r="F86" s="802"/>
      <c r="G86" s="802"/>
      <c r="H86" s="802"/>
      <c r="I86" s="801"/>
      <c r="J86" s="801"/>
      <c r="K86" s="801"/>
      <c r="L86" s="801"/>
      <c r="M86" s="803"/>
      <c r="N86" s="804"/>
      <c r="O86" s="805"/>
      <c r="P86" s="119"/>
    </row>
    <row r="87" spans="1:16" s="184" customFormat="1" ht="14.4" x14ac:dyDescent="0.3">
      <c r="A87" s="807" t="s">
        <v>2174</v>
      </c>
      <c r="B87" s="186"/>
      <c r="C87" s="186"/>
      <c r="D87" s="186"/>
      <c r="E87" s="186"/>
      <c r="F87" s="186"/>
      <c r="G87" s="186"/>
      <c r="H87" s="186"/>
      <c r="I87" s="186"/>
      <c r="J87" s="186"/>
      <c r="K87" s="186"/>
      <c r="L87" s="186"/>
      <c r="M87" s="186"/>
      <c r="N87" s="186"/>
      <c r="O87" s="186"/>
      <c r="P87" s="186"/>
    </row>
    <row r="88" spans="1:16" s="184" customFormat="1" ht="14.4" x14ac:dyDescent="0.3">
      <c r="A88" s="730" t="s">
        <v>2173</v>
      </c>
      <c r="B88" s="186"/>
      <c r="C88" s="186"/>
      <c r="D88" s="186"/>
      <c r="E88" s="186"/>
      <c r="F88" s="186"/>
      <c r="G88" s="186"/>
      <c r="H88" s="186"/>
      <c r="I88" s="186"/>
      <c r="J88" s="186"/>
      <c r="K88" s="186"/>
      <c r="L88" s="186"/>
      <c r="M88" s="186"/>
      <c r="N88" s="186"/>
      <c r="O88" s="186"/>
      <c r="P88" s="186"/>
    </row>
    <row r="89" spans="1:16" s="184" customFormat="1" ht="14.4" x14ac:dyDescent="0.3">
      <c r="A89" s="702" t="s">
        <v>2172</v>
      </c>
      <c r="B89" s="186"/>
      <c r="C89" s="186"/>
      <c r="D89" s="186"/>
      <c r="E89" s="186"/>
      <c r="F89" s="186"/>
      <c r="G89" s="186"/>
      <c r="H89" s="186"/>
      <c r="I89" s="186"/>
      <c r="J89" s="186"/>
      <c r="K89" s="186"/>
      <c r="L89" s="186"/>
      <c r="M89" s="186"/>
      <c r="N89" s="186"/>
      <c r="O89" s="186"/>
      <c r="P89" s="186"/>
    </row>
    <row r="90" spans="1:16" s="184" customFormat="1" ht="14.4" x14ac:dyDescent="0.3">
      <c r="A90" s="162"/>
      <c r="B90" s="186"/>
      <c r="C90" s="186"/>
      <c r="D90" s="186"/>
      <c r="E90" s="186"/>
      <c r="F90" s="186"/>
      <c r="G90" s="186"/>
      <c r="H90" s="186"/>
      <c r="I90" s="186"/>
      <c r="J90" s="186"/>
      <c r="K90" s="186"/>
      <c r="L90" s="186"/>
      <c r="M90" s="186"/>
      <c r="N90" s="186"/>
      <c r="O90" s="186"/>
      <c r="P90" s="186"/>
    </row>
    <row r="91" spans="1:16" ht="17.25" customHeight="1" x14ac:dyDescent="0.4">
      <c r="A91" s="471" t="s">
        <v>2178</v>
      </c>
      <c r="B91" s="472"/>
      <c r="C91" s="426"/>
      <c r="D91" s="426"/>
      <c r="E91" s="426"/>
      <c r="F91" s="426"/>
      <c r="G91" s="426"/>
      <c r="H91" s="426"/>
      <c r="I91" s="426"/>
      <c r="J91" s="426"/>
      <c r="K91" s="426"/>
      <c r="L91" s="426"/>
      <c r="M91" s="426"/>
      <c r="N91" s="426"/>
      <c r="O91" s="473"/>
      <c r="P91" s="119"/>
    </row>
    <row r="92" spans="1:16" ht="14.85" customHeight="1" x14ac:dyDescent="0.4">
      <c r="A92" s="132"/>
      <c r="B92" s="132"/>
      <c r="C92" s="119"/>
      <c r="D92" s="119"/>
      <c r="E92" s="119"/>
      <c r="F92" s="119"/>
      <c r="G92" s="119"/>
      <c r="H92" s="119"/>
      <c r="I92" s="119"/>
      <c r="J92" s="119"/>
      <c r="K92" s="119"/>
      <c r="L92" s="119"/>
      <c r="M92" s="119"/>
      <c r="N92" s="119"/>
      <c r="O92" s="506"/>
      <c r="P92" s="119"/>
    </row>
    <row r="93" spans="1:16" s="184" customFormat="1" ht="14.4" x14ac:dyDescent="0.3">
      <c r="A93" s="507" t="s">
        <v>1891</v>
      </c>
      <c r="B93" s="619" t="s">
        <v>2021</v>
      </c>
      <c r="C93" s="639"/>
      <c r="D93" s="639"/>
      <c r="E93" s="639"/>
      <c r="F93" s="640"/>
      <c r="G93" s="619" t="s">
        <v>2045</v>
      </c>
      <c r="H93" s="639"/>
      <c r="I93" s="639"/>
      <c r="J93" s="639"/>
      <c r="K93" s="639"/>
      <c r="L93" s="639"/>
      <c r="M93" s="639"/>
      <c r="N93" s="639"/>
      <c r="O93" s="640"/>
      <c r="P93" s="119"/>
    </row>
    <row r="94" spans="1:16" s="184" customFormat="1" ht="66" customHeight="1" x14ac:dyDescent="0.3">
      <c r="A94" s="185" t="s">
        <v>1892</v>
      </c>
      <c r="B94" s="188" t="s">
        <v>2020</v>
      </c>
      <c r="C94" s="188" t="s">
        <v>1856</v>
      </c>
      <c r="D94" s="188" t="s">
        <v>1857</v>
      </c>
      <c r="E94" s="188" t="s">
        <v>1858</v>
      </c>
      <c r="F94" s="188" t="s">
        <v>1859</v>
      </c>
      <c r="G94" s="188" t="s">
        <v>1893</v>
      </c>
      <c r="H94" s="188" t="s">
        <v>1993</v>
      </c>
      <c r="I94" s="188" t="s">
        <v>1994</v>
      </c>
      <c r="J94" s="188" t="s">
        <v>1895</v>
      </c>
      <c r="K94" s="188" t="s">
        <v>1896</v>
      </c>
      <c r="L94" s="188" t="s">
        <v>1897</v>
      </c>
      <c r="M94" s="185" t="s">
        <v>1898</v>
      </c>
      <c r="N94" s="188" t="s">
        <v>2046</v>
      </c>
      <c r="O94" s="188" t="s">
        <v>1899</v>
      </c>
      <c r="P94" s="119"/>
    </row>
    <row r="95" spans="1:16" s="184" customFormat="1" ht="28.35" customHeight="1" x14ac:dyDescent="0.3">
      <c r="A95" s="305" t="s">
        <v>2178</v>
      </c>
      <c r="B95" s="643" t="s">
        <v>2180</v>
      </c>
      <c r="C95" s="625" t="str">
        <f>C26</f>
        <v xml:space="preserve">vial </v>
      </c>
      <c r="D95" s="530">
        <f>D26</f>
        <v>500</v>
      </c>
      <c r="E95" s="530">
        <f>E26</f>
        <v>1</v>
      </c>
      <c r="F95" s="530">
        <f>F26</f>
        <v>500</v>
      </c>
      <c r="G95" s="808">
        <v>1500</v>
      </c>
      <c r="H95" s="523">
        <v>21</v>
      </c>
      <c r="I95" s="524">
        <v>4</v>
      </c>
      <c r="J95" s="856">
        <f>G95*I95</f>
        <v>6000</v>
      </c>
      <c r="K95" s="857">
        <f>J95/F95</f>
        <v>12</v>
      </c>
      <c r="L95" s="883">
        <f>G26</f>
        <v>0</v>
      </c>
      <c r="M95" s="650">
        <f>H26</f>
        <v>0.2</v>
      </c>
      <c r="N95" s="650">
        <v>1</v>
      </c>
      <c r="O95" s="884">
        <f>K95*L95*(1+M95)*N95</f>
        <v>0</v>
      </c>
      <c r="P95" s="119"/>
    </row>
    <row r="96" spans="1:16" s="184" customFormat="1" ht="14.4" x14ac:dyDescent="0.3">
      <c r="A96" s="759"/>
      <c r="B96" s="759"/>
      <c r="C96" s="759"/>
      <c r="D96" s="759"/>
      <c r="E96" s="186"/>
      <c r="F96" s="186"/>
      <c r="G96" s="186"/>
      <c r="H96" s="186"/>
      <c r="I96" s="301"/>
      <c r="J96" s="301"/>
      <c r="K96" s="301"/>
      <c r="L96" s="186"/>
      <c r="M96" s="796" t="s">
        <v>2168</v>
      </c>
      <c r="N96" s="796" t="s">
        <v>2169</v>
      </c>
      <c r="O96" s="796"/>
      <c r="P96" s="119"/>
    </row>
    <row r="97" spans="1:16" s="184" customFormat="1" ht="28.8" x14ac:dyDescent="0.3">
      <c r="A97" s="759"/>
      <c r="B97" s="759"/>
      <c r="C97" s="759"/>
      <c r="D97" s="759"/>
      <c r="E97" s="186"/>
      <c r="F97" s="186"/>
      <c r="G97" s="186"/>
      <c r="H97" s="186"/>
      <c r="I97" s="186"/>
      <c r="J97" s="186"/>
      <c r="K97" s="186"/>
      <c r="L97" s="885" t="s">
        <v>2167</v>
      </c>
      <c r="M97" s="502">
        <f>F201</f>
        <v>28.007910831032</v>
      </c>
      <c r="N97" s="306">
        <f>I95</f>
        <v>4</v>
      </c>
      <c r="O97" s="312">
        <f>M97*N97</f>
        <v>112.031643324128</v>
      </c>
      <c r="P97" s="119"/>
    </row>
    <row r="98" spans="1:16" s="184" customFormat="1" ht="14.4" x14ac:dyDescent="0.3">
      <c r="A98" s="189" t="s">
        <v>1900</v>
      </c>
      <c r="B98" s="641"/>
      <c r="C98" s="641"/>
      <c r="D98" s="641"/>
      <c r="E98" s="641"/>
      <c r="F98" s="641"/>
      <c r="G98" s="641"/>
      <c r="H98" s="641"/>
      <c r="I98" s="642"/>
      <c r="J98" s="642"/>
      <c r="K98" s="642"/>
      <c r="L98" s="641"/>
      <c r="M98" s="641"/>
      <c r="N98" s="642"/>
      <c r="O98" s="651">
        <f>O95+O97</f>
        <v>112.031643324128</v>
      </c>
      <c r="P98" s="119"/>
    </row>
    <row r="99" spans="1:16" s="184" customFormat="1" ht="14.4" x14ac:dyDescent="0.3">
      <c r="A99" s="759"/>
      <c r="B99" s="759"/>
      <c r="C99" s="759"/>
      <c r="D99" s="759"/>
      <c r="E99" s="186"/>
      <c r="F99" s="186"/>
      <c r="G99" s="186"/>
      <c r="H99" s="186"/>
      <c r="I99" s="186"/>
      <c r="J99" s="186"/>
      <c r="K99" s="186"/>
      <c r="L99" s="186"/>
      <c r="M99" s="186"/>
      <c r="N99" s="186"/>
      <c r="O99" s="427"/>
      <c r="P99" s="119"/>
    </row>
    <row r="100" spans="1:16" s="184" customFormat="1" ht="14.4" x14ac:dyDescent="0.3">
      <c r="A100" s="586" t="s">
        <v>1901</v>
      </c>
      <c r="B100" s="186"/>
      <c r="C100" s="153"/>
      <c r="D100" s="102"/>
      <c r="E100" s="154"/>
      <c r="F100" s="155"/>
      <c r="G100" s="5"/>
      <c r="H100" s="155"/>
      <c r="I100" s="155"/>
      <c r="J100" s="155"/>
      <c r="K100" s="155"/>
      <c r="L100" s="186"/>
      <c r="M100" s="186"/>
      <c r="N100" s="186"/>
      <c r="O100" s="427"/>
      <c r="P100" s="119"/>
    </row>
    <row r="101" spans="1:16" s="184" customFormat="1" ht="28.8" x14ac:dyDescent="0.3">
      <c r="A101" s="516" t="s">
        <v>1902</v>
      </c>
      <c r="B101" s="187" t="s">
        <v>1903</v>
      </c>
      <c r="C101" s="190" t="s">
        <v>1904</v>
      </c>
      <c r="D101" s="225"/>
      <c r="E101" s="226"/>
      <c r="F101" s="226"/>
      <c r="G101" s="226"/>
      <c r="H101" s="226"/>
      <c r="I101" s="227"/>
      <c r="J101" s="226"/>
      <c r="K101" s="226"/>
      <c r="L101" s="226"/>
      <c r="M101" s="188" t="s">
        <v>1894</v>
      </c>
      <c r="N101" s="185" t="s">
        <v>1905</v>
      </c>
      <c r="O101" s="188" t="s">
        <v>1899</v>
      </c>
      <c r="P101" s="119"/>
    </row>
    <row r="102" spans="1:16" s="184" customFormat="1" ht="14.4" x14ac:dyDescent="0.3">
      <c r="A102" s="305" t="str">
        <f>A91</f>
        <v>Durvalumab (neoadjuvant)</v>
      </c>
      <c r="B102" s="658" t="s">
        <v>2170</v>
      </c>
      <c r="C102" s="886" t="s">
        <v>2171</v>
      </c>
      <c r="D102" s="308"/>
      <c r="E102" s="309"/>
      <c r="F102" s="310"/>
      <c r="G102" s="310"/>
      <c r="H102" s="310"/>
      <c r="I102" s="309"/>
      <c r="J102" s="309"/>
      <c r="K102" s="309"/>
      <c r="L102" s="309"/>
      <c r="M102" s="306">
        <f>I95</f>
        <v>4</v>
      </c>
      <c r="N102" s="312">
        <v>367</v>
      </c>
      <c r="O102" s="651">
        <f>N102*M102</f>
        <v>1468</v>
      </c>
      <c r="P102" s="119"/>
    </row>
    <row r="103" spans="1:16" s="184" customFormat="1" ht="14.4" x14ac:dyDescent="0.3">
      <c r="A103" s="797"/>
      <c r="B103" s="798"/>
      <c r="C103" s="799"/>
      <c r="D103" s="800"/>
      <c r="E103" s="801"/>
      <c r="F103" s="802"/>
      <c r="G103" s="802"/>
      <c r="H103" s="802"/>
      <c r="I103" s="801"/>
      <c r="J103" s="801"/>
      <c r="K103" s="801"/>
      <c r="L103" s="801"/>
      <c r="M103" s="803"/>
      <c r="N103" s="804"/>
      <c r="O103" s="805"/>
      <c r="P103" s="119"/>
    </row>
    <row r="104" spans="1:16" s="184" customFormat="1" ht="14.4" x14ac:dyDescent="0.3">
      <c r="A104" s="807" t="s">
        <v>2174</v>
      </c>
      <c r="B104" s="186"/>
      <c r="C104" s="186"/>
      <c r="D104" s="186"/>
      <c r="E104" s="186"/>
      <c r="F104" s="186"/>
      <c r="G104" s="186"/>
      <c r="H104" s="186"/>
      <c r="I104" s="186"/>
      <c r="J104" s="186"/>
      <c r="K104" s="186"/>
      <c r="L104" s="186"/>
      <c r="M104" s="186"/>
      <c r="N104" s="186"/>
      <c r="O104" s="186"/>
      <c r="P104" s="186"/>
    </row>
    <row r="105" spans="1:16" s="184" customFormat="1" ht="14.4" x14ac:dyDescent="0.3">
      <c r="A105" s="730" t="s">
        <v>2173</v>
      </c>
      <c r="B105" s="186"/>
      <c r="C105" s="186"/>
      <c r="D105" s="186"/>
      <c r="E105" s="186"/>
      <c r="F105" s="186"/>
      <c r="G105" s="186"/>
      <c r="H105" s="186"/>
      <c r="I105" s="186"/>
      <c r="J105" s="186"/>
      <c r="K105" s="186"/>
      <c r="L105" s="186"/>
      <c r="M105" s="186"/>
      <c r="N105" s="186"/>
      <c r="O105" s="186"/>
      <c r="P105" s="186"/>
    </row>
    <row r="106" spans="1:16" s="184" customFormat="1" ht="14.4" x14ac:dyDescent="0.3">
      <c r="A106" s="702" t="s">
        <v>2172</v>
      </c>
      <c r="B106" s="186"/>
      <c r="C106" s="186"/>
      <c r="D106" s="186"/>
      <c r="E106" s="186"/>
      <c r="F106" s="186"/>
      <c r="G106" s="186"/>
      <c r="H106" s="186"/>
      <c r="I106" s="186"/>
      <c r="J106" s="186"/>
      <c r="K106" s="186"/>
      <c r="L106" s="186"/>
      <c r="M106" s="186"/>
      <c r="N106" s="186"/>
      <c r="O106" s="186"/>
      <c r="P106" s="186"/>
    </row>
    <row r="107" spans="1:16" s="184" customFormat="1" ht="14.4" x14ac:dyDescent="0.3">
      <c r="A107" s="162"/>
      <c r="B107" s="186"/>
      <c r="C107" s="186"/>
      <c r="D107" s="186"/>
      <c r="E107" s="186"/>
      <c r="F107" s="186"/>
      <c r="G107" s="186"/>
      <c r="H107" s="186"/>
      <c r="I107" s="186"/>
      <c r="J107" s="186"/>
      <c r="K107" s="186"/>
      <c r="L107" s="186"/>
      <c r="M107" s="186"/>
      <c r="N107" s="186"/>
      <c r="O107" s="186"/>
      <c r="P107" s="186"/>
    </row>
    <row r="108" spans="1:16" s="184" customFormat="1" ht="14.4" x14ac:dyDescent="0.3">
      <c r="A108" s="162"/>
      <c r="B108" s="186"/>
      <c r="C108" s="186"/>
      <c r="D108" s="186"/>
      <c r="E108" s="186"/>
      <c r="F108" s="186"/>
      <c r="G108" s="186"/>
      <c r="H108" s="186"/>
      <c r="I108" s="186"/>
      <c r="J108" s="186"/>
      <c r="K108" s="186"/>
      <c r="L108" s="186"/>
      <c r="M108" s="186"/>
      <c r="N108" s="186"/>
      <c r="O108" s="186"/>
      <c r="P108" s="186"/>
    </row>
    <row r="109" spans="1:16" ht="17.25" customHeight="1" x14ac:dyDescent="0.4">
      <c r="A109" s="471" t="s">
        <v>2226</v>
      </c>
      <c r="B109" s="472"/>
      <c r="C109" s="426"/>
      <c r="D109" s="426"/>
      <c r="E109" s="426"/>
      <c r="F109" s="426"/>
      <c r="G109" s="426"/>
      <c r="H109" s="426"/>
      <c r="I109" s="426"/>
      <c r="J109" s="426"/>
      <c r="K109" s="426"/>
      <c r="L109" s="426"/>
      <c r="M109" s="426"/>
      <c r="N109" s="426"/>
      <c r="O109" s="473"/>
      <c r="P109" s="119"/>
    </row>
    <row r="110" spans="1:16" ht="14.85" customHeight="1" x14ac:dyDescent="0.4">
      <c r="A110" s="132"/>
      <c r="B110" s="132"/>
      <c r="C110" s="119"/>
      <c r="D110" s="119"/>
      <c r="E110" s="119"/>
      <c r="F110" s="119"/>
      <c r="G110" s="119"/>
      <c r="H110" s="119"/>
      <c r="I110" s="119"/>
      <c r="J110" s="119"/>
      <c r="K110" s="119"/>
      <c r="L110" s="119"/>
      <c r="M110" s="119"/>
      <c r="N110" s="119"/>
      <c r="O110" s="506"/>
      <c r="P110" s="119"/>
    </row>
    <row r="111" spans="1:16" s="184" customFormat="1" ht="14.4" x14ac:dyDescent="0.3">
      <c r="A111" s="507" t="s">
        <v>1891</v>
      </c>
      <c r="B111" s="619" t="s">
        <v>2021</v>
      </c>
      <c r="C111" s="639"/>
      <c r="D111" s="639"/>
      <c r="E111" s="639"/>
      <c r="F111" s="640"/>
      <c r="G111" s="619" t="s">
        <v>2045</v>
      </c>
      <c r="H111" s="639"/>
      <c r="I111" s="639"/>
      <c r="J111" s="639"/>
      <c r="K111" s="639"/>
      <c r="L111" s="639"/>
      <c r="M111" s="639"/>
      <c r="N111" s="639"/>
      <c r="O111" s="640"/>
      <c r="P111" s="119"/>
    </row>
    <row r="112" spans="1:16" s="184" customFormat="1" ht="66" customHeight="1" x14ac:dyDescent="0.3">
      <c r="A112" s="185" t="s">
        <v>1892</v>
      </c>
      <c r="B112" s="188" t="s">
        <v>2020</v>
      </c>
      <c r="C112" s="188" t="s">
        <v>1856</v>
      </c>
      <c r="D112" s="188" t="s">
        <v>1857</v>
      </c>
      <c r="E112" s="188" t="s">
        <v>1858</v>
      </c>
      <c r="F112" s="188" t="s">
        <v>1859</v>
      </c>
      <c r="G112" s="188" t="s">
        <v>1893</v>
      </c>
      <c r="H112" s="188" t="s">
        <v>1993</v>
      </c>
      <c r="I112" s="188" t="s">
        <v>1994</v>
      </c>
      <c r="J112" s="188" t="s">
        <v>1895</v>
      </c>
      <c r="K112" s="188" t="s">
        <v>1896</v>
      </c>
      <c r="L112" s="188" t="s">
        <v>1897</v>
      </c>
      <c r="M112" s="185" t="s">
        <v>1898</v>
      </c>
      <c r="N112" s="188" t="s">
        <v>2046</v>
      </c>
      <c r="O112" s="188" t="s">
        <v>2175</v>
      </c>
      <c r="P112" s="119"/>
    </row>
    <row r="113" spans="1:16" s="184" customFormat="1" ht="28.35" customHeight="1" x14ac:dyDescent="0.3">
      <c r="A113" s="305" t="s">
        <v>2179</v>
      </c>
      <c r="B113" s="643" t="s">
        <v>2182</v>
      </c>
      <c r="C113" s="625" t="str">
        <f>C26</f>
        <v xml:space="preserve">vial </v>
      </c>
      <c r="D113" s="625">
        <f>D26</f>
        <v>500</v>
      </c>
      <c r="E113" s="625">
        <f>E26</f>
        <v>1</v>
      </c>
      <c r="F113" s="625">
        <f>F26</f>
        <v>500</v>
      </c>
      <c r="G113" s="808">
        <v>1500</v>
      </c>
      <c r="H113" s="523">
        <v>28</v>
      </c>
      <c r="I113" s="524">
        <v>12</v>
      </c>
      <c r="J113" s="856">
        <f>G113*I113</f>
        <v>18000</v>
      </c>
      <c r="K113" s="887">
        <f>J113/F113</f>
        <v>36</v>
      </c>
      <c r="L113" s="883">
        <f>G26</f>
        <v>0</v>
      </c>
      <c r="M113" s="650">
        <f>H26</f>
        <v>0.2</v>
      </c>
      <c r="N113" s="650">
        <v>1</v>
      </c>
      <c r="O113" s="884">
        <f>K113*L113*(1+M113)*N113</f>
        <v>0</v>
      </c>
      <c r="P113" s="119"/>
    </row>
    <row r="114" spans="1:16" s="184" customFormat="1" ht="14.4" x14ac:dyDescent="0.3">
      <c r="A114" s="189" t="s">
        <v>1900</v>
      </c>
      <c r="B114" s="641"/>
      <c r="C114" s="641"/>
      <c r="D114" s="641"/>
      <c r="E114" s="641"/>
      <c r="F114" s="641"/>
      <c r="G114" s="641"/>
      <c r="H114" s="641"/>
      <c r="I114" s="642"/>
      <c r="J114" s="642"/>
      <c r="K114" s="642"/>
      <c r="L114" s="641"/>
      <c r="M114" s="641"/>
      <c r="N114" s="642"/>
      <c r="O114" s="651">
        <f>O113</f>
        <v>0</v>
      </c>
      <c r="P114" s="119"/>
    </row>
    <row r="115" spans="1:16" s="184" customFormat="1" ht="14.4" x14ac:dyDescent="0.3">
      <c r="A115" s="759"/>
      <c r="B115" s="759"/>
      <c r="C115" s="759"/>
      <c r="D115" s="759"/>
      <c r="E115" s="186"/>
      <c r="F115" s="186"/>
      <c r="G115" s="186"/>
      <c r="H115" s="186"/>
      <c r="I115" s="186"/>
      <c r="J115" s="186"/>
      <c r="K115" s="186"/>
      <c r="L115" s="186"/>
      <c r="M115" s="186"/>
      <c r="N115" s="186"/>
      <c r="O115" s="427"/>
      <c r="P115" s="119"/>
    </row>
    <row r="116" spans="1:16" s="184" customFormat="1" ht="14.4" x14ac:dyDescent="0.3">
      <c r="A116" s="586" t="s">
        <v>1901</v>
      </c>
      <c r="B116" s="186"/>
      <c r="C116" s="153"/>
      <c r="D116" s="102"/>
      <c r="E116" s="154"/>
      <c r="F116" s="155"/>
      <c r="G116" s="5"/>
      <c r="H116" s="155"/>
      <c r="I116" s="155"/>
      <c r="J116" s="155"/>
      <c r="K116" s="155"/>
      <c r="L116" s="186"/>
      <c r="M116" s="186"/>
      <c r="N116" s="186"/>
      <c r="O116" s="427"/>
      <c r="P116" s="119"/>
    </row>
    <row r="117" spans="1:16" s="184" customFormat="1" ht="28.8" x14ac:dyDescent="0.3">
      <c r="A117" s="516" t="s">
        <v>1902</v>
      </c>
      <c r="B117" s="187" t="s">
        <v>1903</v>
      </c>
      <c r="C117" s="190" t="s">
        <v>1904</v>
      </c>
      <c r="D117" s="225"/>
      <c r="E117" s="226"/>
      <c r="F117" s="226"/>
      <c r="G117" s="226"/>
      <c r="H117" s="226"/>
      <c r="I117" s="227"/>
      <c r="J117" s="226"/>
      <c r="K117" s="226"/>
      <c r="L117" s="226"/>
      <c r="M117" s="188" t="s">
        <v>1894</v>
      </c>
      <c r="N117" s="185" t="s">
        <v>1905</v>
      </c>
      <c r="O117" s="188" t="s">
        <v>1899</v>
      </c>
      <c r="P117" s="119"/>
    </row>
    <row r="118" spans="1:16" s="184" customFormat="1" ht="14.4" x14ac:dyDescent="0.3">
      <c r="A118" s="305" t="s">
        <v>2179</v>
      </c>
      <c r="B118" s="658" t="s">
        <v>2176</v>
      </c>
      <c r="C118" s="886" t="s">
        <v>2177</v>
      </c>
      <c r="D118" s="308"/>
      <c r="E118" s="309"/>
      <c r="F118" s="310"/>
      <c r="G118" s="310"/>
      <c r="H118" s="310"/>
      <c r="I118" s="309"/>
      <c r="J118" s="309"/>
      <c r="K118" s="309"/>
      <c r="L118" s="309"/>
      <c r="M118" s="306">
        <f>I113</f>
        <v>12</v>
      </c>
      <c r="N118" s="312">
        <v>184</v>
      </c>
      <c r="O118" s="651">
        <f>N118*M118</f>
        <v>2208</v>
      </c>
      <c r="P118" s="119"/>
    </row>
    <row r="119" spans="1:16" s="184" customFormat="1" ht="14.4" x14ac:dyDescent="0.3">
      <c r="A119" s="797"/>
      <c r="B119" s="798"/>
      <c r="C119" s="799"/>
      <c r="D119" s="800"/>
      <c r="E119" s="801"/>
      <c r="F119" s="802"/>
      <c r="G119" s="802"/>
      <c r="H119" s="802"/>
      <c r="I119" s="801"/>
      <c r="J119" s="801"/>
      <c r="K119" s="801"/>
      <c r="L119" s="801"/>
      <c r="M119" s="803"/>
      <c r="N119" s="804"/>
      <c r="O119" s="805"/>
      <c r="P119" s="119"/>
    </row>
    <row r="120" spans="1:16" s="184" customFormat="1" ht="14.4" x14ac:dyDescent="0.3">
      <c r="A120" s="807" t="s">
        <v>2174</v>
      </c>
      <c r="B120" s="186"/>
      <c r="C120" s="186"/>
      <c r="D120" s="186"/>
      <c r="E120" s="186"/>
      <c r="F120" s="186"/>
      <c r="G120" s="186"/>
      <c r="H120" s="186"/>
      <c r="I120" s="186"/>
      <c r="J120" s="186"/>
      <c r="K120" s="186"/>
      <c r="L120" s="186"/>
      <c r="M120" s="186"/>
      <c r="N120" s="186"/>
      <c r="O120" s="186"/>
      <c r="P120" s="186"/>
    </row>
    <row r="121" spans="1:16" s="184" customFormat="1" ht="14.4" x14ac:dyDescent="0.3">
      <c r="A121" s="730" t="s">
        <v>2173</v>
      </c>
      <c r="B121" s="186"/>
      <c r="C121" s="186"/>
      <c r="D121" s="186"/>
      <c r="E121" s="186"/>
      <c r="F121" s="186"/>
      <c r="G121" s="186"/>
      <c r="H121" s="186"/>
      <c r="I121" s="186"/>
      <c r="J121" s="186"/>
      <c r="K121" s="186"/>
      <c r="L121" s="186"/>
      <c r="M121" s="186"/>
      <c r="N121" s="186"/>
      <c r="O121" s="186"/>
      <c r="P121" s="186"/>
    </row>
    <row r="122" spans="1:16" s="184" customFormat="1" ht="14.4" x14ac:dyDescent="0.3">
      <c r="A122" s="702" t="s">
        <v>2172</v>
      </c>
      <c r="B122" s="186"/>
      <c r="C122" s="186"/>
      <c r="D122" s="186"/>
      <c r="E122" s="186"/>
      <c r="F122" s="186"/>
      <c r="G122" s="186"/>
      <c r="H122" s="186"/>
      <c r="I122" s="186"/>
      <c r="J122" s="186"/>
      <c r="K122" s="186"/>
      <c r="L122" s="186"/>
      <c r="M122" s="186"/>
      <c r="N122" s="186"/>
      <c r="O122" s="186"/>
      <c r="P122" s="186"/>
    </row>
    <row r="123" spans="1:16" s="184" customFormat="1" ht="14.4" x14ac:dyDescent="0.3">
      <c r="A123" s="702"/>
      <c r="B123" s="186"/>
      <c r="C123" s="186"/>
      <c r="D123" s="186"/>
      <c r="E123" s="186"/>
      <c r="F123" s="186"/>
      <c r="G123" s="186"/>
      <c r="H123" s="186"/>
      <c r="I123" s="186"/>
      <c r="J123" s="186"/>
      <c r="K123" s="186"/>
      <c r="L123" s="186"/>
      <c r="M123" s="186"/>
      <c r="N123" s="186"/>
      <c r="O123" s="186"/>
      <c r="P123" s="186"/>
    </row>
    <row r="124" spans="1:16" ht="17.25" customHeight="1" x14ac:dyDescent="0.4">
      <c r="A124" s="471" t="s">
        <v>2183</v>
      </c>
      <c r="B124" s="472"/>
      <c r="C124" s="426"/>
      <c r="D124" s="426"/>
      <c r="E124" s="426"/>
      <c r="F124" s="426"/>
      <c r="G124" s="426"/>
      <c r="H124" s="426"/>
      <c r="I124" s="426"/>
      <c r="J124" s="426"/>
      <c r="K124" s="426"/>
      <c r="L124" s="426"/>
      <c r="M124" s="426"/>
      <c r="N124" s="426"/>
      <c r="O124" s="473"/>
      <c r="P124" s="119"/>
    </row>
    <row r="125" spans="1:16" ht="14.85" customHeight="1" x14ac:dyDescent="0.4">
      <c r="A125" s="132"/>
      <c r="B125" s="132"/>
      <c r="C125" s="119"/>
      <c r="D125" s="119"/>
      <c r="E125" s="119"/>
      <c r="F125" s="119"/>
      <c r="G125" s="119"/>
      <c r="H125" s="119"/>
      <c r="I125" s="119"/>
      <c r="J125" s="119"/>
      <c r="K125" s="119"/>
      <c r="L125" s="119"/>
      <c r="M125" s="119"/>
      <c r="N125" s="119"/>
      <c r="O125" s="506"/>
      <c r="P125" s="119"/>
    </row>
    <row r="126" spans="1:16" s="184" customFormat="1" ht="14.4" x14ac:dyDescent="0.3">
      <c r="A126" s="507" t="s">
        <v>1891</v>
      </c>
      <c r="B126" s="619" t="s">
        <v>2021</v>
      </c>
      <c r="C126" s="639"/>
      <c r="D126" s="639"/>
      <c r="E126" s="639"/>
      <c r="F126" s="640"/>
      <c r="G126" s="619" t="s">
        <v>2045</v>
      </c>
      <c r="H126" s="639"/>
      <c r="I126" s="639"/>
      <c r="J126" s="639"/>
      <c r="K126" s="639"/>
      <c r="L126" s="639"/>
      <c r="M126" s="639"/>
      <c r="N126" s="639"/>
      <c r="O126" s="640"/>
      <c r="P126" s="119"/>
    </row>
    <row r="127" spans="1:16" s="184" customFormat="1" ht="66" customHeight="1" x14ac:dyDescent="0.3">
      <c r="A127" s="185" t="s">
        <v>1892</v>
      </c>
      <c r="B127" s="188" t="s">
        <v>2020</v>
      </c>
      <c r="C127" s="188" t="s">
        <v>1856</v>
      </c>
      <c r="D127" s="188" t="s">
        <v>1857</v>
      </c>
      <c r="E127" s="188" t="s">
        <v>1858</v>
      </c>
      <c r="F127" s="188" t="s">
        <v>1859</v>
      </c>
      <c r="G127" s="188" t="s">
        <v>1893</v>
      </c>
      <c r="H127" s="188" t="s">
        <v>1993</v>
      </c>
      <c r="I127" s="188" t="s">
        <v>1994</v>
      </c>
      <c r="J127" s="188" t="s">
        <v>1895</v>
      </c>
      <c r="K127" s="188" t="s">
        <v>1896</v>
      </c>
      <c r="L127" s="188" t="s">
        <v>1897</v>
      </c>
      <c r="M127" s="185" t="s">
        <v>1898</v>
      </c>
      <c r="N127" s="188" t="s">
        <v>2046</v>
      </c>
      <c r="O127" s="188" t="s">
        <v>1899</v>
      </c>
      <c r="P127" s="119"/>
    </row>
    <row r="128" spans="1:16" s="184" customFormat="1" ht="28.35" customHeight="1" x14ac:dyDescent="0.3">
      <c r="A128" s="305" t="s">
        <v>2183</v>
      </c>
      <c r="B128" s="643" t="s">
        <v>2184</v>
      </c>
      <c r="C128" s="809" t="str">
        <f>C28</f>
        <v xml:space="preserve">vial </v>
      </c>
      <c r="D128" s="809">
        <f>D28</f>
        <v>100</v>
      </c>
      <c r="E128" s="809">
        <f>E28</f>
        <v>1</v>
      </c>
      <c r="F128" s="809">
        <f>F28</f>
        <v>100</v>
      </c>
      <c r="G128" s="808">
        <v>200</v>
      </c>
      <c r="H128" s="523">
        <v>21</v>
      </c>
      <c r="I128" s="524">
        <v>4</v>
      </c>
      <c r="J128" s="646">
        <f>G128*I128</f>
        <v>800</v>
      </c>
      <c r="K128" s="657">
        <f>J128/F128</f>
        <v>8</v>
      </c>
      <c r="L128" s="648">
        <f>G28</f>
        <v>0</v>
      </c>
      <c r="M128" s="649">
        <f>H28</f>
        <v>0.2</v>
      </c>
      <c r="N128" s="650">
        <v>1</v>
      </c>
      <c r="O128" s="647">
        <f>K128*L128*(1+M128)*N128</f>
        <v>0</v>
      </c>
      <c r="P128" s="119"/>
    </row>
    <row r="129" spans="1:16" s="184" customFormat="1" ht="14.4" x14ac:dyDescent="0.3">
      <c r="A129" s="759"/>
      <c r="B129" s="759"/>
      <c r="C129" s="759"/>
      <c r="D129" s="759"/>
      <c r="E129" s="186"/>
      <c r="F129" s="186"/>
      <c r="G129" s="186"/>
      <c r="H129" s="186"/>
      <c r="I129" s="301"/>
      <c r="J129" s="301"/>
      <c r="K129" s="301"/>
      <c r="L129" s="186"/>
      <c r="M129" s="796" t="s">
        <v>2168</v>
      </c>
      <c r="N129" s="796" t="s">
        <v>2169</v>
      </c>
      <c r="O129" s="796"/>
      <c r="P129" s="119"/>
    </row>
    <row r="130" spans="1:16" s="184" customFormat="1" ht="28.8" x14ac:dyDescent="0.3">
      <c r="A130" s="759"/>
      <c r="B130" s="759"/>
      <c r="C130" s="759"/>
      <c r="D130" s="759"/>
      <c r="E130" s="186"/>
      <c r="F130" s="186"/>
      <c r="G130" s="186"/>
      <c r="H130" s="186"/>
      <c r="I130" s="186"/>
      <c r="J130" s="186"/>
      <c r="K130" s="186"/>
      <c r="L130" s="885" t="s">
        <v>2167</v>
      </c>
      <c r="M130" s="502">
        <f>H201</f>
        <v>28.007910831032</v>
      </c>
      <c r="N130" s="306">
        <f>I128</f>
        <v>4</v>
      </c>
      <c r="O130" s="312">
        <f>M130*N130</f>
        <v>112.031643324128</v>
      </c>
      <c r="P130" s="119"/>
    </row>
    <row r="131" spans="1:16" s="184" customFormat="1" ht="14.4" x14ac:dyDescent="0.3">
      <c r="A131" s="189" t="s">
        <v>1900</v>
      </c>
      <c r="B131" s="641"/>
      <c r="C131" s="641"/>
      <c r="D131" s="641"/>
      <c r="E131" s="641"/>
      <c r="F131" s="641"/>
      <c r="G131" s="641"/>
      <c r="H131" s="641"/>
      <c r="I131" s="642"/>
      <c r="J131" s="642"/>
      <c r="K131" s="642"/>
      <c r="L131" s="641"/>
      <c r="M131" s="641"/>
      <c r="N131" s="642"/>
      <c r="O131" s="651">
        <f>O128+O130</f>
        <v>112.031643324128</v>
      </c>
      <c r="P131" s="119"/>
    </row>
    <row r="132" spans="1:16" s="184" customFormat="1" ht="14.4" x14ac:dyDescent="0.3">
      <c r="A132" s="759"/>
      <c r="B132" s="759"/>
      <c r="C132" s="759"/>
      <c r="D132" s="759"/>
      <c r="E132" s="186"/>
      <c r="F132" s="186"/>
      <c r="G132" s="186"/>
      <c r="H132" s="186"/>
      <c r="I132" s="186"/>
      <c r="J132" s="186"/>
      <c r="K132" s="186"/>
      <c r="L132" s="186"/>
      <c r="M132" s="186"/>
      <c r="N132" s="186"/>
      <c r="O132" s="427"/>
      <c r="P132" s="119"/>
    </row>
    <row r="133" spans="1:16" s="184" customFormat="1" ht="14.4" x14ac:dyDescent="0.3">
      <c r="A133" s="586" t="s">
        <v>1901</v>
      </c>
      <c r="B133" s="186"/>
      <c r="C133" s="153"/>
      <c r="D133" s="102"/>
      <c r="E133" s="154"/>
      <c r="F133" s="155"/>
      <c r="G133" s="5"/>
      <c r="H133" s="155"/>
      <c r="I133" s="155"/>
      <c r="J133" s="155"/>
      <c r="K133" s="155"/>
      <c r="L133" s="186"/>
      <c r="M133" s="186"/>
      <c r="N133" s="186"/>
      <c r="O133" s="427"/>
      <c r="P133" s="119"/>
    </row>
    <row r="134" spans="1:16" s="184" customFormat="1" ht="28.8" x14ac:dyDescent="0.3">
      <c r="A134" s="516" t="s">
        <v>1902</v>
      </c>
      <c r="B134" s="187" t="s">
        <v>1903</v>
      </c>
      <c r="C134" s="190" t="s">
        <v>1904</v>
      </c>
      <c r="D134" s="225"/>
      <c r="E134" s="226"/>
      <c r="F134" s="226"/>
      <c r="G134" s="226"/>
      <c r="H134" s="226"/>
      <c r="I134" s="227"/>
      <c r="J134" s="226"/>
      <c r="K134" s="226"/>
      <c r="L134" s="226"/>
      <c r="M134" s="188" t="s">
        <v>1894</v>
      </c>
      <c r="N134" s="185" t="s">
        <v>1905</v>
      </c>
      <c r="O134" s="188" t="s">
        <v>1899</v>
      </c>
      <c r="P134" s="119"/>
    </row>
    <row r="135" spans="1:16" s="184" customFormat="1" ht="14.4" x14ac:dyDescent="0.3">
      <c r="A135" s="305" t="str">
        <f>A124</f>
        <v>Pembrolizumab (neoadjuvant)</v>
      </c>
      <c r="B135" s="658" t="s">
        <v>2170</v>
      </c>
      <c r="C135" s="886" t="s">
        <v>2171</v>
      </c>
      <c r="D135" s="308"/>
      <c r="E135" s="309"/>
      <c r="F135" s="310"/>
      <c r="G135" s="310"/>
      <c r="H135" s="310"/>
      <c r="I135" s="309"/>
      <c r="J135" s="309"/>
      <c r="K135" s="309"/>
      <c r="L135" s="309"/>
      <c r="M135" s="306">
        <f>I128</f>
        <v>4</v>
      </c>
      <c r="N135" s="312">
        <v>367</v>
      </c>
      <c r="O135" s="651">
        <f>N135*M135</f>
        <v>1468</v>
      </c>
      <c r="P135" s="119"/>
    </row>
    <row r="136" spans="1:16" s="184" customFormat="1" ht="14.4" x14ac:dyDescent="0.3">
      <c r="A136" s="797"/>
      <c r="B136" s="798"/>
      <c r="C136" s="799"/>
      <c r="D136" s="800"/>
      <c r="E136" s="801"/>
      <c r="F136" s="802"/>
      <c r="G136" s="802"/>
      <c r="H136" s="802"/>
      <c r="I136" s="801"/>
      <c r="J136" s="801"/>
      <c r="K136" s="801"/>
      <c r="L136" s="801"/>
      <c r="M136" s="803"/>
      <c r="N136" s="804"/>
      <c r="O136" s="805"/>
      <c r="P136" s="119"/>
    </row>
    <row r="137" spans="1:16" s="184" customFormat="1" ht="14.4" x14ac:dyDescent="0.3">
      <c r="A137" s="807" t="s">
        <v>2222</v>
      </c>
      <c r="B137" s="186"/>
      <c r="C137" s="186"/>
      <c r="D137" s="186"/>
      <c r="E137" s="186"/>
      <c r="F137" s="186"/>
      <c r="G137" s="186"/>
      <c r="H137" s="186"/>
      <c r="I137" s="186"/>
      <c r="J137" s="186"/>
      <c r="K137" s="186"/>
      <c r="L137" s="186"/>
      <c r="M137" s="186"/>
      <c r="N137" s="186"/>
      <c r="O137" s="186"/>
      <c r="P137" s="186"/>
    </row>
    <row r="138" spans="1:16" s="184" customFormat="1" ht="14.4" x14ac:dyDescent="0.3">
      <c r="A138" s="730" t="s">
        <v>2173</v>
      </c>
      <c r="B138" s="186"/>
      <c r="C138" s="186"/>
      <c r="D138" s="186"/>
      <c r="E138" s="186"/>
      <c r="F138" s="186"/>
      <c r="G138" s="186"/>
      <c r="H138" s="186"/>
      <c r="I138" s="186"/>
      <c r="J138" s="186"/>
      <c r="K138" s="186"/>
      <c r="L138" s="186"/>
      <c r="M138" s="186"/>
      <c r="N138" s="186"/>
      <c r="O138" s="186"/>
      <c r="P138" s="186"/>
    </row>
    <row r="139" spans="1:16" s="184" customFormat="1" ht="14.4" x14ac:dyDescent="0.3">
      <c r="A139" s="702" t="s">
        <v>2172</v>
      </c>
      <c r="B139" s="186"/>
      <c r="C139" s="186"/>
      <c r="D139" s="186"/>
      <c r="E139" s="186"/>
      <c r="F139" s="186"/>
      <c r="G139" s="186"/>
      <c r="H139" s="186"/>
      <c r="I139" s="186"/>
      <c r="J139" s="186"/>
      <c r="K139" s="186"/>
      <c r="L139" s="186"/>
      <c r="M139" s="186"/>
      <c r="N139" s="186"/>
      <c r="O139" s="186"/>
      <c r="P139" s="186"/>
    </row>
    <row r="140" spans="1:16" s="184" customFormat="1" ht="14.4" x14ac:dyDescent="0.3">
      <c r="A140" s="162"/>
      <c r="B140" s="186"/>
      <c r="C140" s="186"/>
      <c r="D140" s="186"/>
      <c r="E140" s="186"/>
      <c r="F140" s="186"/>
      <c r="G140" s="186"/>
      <c r="H140" s="186"/>
      <c r="I140" s="186"/>
      <c r="J140" s="186"/>
      <c r="K140" s="186"/>
      <c r="L140" s="186"/>
      <c r="M140" s="186"/>
      <c r="N140" s="186"/>
      <c r="O140" s="186"/>
      <c r="P140" s="186"/>
    </row>
    <row r="141" spans="1:16" s="184" customFormat="1" ht="14.4" x14ac:dyDescent="0.3">
      <c r="A141" s="162"/>
      <c r="B141" s="186"/>
      <c r="C141" s="186"/>
      <c r="D141" s="186"/>
      <c r="E141" s="186"/>
      <c r="F141" s="186"/>
      <c r="G141" s="186"/>
      <c r="H141" s="186"/>
      <c r="I141" s="186"/>
      <c r="J141" s="186"/>
      <c r="K141" s="186"/>
      <c r="L141" s="186"/>
      <c r="M141" s="186"/>
      <c r="N141" s="186"/>
      <c r="O141" s="186"/>
      <c r="P141" s="186"/>
    </row>
    <row r="142" spans="1:16" ht="17.25" customHeight="1" x14ac:dyDescent="0.4">
      <c r="A142" s="471" t="s">
        <v>2185</v>
      </c>
      <c r="B142" s="472"/>
      <c r="C142" s="426"/>
      <c r="D142" s="426"/>
      <c r="E142" s="426"/>
      <c r="F142" s="426"/>
      <c r="G142" s="426"/>
      <c r="H142" s="426"/>
      <c r="I142" s="426"/>
      <c r="J142" s="426"/>
      <c r="K142" s="426"/>
      <c r="L142" s="426"/>
      <c r="M142" s="426"/>
      <c r="N142" s="426"/>
      <c r="O142" s="473"/>
      <c r="P142" s="119"/>
    </row>
    <row r="143" spans="1:16" ht="14.85" customHeight="1" x14ac:dyDescent="0.4">
      <c r="A143" s="132"/>
      <c r="B143" s="132"/>
      <c r="C143" s="119"/>
      <c r="D143" s="119"/>
      <c r="E143" s="119"/>
      <c r="F143" s="119"/>
      <c r="G143" s="119"/>
      <c r="H143" s="119"/>
      <c r="I143" s="119"/>
      <c r="J143" s="119"/>
      <c r="K143" s="119"/>
      <c r="L143" s="119"/>
      <c r="M143" s="119"/>
      <c r="N143" s="119"/>
      <c r="O143" s="506"/>
      <c r="P143" s="119"/>
    </row>
    <row r="144" spans="1:16" s="184" customFormat="1" ht="14.4" x14ac:dyDescent="0.3">
      <c r="A144" s="507" t="s">
        <v>1891</v>
      </c>
      <c r="B144" s="619" t="s">
        <v>2021</v>
      </c>
      <c r="C144" s="639"/>
      <c r="D144" s="639"/>
      <c r="E144" s="639"/>
      <c r="F144" s="640"/>
      <c r="G144" s="619" t="s">
        <v>2045</v>
      </c>
      <c r="H144" s="639"/>
      <c r="I144" s="639"/>
      <c r="J144" s="639"/>
      <c r="K144" s="639"/>
      <c r="L144" s="639"/>
      <c r="M144" s="639"/>
      <c r="N144" s="639"/>
      <c r="O144" s="640"/>
      <c r="P144" s="119"/>
    </row>
    <row r="145" spans="1:16" s="184" customFormat="1" ht="66" customHeight="1" x14ac:dyDescent="0.3">
      <c r="A145" s="185" t="s">
        <v>1892</v>
      </c>
      <c r="B145" s="188" t="s">
        <v>2020</v>
      </c>
      <c r="C145" s="188" t="s">
        <v>1856</v>
      </c>
      <c r="D145" s="188" t="s">
        <v>1857</v>
      </c>
      <c r="E145" s="188" t="s">
        <v>1858</v>
      </c>
      <c r="F145" s="188" t="s">
        <v>1859</v>
      </c>
      <c r="G145" s="188" t="s">
        <v>1893</v>
      </c>
      <c r="H145" s="188" t="s">
        <v>1993</v>
      </c>
      <c r="I145" s="188" t="s">
        <v>1994</v>
      </c>
      <c r="J145" s="188" t="s">
        <v>1895</v>
      </c>
      <c r="K145" s="188" t="s">
        <v>1896</v>
      </c>
      <c r="L145" s="188" t="s">
        <v>1897</v>
      </c>
      <c r="M145" s="185" t="s">
        <v>1898</v>
      </c>
      <c r="N145" s="188" t="s">
        <v>2046</v>
      </c>
      <c r="O145" s="188" t="s">
        <v>2175</v>
      </c>
      <c r="P145" s="119"/>
    </row>
    <row r="146" spans="1:16" s="184" customFormat="1" ht="28.35" customHeight="1" x14ac:dyDescent="0.3">
      <c r="A146" s="305" t="s">
        <v>2185</v>
      </c>
      <c r="B146" s="643" t="s">
        <v>2186</v>
      </c>
      <c r="C146" s="809" t="str">
        <f>C28</f>
        <v xml:space="preserve">vial </v>
      </c>
      <c r="D146" s="809">
        <f>D28</f>
        <v>100</v>
      </c>
      <c r="E146" s="809">
        <f>E28</f>
        <v>1</v>
      </c>
      <c r="F146" s="809">
        <f>F28</f>
        <v>100</v>
      </c>
      <c r="G146" s="808">
        <v>200</v>
      </c>
      <c r="H146" s="523">
        <v>42</v>
      </c>
      <c r="I146" s="524">
        <v>1</v>
      </c>
      <c r="J146" s="856">
        <f>G146*I146</f>
        <v>200</v>
      </c>
      <c r="K146" s="887">
        <f>J146/F146</f>
        <v>2</v>
      </c>
      <c r="L146" s="883">
        <f>G28</f>
        <v>0</v>
      </c>
      <c r="M146" s="650">
        <f>H28</f>
        <v>0.2</v>
      </c>
      <c r="N146" s="650">
        <v>1</v>
      </c>
      <c r="O146" s="884">
        <f>K146*L146*(1+M146)*N146</f>
        <v>0</v>
      </c>
      <c r="P146" s="119"/>
    </row>
    <row r="147" spans="1:16" s="184" customFormat="1" ht="28.35" customHeight="1" x14ac:dyDescent="0.3">
      <c r="A147" s="305" t="s">
        <v>2185</v>
      </c>
      <c r="B147" s="643" t="s">
        <v>2187</v>
      </c>
      <c r="C147" s="809" t="str">
        <f>C28</f>
        <v xml:space="preserve">vial </v>
      </c>
      <c r="D147" s="809">
        <f>D28</f>
        <v>100</v>
      </c>
      <c r="E147" s="809">
        <f>E28</f>
        <v>1</v>
      </c>
      <c r="F147" s="809">
        <f>F28</f>
        <v>100</v>
      </c>
      <c r="G147" s="808">
        <v>400</v>
      </c>
      <c r="H147" s="523">
        <v>42</v>
      </c>
      <c r="I147" s="524">
        <v>6</v>
      </c>
      <c r="J147" s="856">
        <f>G147*I147</f>
        <v>2400</v>
      </c>
      <c r="K147" s="887">
        <f>J147/F147</f>
        <v>24</v>
      </c>
      <c r="L147" s="883">
        <f>G28</f>
        <v>0</v>
      </c>
      <c r="M147" s="650">
        <f>H28</f>
        <v>0.2</v>
      </c>
      <c r="N147" s="650">
        <v>1</v>
      </c>
      <c r="O147" s="884">
        <f>K147*L147*(1+M147)*N147</f>
        <v>0</v>
      </c>
      <c r="P147" s="119"/>
    </row>
    <row r="148" spans="1:16" s="184" customFormat="1" ht="14.4" x14ac:dyDescent="0.3">
      <c r="A148" s="189" t="s">
        <v>1900</v>
      </c>
      <c r="B148" s="641"/>
      <c r="C148" s="641"/>
      <c r="D148" s="641"/>
      <c r="E148" s="641"/>
      <c r="F148" s="641"/>
      <c r="G148" s="641"/>
      <c r="H148" s="641"/>
      <c r="I148" s="642"/>
      <c r="J148" s="642"/>
      <c r="K148" s="642"/>
      <c r="L148" s="641"/>
      <c r="M148" s="641"/>
      <c r="N148" s="642"/>
      <c r="O148" s="651">
        <f>O146+O147</f>
        <v>0</v>
      </c>
      <c r="P148" s="119"/>
    </row>
    <row r="149" spans="1:16" s="184" customFormat="1" ht="14.4" x14ac:dyDescent="0.3">
      <c r="A149" s="759"/>
      <c r="B149" s="759"/>
      <c r="C149" s="759"/>
      <c r="D149" s="759"/>
      <c r="E149" s="186"/>
      <c r="F149" s="186"/>
      <c r="G149" s="186"/>
      <c r="H149" s="186"/>
      <c r="I149" s="186"/>
      <c r="J149" s="186"/>
      <c r="K149" s="186"/>
      <c r="L149" s="186"/>
      <c r="M149" s="186"/>
      <c r="N149" s="186"/>
      <c r="O149" s="427"/>
      <c r="P149" s="119"/>
    </row>
    <row r="150" spans="1:16" s="184" customFormat="1" ht="14.4" x14ac:dyDescent="0.3">
      <c r="A150" s="586" t="s">
        <v>1901</v>
      </c>
      <c r="B150" s="186"/>
      <c r="C150" s="153"/>
      <c r="D150" s="102"/>
      <c r="E150" s="154"/>
      <c r="F150" s="155"/>
      <c r="G150" s="5"/>
      <c r="H150" s="155"/>
      <c r="I150" s="155"/>
      <c r="J150" s="155"/>
      <c r="K150" s="155"/>
      <c r="L150" s="186"/>
      <c r="M150" s="186"/>
      <c r="N150" s="186"/>
      <c r="O150" s="427"/>
      <c r="P150" s="119"/>
    </row>
    <row r="151" spans="1:16" s="184" customFormat="1" ht="28.8" x14ac:dyDescent="0.3">
      <c r="A151" s="516" t="s">
        <v>1902</v>
      </c>
      <c r="B151" s="187" t="s">
        <v>1903</v>
      </c>
      <c r="C151" s="190" t="s">
        <v>1904</v>
      </c>
      <c r="D151" s="225"/>
      <c r="E151" s="226"/>
      <c r="F151" s="226"/>
      <c r="G151" s="226"/>
      <c r="H151" s="226"/>
      <c r="I151" s="227"/>
      <c r="J151" s="226"/>
      <c r="K151" s="226"/>
      <c r="L151" s="226"/>
      <c r="M151" s="188" t="s">
        <v>1894</v>
      </c>
      <c r="N151" s="185" t="s">
        <v>1905</v>
      </c>
      <c r="O151" s="188" t="s">
        <v>1899</v>
      </c>
      <c r="P151" s="119"/>
    </row>
    <row r="152" spans="1:16" s="184" customFormat="1" ht="14.4" x14ac:dyDescent="0.3">
      <c r="A152" s="305" t="s">
        <v>2185</v>
      </c>
      <c r="B152" s="658" t="s">
        <v>2176</v>
      </c>
      <c r="C152" s="886" t="s">
        <v>2177</v>
      </c>
      <c r="D152" s="308"/>
      <c r="E152" s="309"/>
      <c r="F152" s="310"/>
      <c r="G152" s="310"/>
      <c r="H152" s="310"/>
      <c r="I152" s="309"/>
      <c r="J152" s="309"/>
      <c r="K152" s="309"/>
      <c r="L152" s="309"/>
      <c r="M152" s="306">
        <f>I146+I147</f>
        <v>7</v>
      </c>
      <c r="N152" s="312">
        <v>184</v>
      </c>
      <c r="O152" s="651">
        <f>N152*M152</f>
        <v>1288</v>
      </c>
      <c r="P152" s="119"/>
    </row>
    <row r="153" spans="1:16" s="184" customFormat="1" ht="14.4" x14ac:dyDescent="0.3">
      <c r="A153" s="797"/>
      <c r="B153" s="798"/>
      <c r="C153" s="799"/>
      <c r="D153" s="800"/>
      <c r="E153" s="801"/>
      <c r="F153" s="802"/>
      <c r="G153" s="802"/>
      <c r="H153" s="802"/>
      <c r="I153" s="801"/>
      <c r="J153" s="801"/>
      <c r="K153" s="801"/>
      <c r="L153" s="801"/>
      <c r="M153" s="803"/>
      <c r="N153" s="804"/>
      <c r="O153" s="805"/>
      <c r="P153" s="119"/>
    </row>
    <row r="154" spans="1:16" s="184" customFormat="1" ht="14.4" x14ac:dyDescent="0.3">
      <c r="A154" s="807" t="s">
        <v>2222</v>
      </c>
      <c r="B154" s="186"/>
      <c r="C154" s="186"/>
      <c r="D154" s="186"/>
      <c r="E154" s="186"/>
      <c r="F154" s="186"/>
      <c r="G154" s="186"/>
      <c r="H154" s="186"/>
      <c r="I154" s="186"/>
      <c r="J154" s="186"/>
      <c r="K154" s="186"/>
      <c r="L154" s="186"/>
      <c r="M154" s="186"/>
      <c r="N154" s="186"/>
      <c r="O154" s="186"/>
      <c r="P154" s="186"/>
    </row>
    <row r="155" spans="1:16" s="184" customFormat="1" ht="14.4" x14ac:dyDescent="0.3">
      <c r="A155" s="730" t="s">
        <v>2173</v>
      </c>
      <c r="B155" s="186"/>
      <c r="C155" s="186"/>
      <c r="D155" s="186"/>
      <c r="E155" s="186"/>
      <c r="F155" s="186"/>
      <c r="G155" s="186"/>
      <c r="H155" s="186"/>
      <c r="I155" s="186"/>
      <c r="J155" s="186"/>
      <c r="K155" s="186"/>
      <c r="L155" s="186"/>
      <c r="M155" s="186"/>
      <c r="N155" s="186"/>
      <c r="O155" s="186"/>
      <c r="P155" s="186"/>
    </row>
    <row r="156" spans="1:16" s="184" customFormat="1" ht="14.4" x14ac:dyDescent="0.3">
      <c r="A156" s="702" t="s">
        <v>2172</v>
      </c>
      <c r="B156" s="186"/>
      <c r="C156" s="186"/>
      <c r="D156" s="186"/>
      <c r="E156" s="186"/>
      <c r="F156" s="186"/>
      <c r="G156" s="186"/>
      <c r="H156" s="186"/>
      <c r="I156" s="186"/>
      <c r="J156" s="186"/>
      <c r="K156" s="186"/>
      <c r="L156" s="186"/>
      <c r="M156" s="186"/>
      <c r="N156" s="186"/>
      <c r="O156" s="186"/>
      <c r="P156" s="186"/>
    </row>
    <row r="157" spans="1:16" s="184" customFormat="1" ht="14.85" customHeight="1" x14ac:dyDescent="0.3">
      <c r="A157" s="471" t="s">
        <v>2157</v>
      </c>
      <c r="B157" s="158"/>
      <c r="C157" s="653"/>
      <c r="D157" s="653"/>
      <c r="E157" s="653"/>
      <c r="F157" s="653"/>
      <c r="G157" s="653"/>
      <c r="H157" s="653"/>
      <c r="I157" s="653"/>
      <c r="J157" s="653"/>
      <c r="K157" s="653"/>
      <c r="L157" s="653"/>
      <c r="M157" s="653"/>
      <c r="N157" s="653"/>
      <c r="O157" s="637"/>
      <c r="P157" s="186"/>
    </row>
    <row r="158" spans="1:16" s="184" customFormat="1" ht="14.85" customHeight="1" x14ac:dyDescent="0.3">
      <c r="A158" s="652"/>
      <c r="B158" s="652"/>
      <c r="C158" s="654"/>
      <c r="D158" s="654"/>
      <c r="E158" s="654"/>
      <c r="F158" s="654"/>
      <c r="G158" s="654"/>
      <c r="H158" s="654"/>
      <c r="I158" s="654"/>
      <c r="J158" s="654"/>
      <c r="K158" s="654"/>
      <c r="L158" s="654"/>
      <c r="M158" s="654"/>
      <c r="N158" s="654"/>
      <c r="O158" s="656"/>
      <c r="P158" s="186"/>
    </row>
    <row r="159" spans="1:16" s="184" customFormat="1" ht="14.4" x14ac:dyDescent="0.3">
      <c r="A159" s="660" t="s">
        <v>1891</v>
      </c>
      <c r="B159" s="659" t="s">
        <v>2021</v>
      </c>
      <c r="C159" s="639"/>
      <c r="D159" s="639"/>
      <c r="E159" s="639"/>
      <c r="F159" s="640"/>
      <c r="G159" s="619" t="s">
        <v>2045</v>
      </c>
      <c r="H159" s="659"/>
      <c r="I159" s="659"/>
      <c r="J159" s="659"/>
      <c r="K159" s="639"/>
      <c r="L159" s="639"/>
      <c r="M159" s="639"/>
      <c r="N159" s="639"/>
      <c r="O159" s="640"/>
      <c r="P159" s="186"/>
    </row>
    <row r="160" spans="1:16" s="184" customFormat="1" ht="66" customHeight="1" thickBot="1" x14ac:dyDescent="0.35">
      <c r="A160" s="762" t="s">
        <v>1892</v>
      </c>
      <c r="B160" s="534" t="s">
        <v>2020</v>
      </c>
      <c r="C160" s="534" t="s">
        <v>1856</v>
      </c>
      <c r="D160" s="534" t="s">
        <v>1857</v>
      </c>
      <c r="E160" s="534" t="s">
        <v>1858</v>
      </c>
      <c r="F160" s="534" t="s">
        <v>1859</v>
      </c>
      <c r="G160" s="534" t="s">
        <v>2152</v>
      </c>
      <c r="H160" s="534" t="s">
        <v>2149</v>
      </c>
      <c r="I160" s="534" t="s">
        <v>2150</v>
      </c>
      <c r="J160" s="534" t="s">
        <v>1893</v>
      </c>
      <c r="K160" s="534" t="s">
        <v>2153</v>
      </c>
      <c r="L160" s="534" t="s">
        <v>1897</v>
      </c>
      <c r="M160" s="762" t="s">
        <v>1898</v>
      </c>
      <c r="N160" s="534" t="s">
        <v>2046</v>
      </c>
      <c r="O160" s="534" t="s">
        <v>1899</v>
      </c>
      <c r="P160" s="186"/>
    </row>
    <row r="161" spans="1:16" s="184" customFormat="1" ht="15" thickBot="1" x14ac:dyDescent="0.35">
      <c r="A161" s="892" t="s">
        <v>2125</v>
      </c>
      <c r="B161" s="893" t="s">
        <v>2018</v>
      </c>
      <c r="C161" s="893" t="s">
        <v>2117</v>
      </c>
      <c r="D161" s="766">
        <f>D$31</f>
        <v>100</v>
      </c>
      <c r="E161" s="766">
        <f>E$31</f>
        <v>1</v>
      </c>
      <c r="F161" s="766">
        <f>F$31</f>
        <v>100</v>
      </c>
      <c r="G161" s="768">
        <v>75</v>
      </c>
      <c r="H161" s="768">
        <v>1.79</v>
      </c>
      <c r="I161" s="768" t="s">
        <v>2151</v>
      </c>
      <c r="J161" s="785">
        <f>G161*H161</f>
        <v>134.25</v>
      </c>
      <c r="K161" s="767">
        <f>ROUNDUP(J161/F161,0)</f>
        <v>2</v>
      </c>
      <c r="L161" s="894">
        <f>G31</f>
        <v>30.5</v>
      </c>
      <c r="M161" s="895">
        <f>H31</f>
        <v>0.2</v>
      </c>
      <c r="N161" s="769">
        <v>1</v>
      </c>
      <c r="O161" s="896">
        <f>L161+(L161*M161)*N161*K161</f>
        <v>42.7</v>
      </c>
      <c r="P161" s="186"/>
    </row>
    <row r="162" spans="1:16" s="184" customFormat="1" ht="15" thickBot="1" x14ac:dyDescent="0.35">
      <c r="A162" s="897" t="s">
        <v>2126</v>
      </c>
      <c r="B162" s="893" t="s">
        <v>2018</v>
      </c>
      <c r="C162" s="898" t="s">
        <v>2117</v>
      </c>
      <c r="D162" s="770">
        <f>D$37</f>
        <v>1000</v>
      </c>
      <c r="E162" s="771">
        <f>E$37</f>
        <v>1</v>
      </c>
      <c r="F162" s="771">
        <f>F37</f>
        <v>1000</v>
      </c>
      <c r="G162" s="772">
        <v>500</v>
      </c>
      <c r="H162" s="772">
        <v>1.79</v>
      </c>
      <c r="I162" s="772" t="s">
        <v>2151</v>
      </c>
      <c r="J162" s="786">
        <f>G162*H162</f>
        <v>895</v>
      </c>
      <c r="K162" s="771">
        <f>ROUND(F162/J162,0)</f>
        <v>1</v>
      </c>
      <c r="L162" s="899">
        <f>G$37</f>
        <v>0</v>
      </c>
      <c r="M162" s="900">
        <f>H$37</f>
        <v>0.2</v>
      </c>
      <c r="N162" s="773">
        <v>1</v>
      </c>
      <c r="O162" s="896">
        <f>L162+(L162*M162)*N162*K162</f>
        <v>0</v>
      </c>
      <c r="P162" s="186"/>
    </row>
    <row r="163" spans="1:16" s="184" customFormat="1" ht="15" thickBot="1" x14ac:dyDescent="0.35">
      <c r="A163" s="777"/>
      <c r="B163" s="778"/>
      <c r="C163" s="779"/>
      <c r="D163" s="780"/>
      <c r="E163" s="781"/>
      <c r="F163" s="781"/>
      <c r="G163" s="781"/>
      <c r="H163" s="781"/>
      <c r="I163" s="781"/>
      <c r="J163" s="787"/>
      <c r="K163" s="781"/>
      <c r="L163" s="782"/>
      <c r="M163" s="783"/>
      <c r="N163" s="784" t="s">
        <v>2154</v>
      </c>
      <c r="O163" s="901">
        <f>O161+O162</f>
        <v>42.7</v>
      </c>
      <c r="P163" s="186"/>
    </row>
    <row r="164" spans="1:16" s="184" customFormat="1" ht="15" thickBot="1" x14ac:dyDescent="0.35">
      <c r="A164" s="892" t="s">
        <v>2127</v>
      </c>
      <c r="B164" s="893" t="s">
        <v>2018</v>
      </c>
      <c r="C164" s="893" t="s">
        <v>2117</v>
      </c>
      <c r="D164" s="766">
        <f>D$31</f>
        <v>100</v>
      </c>
      <c r="E164" s="766">
        <f>E$31</f>
        <v>1</v>
      </c>
      <c r="F164" s="766">
        <f>F$31</f>
        <v>100</v>
      </c>
      <c r="G164" s="768">
        <v>75</v>
      </c>
      <c r="H164" s="768">
        <v>1.79</v>
      </c>
      <c r="I164" s="768" t="s">
        <v>2151</v>
      </c>
      <c r="J164" s="785">
        <f>G164*H164</f>
        <v>134.25</v>
      </c>
      <c r="K164" s="767">
        <f>ROUNDUP(J164/F164,0)</f>
        <v>2</v>
      </c>
      <c r="L164" s="894">
        <f>G$31</f>
        <v>30.5</v>
      </c>
      <c r="M164" s="895">
        <f>H$31</f>
        <v>0.2</v>
      </c>
      <c r="N164" s="769">
        <v>1</v>
      </c>
      <c r="O164" s="896">
        <f t="shared" ref="O164:O165" si="4">L164+(L164*M164)*N164*K164</f>
        <v>42.7</v>
      </c>
      <c r="P164" s="186"/>
    </row>
    <row r="165" spans="1:16" s="184" customFormat="1" ht="15" thickBot="1" x14ac:dyDescent="0.35">
      <c r="A165" s="903" t="s">
        <v>2128</v>
      </c>
      <c r="B165" s="893" t="s">
        <v>2018</v>
      </c>
      <c r="C165" s="893" t="s">
        <v>2117</v>
      </c>
      <c r="D165" s="774">
        <f>D$34</f>
        <v>1000</v>
      </c>
      <c r="E165" s="774">
        <f>E$34</f>
        <v>1</v>
      </c>
      <c r="F165" s="774">
        <f>F$34</f>
        <v>1000</v>
      </c>
      <c r="G165" s="775">
        <v>1250</v>
      </c>
      <c r="H165" s="775">
        <v>1.79</v>
      </c>
      <c r="I165" s="775" t="s">
        <v>2151</v>
      </c>
      <c r="J165" s="788">
        <f>G165*H165*2</f>
        <v>4475</v>
      </c>
      <c r="K165" s="767">
        <f>ROUNDUP(J165/F165,0)</f>
        <v>5</v>
      </c>
      <c r="L165" s="904">
        <f>G$34</f>
        <v>0</v>
      </c>
      <c r="M165" s="905">
        <f>H$34</f>
        <v>0.2</v>
      </c>
      <c r="N165" s="776">
        <v>1</v>
      </c>
      <c r="O165" s="896">
        <f t="shared" si="4"/>
        <v>0</v>
      </c>
      <c r="P165" s="186"/>
    </row>
    <row r="166" spans="1:16" s="184" customFormat="1" ht="15" thickBot="1" x14ac:dyDescent="0.35">
      <c r="A166" s="777"/>
      <c r="B166" s="778"/>
      <c r="C166" s="779"/>
      <c r="D166" s="780"/>
      <c r="E166" s="781"/>
      <c r="F166" s="781"/>
      <c r="G166" s="781"/>
      <c r="H166" s="781"/>
      <c r="I166" s="781"/>
      <c r="J166" s="781"/>
      <c r="K166" s="781"/>
      <c r="L166" s="782"/>
      <c r="M166" s="783"/>
      <c r="N166" s="784" t="s">
        <v>2154</v>
      </c>
      <c r="O166" s="901">
        <f>O164+O165</f>
        <v>42.7</v>
      </c>
      <c r="P166" s="186"/>
    </row>
    <row r="167" spans="1:16" s="184" customFormat="1" ht="15" thickBot="1" x14ac:dyDescent="0.35">
      <c r="A167" s="906" t="s">
        <v>2132</v>
      </c>
      <c r="B167" s="893" t="s">
        <v>2018</v>
      </c>
      <c r="C167" s="907" t="s">
        <v>2117</v>
      </c>
      <c r="D167" s="766">
        <f>D$31</f>
        <v>100</v>
      </c>
      <c r="E167" s="766">
        <f>E$31</f>
        <v>1</v>
      </c>
      <c r="F167" s="766">
        <f>F$31</f>
        <v>100</v>
      </c>
      <c r="G167" s="768">
        <v>75</v>
      </c>
      <c r="H167" s="768">
        <v>1.79</v>
      </c>
      <c r="I167" s="768" t="s">
        <v>2151</v>
      </c>
      <c r="J167" s="768">
        <f>G167*H167</f>
        <v>134.25</v>
      </c>
      <c r="K167" s="767">
        <f>ROUNDUP(J167/F167,0)</f>
        <v>2</v>
      </c>
      <c r="L167" s="894">
        <f>G$31</f>
        <v>30.5</v>
      </c>
      <c r="M167" s="895">
        <f>H$31</f>
        <v>0.2</v>
      </c>
      <c r="N167" s="769">
        <v>1</v>
      </c>
      <c r="O167" s="896">
        <f t="shared" ref="O167:O168" si="5">L167+(L167*M167)*N167*K167</f>
        <v>42.7</v>
      </c>
      <c r="P167" s="186"/>
    </row>
    <row r="168" spans="1:16" s="184" customFormat="1" ht="15" thickBot="1" x14ac:dyDescent="0.35">
      <c r="A168" s="897" t="s">
        <v>2133</v>
      </c>
      <c r="B168" s="893" t="s">
        <v>2018</v>
      </c>
      <c r="C168" s="898" t="s">
        <v>2117</v>
      </c>
      <c r="D168" s="770">
        <f>D$38</f>
        <v>50</v>
      </c>
      <c r="E168" s="770">
        <f>E$38</f>
        <v>10</v>
      </c>
      <c r="F168" s="770">
        <f>F$38</f>
        <v>500</v>
      </c>
      <c r="G168" s="772">
        <v>25</v>
      </c>
      <c r="H168" s="772">
        <v>1.79</v>
      </c>
      <c r="I168" s="772" t="s">
        <v>2151</v>
      </c>
      <c r="J168" s="772">
        <f>G168*H168</f>
        <v>44.75</v>
      </c>
      <c r="K168" s="767">
        <f>ROUNDUP(J168/F168,0)</f>
        <v>1</v>
      </c>
      <c r="L168" s="899">
        <f>G$38/E$38</f>
        <v>16.542999999999999</v>
      </c>
      <c r="M168" s="900">
        <f>H$38</f>
        <v>0.2</v>
      </c>
      <c r="N168" s="773">
        <v>1</v>
      </c>
      <c r="O168" s="896">
        <f t="shared" si="5"/>
        <v>19.851599999999998</v>
      </c>
      <c r="P168" s="186"/>
    </row>
    <row r="169" spans="1:16" s="184" customFormat="1" ht="15" thickBot="1" x14ac:dyDescent="0.35">
      <c r="A169" s="777"/>
      <c r="B169" s="778"/>
      <c r="C169" s="779"/>
      <c r="D169" s="780"/>
      <c r="E169" s="781"/>
      <c r="F169" s="781"/>
      <c r="G169" s="781"/>
      <c r="H169" s="781"/>
      <c r="I169" s="781"/>
      <c r="J169" s="781"/>
      <c r="K169" s="781"/>
      <c r="L169" s="782"/>
      <c r="M169" s="783"/>
      <c r="N169" s="784" t="s">
        <v>2154</v>
      </c>
      <c r="O169" s="901">
        <f>O167+O168</f>
        <v>62.551600000000001</v>
      </c>
      <c r="P169" s="186"/>
    </row>
    <row r="170" spans="1:16" s="184" customFormat="1" ht="15" thickBot="1" x14ac:dyDescent="0.35">
      <c r="A170" s="908" t="s">
        <v>2135</v>
      </c>
      <c r="B170" s="893" t="s">
        <v>2018</v>
      </c>
      <c r="C170" s="907" t="s">
        <v>2117</v>
      </c>
      <c r="D170" s="766">
        <f>D$31</f>
        <v>100</v>
      </c>
      <c r="E170" s="766">
        <f>E$31</f>
        <v>1</v>
      </c>
      <c r="F170" s="766">
        <f>F$31</f>
        <v>100</v>
      </c>
      <c r="G170" s="768">
        <v>75</v>
      </c>
      <c r="H170" s="768">
        <v>1.79</v>
      </c>
      <c r="I170" s="768" t="s">
        <v>2151</v>
      </c>
      <c r="J170" s="768">
        <f>G170*H170</f>
        <v>134.25</v>
      </c>
      <c r="K170" s="767">
        <f>ROUNDUP(J170/F170,0)</f>
        <v>2</v>
      </c>
      <c r="L170" s="894">
        <f>G$31</f>
        <v>30.5</v>
      </c>
      <c r="M170" s="895">
        <f>H$31</f>
        <v>0.2</v>
      </c>
      <c r="N170" s="769">
        <v>1</v>
      </c>
      <c r="O170" s="896">
        <f t="shared" ref="O170:O171" si="6">L170+(L170*M170)*N170*K170</f>
        <v>42.7</v>
      </c>
      <c r="P170" s="186"/>
    </row>
    <row r="171" spans="1:16" s="184" customFormat="1" ht="15" thickBot="1" x14ac:dyDescent="0.35">
      <c r="A171" s="908" t="s">
        <v>2136</v>
      </c>
      <c r="B171" s="893" t="s">
        <v>2018</v>
      </c>
      <c r="C171" s="907" t="s">
        <v>2117</v>
      </c>
      <c r="D171" s="763">
        <f>D$33</f>
        <v>160</v>
      </c>
      <c r="E171" s="763">
        <f>E$33</f>
        <v>1</v>
      </c>
      <c r="F171" s="763">
        <f>F$33</f>
        <v>160</v>
      </c>
      <c r="G171" s="764">
        <v>75</v>
      </c>
      <c r="H171" s="764">
        <v>1.79</v>
      </c>
      <c r="I171" s="764" t="s">
        <v>2151</v>
      </c>
      <c r="J171" s="764">
        <f>G171*H171</f>
        <v>134.25</v>
      </c>
      <c r="K171" s="767">
        <f>ROUNDUP(J171/F171,0)</f>
        <v>1</v>
      </c>
      <c r="L171" s="909">
        <f>G$33</f>
        <v>17.32</v>
      </c>
      <c r="M171" s="910">
        <f>H$33</f>
        <v>0.2</v>
      </c>
      <c r="N171" s="765">
        <v>1</v>
      </c>
      <c r="O171" s="896">
        <f t="shared" si="6"/>
        <v>20.783999999999999</v>
      </c>
      <c r="P171" s="186"/>
    </row>
    <row r="172" spans="1:16" s="184" customFormat="1" ht="15" thickBot="1" x14ac:dyDescent="0.35">
      <c r="A172" s="777"/>
      <c r="B172" s="778"/>
      <c r="C172" s="779"/>
      <c r="D172" s="780"/>
      <c r="E172" s="781"/>
      <c r="F172" s="781"/>
      <c r="G172" s="781"/>
      <c r="H172" s="781"/>
      <c r="I172" s="781"/>
      <c r="J172" s="781"/>
      <c r="K172" s="781"/>
      <c r="L172" s="782"/>
      <c r="M172" s="783"/>
      <c r="N172" s="784" t="s">
        <v>2154</v>
      </c>
      <c r="O172" s="901">
        <f>O170+O171</f>
        <v>63.484000000000002</v>
      </c>
      <c r="P172" s="186"/>
    </row>
    <row r="173" spans="1:16" s="184" customFormat="1" ht="15" thickBot="1" x14ac:dyDescent="0.35">
      <c r="A173" s="911" t="s">
        <v>2129</v>
      </c>
      <c r="B173" s="893" t="s">
        <v>2018</v>
      </c>
      <c r="C173" s="643" t="s">
        <v>2117</v>
      </c>
      <c r="D173" s="541">
        <f>D$29</f>
        <v>450</v>
      </c>
      <c r="E173" s="541">
        <f>E$29</f>
        <v>1</v>
      </c>
      <c r="F173" s="541">
        <f>F$29</f>
        <v>450</v>
      </c>
      <c r="G173" s="655">
        <v>5</v>
      </c>
      <c r="H173" s="655" t="s">
        <v>2151</v>
      </c>
      <c r="I173" s="655">
        <v>79.3</v>
      </c>
      <c r="J173" s="655">
        <f>G173*I173</f>
        <v>396.5</v>
      </c>
      <c r="K173" s="767">
        <f>ROUNDUP(J173/F173,0)</f>
        <v>1</v>
      </c>
      <c r="L173" s="912">
        <f>G$29</f>
        <v>0</v>
      </c>
      <c r="M173" s="913">
        <f>H$29</f>
        <v>0.2</v>
      </c>
      <c r="N173" s="650">
        <v>1</v>
      </c>
      <c r="O173" s="896">
        <f t="shared" ref="O173:O174" si="7">L173+(L173*M173)*N173*K173</f>
        <v>0</v>
      </c>
      <c r="P173" s="186"/>
    </row>
    <row r="174" spans="1:16" s="184" customFormat="1" ht="15" thickBot="1" x14ac:dyDescent="0.35">
      <c r="A174" s="911" t="s">
        <v>2130</v>
      </c>
      <c r="B174" s="893" t="s">
        <v>2018</v>
      </c>
      <c r="C174" s="643" t="s">
        <v>2117</v>
      </c>
      <c r="D174" s="541">
        <f>D35</f>
        <v>100</v>
      </c>
      <c r="E174" s="541">
        <f>E35</f>
        <v>1</v>
      </c>
      <c r="F174" s="541">
        <f>F35</f>
        <v>100</v>
      </c>
      <c r="G174" s="655">
        <v>200</v>
      </c>
      <c r="H174" s="655">
        <v>1.79</v>
      </c>
      <c r="I174" s="655" t="s">
        <v>2151</v>
      </c>
      <c r="J174" s="655">
        <f>G174*H174</f>
        <v>358</v>
      </c>
      <c r="K174" s="767">
        <f>ROUNDUP(J174/F174,0)</f>
        <v>4</v>
      </c>
      <c r="L174" s="912">
        <f>G35</f>
        <v>0</v>
      </c>
      <c r="M174" s="913">
        <f>H35</f>
        <v>0.2</v>
      </c>
      <c r="N174" s="650">
        <v>1</v>
      </c>
      <c r="O174" s="896">
        <f t="shared" si="7"/>
        <v>0</v>
      </c>
      <c r="P174" s="186"/>
    </row>
    <row r="175" spans="1:16" s="184" customFormat="1" ht="15" thickBot="1" x14ac:dyDescent="0.35">
      <c r="A175" s="777"/>
      <c r="B175" s="778"/>
      <c r="C175" s="779"/>
      <c r="D175" s="780"/>
      <c r="E175" s="781"/>
      <c r="F175" s="781"/>
      <c r="G175" s="781"/>
      <c r="H175" s="781"/>
      <c r="I175" s="781"/>
      <c r="J175" s="781"/>
      <c r="K175" s="781"/>
      <c r="L175" s="782"/>
      <c r="M175" s="783"/>
      <c r="N175" s="784" t="s">
        <v>2154</v>
      </c>
      <c r="O175" s="902">
        <f>O173+O174</f>
        <v>0</v>
      </c>
      <c r="P175" s="186"/>
    </row>
    <row r="176" spans="1:16" s="184" customFormat="1" ht="15" thickBot="1" x14ac:dyDescent="0.35">
      <c r="A176" s="911" t="s">
        <v>2138</v>
      </c>
      <c r="B176" s="893" t="s">
        <v>2018</v>
      </c>
      <c r="C176" s="643" t="s">
        <v>2117</v>
      </c>
      <c r="D176" s="541">
        <f>D$29</f>
        <v>450</v>
      </c>
      <c r="E176" s="541">
        <f>E$29</f>
        <v>1</v>
      </c>
      <c r="F176" s="541">
        <f>F$29</f>
        <v>450</v>
      </c>
      <c r="G176" s="655">
        <v>5</v>
      </c>
      <c r="H176" s="655" t="s">
        <v>2151</v>
      </c>
      <c r="I176" s="655">
        <v>79.3</v>
      </c>
      <c r="J176" s="655">
        <f>G176*I176</f>
        <v>396.5</v>
      </c>
      <c r="K176" s="767">
        <f>ROUNDUP(J176/F176,0)</f>
        <v>1</v>
      </c>
      <c r="L176" s="912">
        <f>G$29</f>
        <v>0</v>
      </c>
      <c r="M176" s="913">
        <f>H$29</f>
        <v>0.2</v>
      </c>
      <c r="N176" s="650">
        <v>1</v>
      </c>
      <c r="O176" s="896">
        <f>L176+(L176*M176)*N176</f>
        <v>0</v>
      </c>
      <c r="P176" s="186"/>
    </row>
    <row r="177" spans="1:16" s="184" customFormat="1" ht="15" thickBot="1" x14ac:dyDescent="0.35">
      <c r="A177" s="911" t="s">
        <v>2139</v>
      </c>
      <c r="B177" s="893" t="s">
        <v>2018</v>
      </c>
      <c r="C177" s="643" t="s">
        <v>2117</v>
      </c>
      <c r="D177" s="770">
        <f>D$37</f>
        <v>1000</v>
      </c>
      <c r="E177" s="771">
        <f>E$37</f>
        <v>1</v>
      </c>
      <c r="F177" s="792">
        <f>F37</f>
        <v>1000</v>
      </c>
      <c r="G177" s="772">
        <v>500</v>
      </c>
      <c r="H177" s="772">
        <v>1.79</v>
      </c>
      <c r="I177" s="772" t="s">
        <v>2151</v>
      </c>
      <c r="J177" s="786">
        <f>G177*H177</f>
        <v>895</v>
      </c>
      <c r="K177" s="771">
        <f>ROUND(F177/J177,0)</f>
        <v>1</v>
      </c>
      <c r="L177" s="899">
        <f>G$37</f>
        <v>0</v>
      </c>
      <c r="M177" s="900">
        <f>H$37</f>
        <v>0.2</v>
      </c>
      <c r="N177" s="773">
        <v>1</v>
      </c>
      <c r="O177" s="896">
        <f>L177+(L177*M177)*N177</f>
        <v>0</v>
      </c>
      <c r="P177" s="186"/>
    </row>
    <row r="178" spans="1:16" s="184" customFormat="1" ht="15" thickBot="1" x14ac:dyDescent="0.35">
      <c r="A178" s="777"/>
      <c r="B178" s="778"/>
      <c r="C178" s="779"/>
      <c r="D178" s="780"/>
      <c r="E178" s="781"/>
      <c r="F178" s="781"/>
      <c r="G178" s="781"/>
      <c r="H178" s="781"/>
      <c r="I178" s="781"/>
      <c r="J178" s="781"/>
      <c r="K178" s="781"/>
      <c r="L178" s="782"/>
      <c r="M178" s="783"/>
      <c r="N178" s="784" t="s">
        <v>2154</v>
      </c>
      <c r="O178" s="902">
        <f>O176+O177</f>
        <v>0</v>
      </c>
      <c r="P178" s="186"/>
    </row>
    <row r="179" spans="1:16" s="184" customFormat="1" ht="15" thickBot="1" x14ac:dyDescent="0.35">
      <c r="A179" s="911" t="s">
        <v>2141</v>
      </c>
      <c r="B179" s="893" t="s">
        <v>2018</v>
      </c>
      <c r="C179" s="643" t="s">
        <v>2117</v>
      </c>
      <c r="D179" s="541">
        <f>D$29</f>
        <v>450</v>
      </c>
      <c r="E179" s="541">
        <f>E$29</f>
        <v>1</v>
      </c>
      <c r="F179" s="541">
        <f>F$29</f>
        <v>450</v>
      </c>
      <c r="G179" s="655">
        <v>5</v>
      </c>
      <c r="H179" s="655" t="s">
        <v>2151</v>
      </c>
      <c r="I179" s="655">
        <v>79.3</v>
      </c>
      <c r="J179" s="655">
        <f>G179*I179</f>
        <v>396.5</v>
      </c>
      <c r="K179" s="767">
        <f>ROUNDUP(J179/F179,0)</f>
        <v>1</v>
      </c>
      <c r="L179" s="912">
        <f>G$29</f>
        <v>0</v>
      </c>
      <c r="M179" s="913">
        <f>H$29</f>
        <v>0.2</v>
      </c>
      <c r="N179" s="650">
        <v>1</v>
      </c>
      <c r="O179" s="896">
        <f>L179+(L179*M179)*N179</f>
        <v>0</v>
      </c>
      <c r="P179" s="186"/>
    </row>
    <row r="180" spans="1:16" s="184" customFormat="1" ht="15" thickBot="1" x14ac:dyDescent="0.35">
      <c r="A180" s="911" t="s">
        <v>2142</v>
      </c>
      <c r="B180" s="893" t="s">
        <v>2018</v>
      </c>
      <c r="C180" s="643" t="s">
        <v>2117</v>
      </c>
      <c r="D180" s="774">
        <f>D$34</f>
        <v>1000</v>
      </c>
      <c r="E180" s="774">
        <f>E$34</f>
        <v>1</v>
      </c>
      <c r="F180" s="774">
        <f>F$34</f>
        <v>1000</v>
      </c>
      <c r="G180" s="775">
        <v>1250</v>
      </c>
      <c r="H180" s="775">
        <v>1.79</v>
      </c>
      <c r="I180" s="775" t="s">
        <v>2151</v>
      </c>
      <c r="J180" s="788">
        <f>G180*H180*2</f>
        <v>4475</v>
      </c>
      <c r="K180" s="767">
        <f>ROUNDUP(J180/F180,0)</f>
        <v>5</v>
      </c>
      <c r="L180" s="904">
        <f>G$34</f>
        <v>0</v>
      </c>
      <c r="M180" s="905">
        <f>H$34</f>
        <v>0.2</v>
      </c>
      <c r="N180" s="776">
        <v>1</v>
      </c>
      <c r="O180" s="896">
        <f>L180+(L180*M180)*N180</f>
        <v>0</v>
      </c>
      <c r="P180" s="186"/>
    </row>
    <row r="181" spans="1:16" s="184" customFormat="1" ht="15" thickBot="1" x14ac:dyDescent="0.35">
      <c r="A181" s="777"/>
      <c r="B181" s="778"/>
      <c r="C181" s="779"/>
      <c r="D181" s="780"/>
      <c r="E181" s="781"/>
      <c r="F181" s="781"/>
      <c r="G181" s="781"/>
      <c r="H181" s="781"/>
      <c r="I181" s="781"/>
      <c r="J181" s="781"/>
      <c r="K181" s="781"/>
      <c r="L181" s="782"/>
      <c r="M181" s="783"/>
      <c r="N181" s="784" t="s">
        <v>2154</v>
      </c>
      <c r="O181" s="902">
        <f>O179+O180</f>
        <v>0</v>
      </c>
      <c r="P181" s="186"/>
    </row>
    <row r="182" spans="1:16" s="184" customFormat="1" ht="15" thickBot="1" x14ac:dyDescent="0.35">
      <c r="A182" s="911" t="s">
        <v>2144</v>
      </c>
      <c r="B182" s="893" t="s">
        <v>2018</v>
      </c>
      <c r="C182" s="643" t="s">
        <v>2117</v>
      </c>
      <c r="D182" s="541">
        <f>D$29</f>
        <v>450</v>
      </c>
      <c r="E182" s="541">
        <f>E$29</f>
        <v>1</v>
      </c>
      <c r="F182" s="541">
        <f>F$29</f>
        <v>450</v>
      </c>
      <c r="G182" s="655">
        <v>5</v>
      </c>
      <c r="H182" s="655" t="s">
        <v>2151</v>
      </c>
      <c r="I182" s="655">
        <v>79.3</v>
      </c>
      <c r="J182" s="655">
        <f>G182*I182</f>
        <v>396.5</v>
      </c>
      <c r="K182" s="767">
        <f>ROUNDUP(J182/F182,0)</f>
        <v>1</v>
      </c>
      <c r="L182" s="912">
        <f>G$29</f>
        <v>0</v>
      </c>
      <c r="M182" s="913">
        <f>H$29</f>
        <v>0.2</v>
      </c>
      <c r="N182" s="650">
        <v>1</v>
      </c>
      <c r="O182" s="896">
        <f>L182+(L182*M182)*N182</f>
        <v>0</v>
      </c>
      <c r="P182" s="186"/>
    </row>
    <row r="183" spans="1:16" s="184" customFormat="1" ht="15" thickBot="1" x14ac:dyDescent="0.35">
      <c r="A183" s="911" t="s">
        <v>2145</v>
      </c>
      <c r="B183" s="893" t="s">
        <v>2018</v>
      </c>
      <c r="C183" s="643" t="s">
        <v>2117</v>
      </c>
      <c r="D183" s="770">
        <f>D$38</f>
        <v>50</v>
      </c>
      <c r="E183" s="770">
        <f>E$38</f>
        <v>10</v>
      </c>
      <c r="F183" s="770">
        <f>F$38</f>
        <v>500</v>
      </c>
      <c r="G183" s="772">
        <v>25</v>
      </c>
      <c r="H183" s="772">
        <v>1.79</v>
      </c>
      <c r="I183" s="772" t="s">
        <v>2151</v>
      </c>
      <c r="J183" s="772">
        <f>G183*H183</f>
        <v>44.75</v>
      </c>
      <c r="K183" s="767">
        <f>ROUNDUP(J183/F183,0)</f>
        <v>1</v>
      </c>
      <c r="L183" s="899">
        <f>G$38/E$38</f>
        <v>16.542999999999999</v>
      </c>
      <c r="M183" s="900">
        <f>H$38</f>
        <v>0.2</v>
      </c>
      <c r="N183" s="773">
        <v>1</v>
      </c>
      <c r="O183" s="896">
        <f>L183+(L183*M183)*N183</f>
        <v>19.851599999999998</v>
      </c>
      <c r="P183" s="186"/>
    </row>
    <row r="184" spans="1:16" s="184" customFormat="1" ht="15" thickBot="1" x14ac:dyDescent="0.35">
      <c r="A184" s="777"/>
      <c r="B184" s="778"/>
      <c r="C184" s="779"/>
      <c r="D184" s="780"/>
      <c r="E184" s="781"/>
      <c r="F184" s="781"/>
      <c r="G184" s="781"/>
      <c r="H184" s="781"/>
      <c r="I184" s="781"/>
      <c r="J184" s="781"/>
      <c r="K184" s="781"/>
      <c r="L184" s="782"/>
      <c r="M184" s="783"/>
      <c r="N184" s="784" t="s">
        <v>2154</v>
      </c>
      <c r="O184" s="901">
        <f>O182+O183</f>
        <v>19.851599999999998</v>
      </c>
      <c r="P184" s="186"/>
    </row>
    <row r="185" spans="1:16" s="184" customFormat="1" ht="15" thickBot="1" x14ac:dyDescent="0.35">
      <c r="A185" s="911" t="s">
        <v>2147</v>
      </c>
      <c r="B185" s="893" t="s">
        <v>2018</v>
      </c>
      <c r="C185" s="643" t="s">
        <v>2117</v>
      </c>
      <c r="D185" s="541">
        <f>D$29</f>
        <v>450</v>
      </c>
      <c r="E185" s="541">
        <f>E$29</f>
        <v>1</v>
      </c>
      <c r="F185" s="541">
        <f>F$29</f>
        <v>450</v>
      </c>
      <c r="G185" s="655">
        <v>5</v>
      </c>
      <c r="H185" s="655" t="s">
        <v>2151</v>
      </c>
      <c r="I185" s="655">
        <v>79.3</v>
      </c>
      <c r="J185" s="655">
        <f>G185*I185</f>
        <v>396.5</v>
      </c>
      <c r="K185" s="767">
        <f>ROUNDUP(J185/F185,0)</f>
        <v>1</v>
      </c>
      <c r="L185" s="912">
        <f>G$29</f>
        <v>0</v>
      </c>
      <c r="M185" s="913">
        <f>H$29</f>
        <v>0.2</v>
      </c>
      <c r="N185" s="650">
        <v>1</v>
      </c>
      <c r="O185" s="896">
        <f>L185+(L185*M185)*N185</f>
        <v>0</v>
      </c>
      <c r="P185" s="186"/>
    </row>
    <row r="186" spans="1:16" s="184" customFormat="1" ht="15" thickBot="1" x14ac:dyDescent="0.35">
      <c r="A186" s="911" t="s">
        <v>2148</v>
      </c>
      <c r="B186" s="893" t="s">
        <v>2018</v>
      </c>
      <c r="C186" s="643" t="s">
        <v>2117</v>
      </c>
      <c r="D186" s="763">
        <f>D$33</f>
        <v>160</v>
      </c>
      <c r="E186" s="763">
        <f>E$33</f>
        <v>1</v>
      </c>
      <c r="F186" s="763">
        <f>F$33</f>
        <v>160</v>
      </c>
      <c r="G186" s="764">
        <v>75</v>
      </c>
      <c r="H186" s="764">
        <v>1.79</v>
      </c>
      <c r="I186" s="764" t="s">
        <v>2151</v>
      </c>
      <c r="J186" s="764">
        <f>G186*H186</f>
        <v>134.25</v>
      </c>
      <c r="K186" s="767">
        <f>ROUNDUP(J186/F186,0)</f>
        <v>1</v>
      </c>
      <c r="L186" s="909">
        <f>G$33</f>
        <v>17.32</v>
      </c>
      <c r="M186" s="910">
        <f>H$33</f>
        <v>0.2</v>
      </c>
      <c r="N186" s="765">
        <v>1</v>
      </c>
      <c r="O186" s="896">
        <f>L186+(L186*M186)*N186</f>
        <v>20.783999999999999</v>
      </c>
      <c r="P186" s="186"/>
    </row>
    <row r="187" spans="1:16" s="184" customFormat="1" ht="15" thickBot="1" x14ac:dyDescent="0.35">
      <c r="A187" s="777"/>
      <c r="B187" s="778"/>
      <c r="C187" s="779"/>
      <c r="D187" s="780"/>
      <c r="E187" s="781"/>
      <c r="F187" s="781"/>
      <c r="G187" s="781"/>
      <c r="H187" s="781"/>
      <c r="I187" s="781"/>
      <c r="J187" s="781"/>
      <c r="K187" s="781"/>
      <c r="L187" s="782"/>
      <c r="M187" s="783"/>
      <c r="N187" s="784" t="s">
        <v>2154</v>
      </c>
      <c r="O187" s="901">
        <f>O185+O186</f>
        <v>20.783999999999999</v>
      </c>
      <c r="P187" s="186"/>
    </row>
    <row r="188" spans="1:16" s="184" customFormat="1" ht="14.4" x14ac:dyDescent="0.3">
      <c r="A188" s="186"/>
      <c r="B188" s="186"/>
      <c r="C188" s="186"/>
      <c r="D188" s="186"/>
      <c r="E188" s="186"/>
      <c r="F188" s="186"/>
      <c r="G188" s="186"/>
      <c r="H188" s="186"/>
      <c r="I188" s="186"/>
      <c r="J188" s="301"/>
      <c r="K188" s="301"/>
      <c r="L188" s="301"/>
      <c r="M188" s="186"/>
      <c r="N188" s="186"/>
      <c r="O188" s="186"/>
      <c r="P188" s="186"/>
    </row>
    <row r="189" spans="1:16" s="184" customFormat="1" ht="14.4" x14ac:dyDescent="0.3">
      <c r="A189" s="186"/>
      <c r="B189" s="186"/>
      <c r="C189" s="925" t="s">
        <v>2162</v>
      </c>
      <c r="D189" s="927"/>
      <c r="E189" s="927"/>
      <c r="F189" s="927"/>
      <c r="G189" s="927"/>
      <c r="H189" s="926"/>
      <c r="I189" s="186"/>
      <c r="J189" s="301"/>
      <c r="K189" s="301"/>
      <c r="L189" s="301"/>
      <c r="M189" s="186"/>
      <c r="N189" s="186"/>
      <c r="O189" s="186"/>
      <c r="P189" s="186"/>
    </row>
    <row r="190" spans="1:16" s="184" customFormat="1" ht="14.4" x14ac:dyDescent="0.3">
      <c r="A190" s="186"/>
      <c r="B190" s="186"/>
      <c r="C190" s="925" t="s">
        <v>2163</v>
      </c>
      <c r="D190" s="926"/>
      <c r="E190" s="925" t="s">
        <v>2164</v>
      </c>
      <c r="F190" s="926"/>
      <c r="G190" s="925" t="s">
        <v>2110</v>
      </c>
      <c r="H190" s="926"/>
      <c r="I190" s="186"/>
      <c r="J190" s="301"/>
      <c r="K190" s="301"/>
      <c r="L190" s="301"/>
      <c r="M190" s="186"/>
      <c r="N190" s="186"/>
      <c r="O190" s="186"/>
      <c r="P190" s="186"/>
    </row>
    <row r="191" spans="1:16" s="184" customFormat="1" ht="29.4" thickBot="1" x14ac:dyDescent="0.35">
      <c r="A191" s="790" t="s">
        <v>2155</v>
      </c>
      <c r="B191" s="790" t="s">
        <v>2156</v>
      </c>
      <c r="C191" s="794" t="s">
        <v>2158</v>
      </c>
      <c r="D191" s="790" t="s">
        <v>2156</v>
      </c>
      <c r="E191" s="794" t="s">
        <v>2158</v>
      </c>
      <c r="F191" s="790" t="s">
        <v>2156</v>
      </c>
      <c r="G191" s="794" t="s">
        <v>2158</v>
      </c>
      <c r="H191" s="790" t="s">
        <v>2156</v>
      </c>
      <c r="I191" s="186"/>
      <c r="J191" s="301"/>
      <c r="K191" s="301"/>
      <c r="L191" s="301"/>
      <c r="M191" s="186"/>
      <c r="N191" s="186"/>
      <c r="O191" s="186"/>
      <c r="P191" s="186"/>
    </row>
    <row r="192" spans="1:16" s="184" customFormat="1" ht="14.4" x14ac:dyDescent="0.3">
      <c r="A192" s="789" t="s">
        <v>2159</v>
      </c>
      <c r="B192" s="791">
        <f>O163</f>
        <v>42.7</v>
      </c>
      <c r="C192" s="889">
        <v>0.1111111</v>
      </c>
      <c r="D192" s="663">
        <f>B192*C192</f>
        <v>4.7444439700000007</v>
      </c>
      <c r="E192" s="889">
        <v>0.11111111</v>
      </c>
      <c r="F192" s="663">
        <f>E192*B192</f>
        <v>4.7444443970000005</v>
      </c>
      <c r="G192" s="889">
        <v>0.11111111</v>
      </c>
      <c r="H192" s="663">
        <f>G192*B192</f>
        <v>4.7444443970000005</v>
      </c>
      <c r="I192" s="186"/>
      <c r="J192" s="301"/>
      <c r="K192" s="301"/>
      <c r="L192" s="301"/>
      <c r="M192" s="186"/>
      <c r="N192" s="186"/>
      <c r="O192" s="186"/>
      <c r="P192" s="186"/>
    </row>
    <row r="193" spans="1:16" s="184" customFormat="1" ht="14.4" x14ac:dyDescent="0.3">
      <c r="A193" s="662" t="s">
        <v>2160</v>
      </c>
      <c r="B193" s="791">
        <f>O166</f>
        <v>42.7</v>
      </c>
      <c r="C193" s="889">
        <v>0.11111111</v>
      </c>
      <c r="D193" s="663">
        <f t="shared" ref="D193:D200" si="8">B193*C193</f>
        <v>4.7444443970000005</v>
      </c>
      <c r="E193" s="889">
        <v>0.11111111</v>
      </c>
      <c r="F193" s="663">
        <f t="shared" ref="F193:F200" si="9">E193*B193</f>
        <v>4.7444443970000005</v>
      </c>
      <c r="G193" s="889">
        <v>0.11111111</v>
      </c>
      <c r="H193" s="663">
        <f t="shared" ref="H193:H200" si="10">G193*B193</f>
        <v>4.7444443970000005</v>
      </c>
      <c r="I193" s="186"/>
      <c r="J193" s="301"/>
      <c r="K193" s="301"/>
      <c r="L193" s="301"/>
      <c r="M193" s="186"/>
      <c r="N193" s="186"/>
      <c r="O193" s="186"/>
      <c r="P193" s="186"/>
    </row>
    <row r="194" spans="1:16" s="184" customFormat="1" ht="14.4" x14ac:dyDescent="0.3">
      <c r="A194" s="662" t="s">
        <v>2131</v>
      </c>
      <c r="B194" s="791">
        <f>O169</f>
        <v>62.551600000000001</v>
      </c>
      <c r="C194" s="889">
        <v>0.11111111</v>
      </c>
      <c r="D194" s="663">
        <f t="shared" si="8"/>
        <v>6.9501777082759997</v>
      </c>
      <c r="E194" s="889">
        <v>0.11111111</v>
      </c>
      <c r="F194" s="663">
        <f t="shared" si="9"/>
        <v>6.9501777082759997</v>
      </c>
      <c r="G194" s="889">
        <v>0.11111111</v>
      </c>
      <c r="H194" s="663">
        <f t="shared" si="10"/>
        <v>6.9501777082759997</v>
      </c>
      <c r="I194" s="186"/>
      <c r="J194" s="301"/>
      <c r="K194" s="301"/>
      <c r="L194" s="301"/>
      <c r="M194" s="186"/>
      <c r="N194" s="186"/>
      <c r="O194" s="186"/>
      <c r="P194" s="186"/>
    </row>
    <row r="195" spans="1:16" s="184" customFormat="1" ht="14.4" x14ac:dyDescent="0.3">
      <c r="A195" s="662" t="s">
        <v>2134</v>
      </c>
      <c r="B195" s="791">
        <f>O172</f>
        <v>63.484000000000002</v>
      </c>
      <c r="C195" s="889">
        <v>0.11111111</v>
      </c>
      <c r="D195" s="663">
        <f t="shared" si="8"/>
        <v>7.0537777072400001</v>
      </c>
      <c r="E195" s="889">
        <v>0.11111111</v>
      </c>
      <c r="F195" s="663">
        <f t="shared" si="9"/>
        <v>7.0537777072400001</v>
      </c>
      <c r="G195" s="889">
        <v>0.11111111</v>
      </c>
      <c r="H195" s="663">
        <f t="shared" si="10"/>
        <v>7.0537777072400001</v>
      </c>
      <c r="I195" s="186"/>
      <c r="J195" s="301"/>
      <c r="K195" s="301"/>
      <c r="L195" s="301"/>
      <c r="M195" s="186"/>
      <c r="N195" s="186"/>
      <c r="O195" s="186"/>
      <c r="P195" s="186"/>
    </row>
    <row r="196" spans="1:16" s="184" customFormat="1" ht="14.4" x14ac:dyDescent="0.3">
      <c r="A196" s="662" t="s">
        <v>2161</v>
      </c>
      <c r="B196" s="791">
        <f>O175</f>
        <v>0</v>
      </c>
      <c r="C196" s="889">
        <v>0.11111111</v>
      </c>
      <c r="D196" s="663">
        <f t="shared" si="8"/>
        <v>0</v>
      </c>
      <c r="E196" s="889">
        <v>0.11111111</v>
      </c>
      <c r="F196" s="663">
        <f t="shared" si="9"/>
        <v>0</v>
      </c>
      <c r="G196" s="889">
        <v>0.11111111</v>
      </c>
      <c r="H196" s="663">
        <f t="shared" si="10"/>
        <v>0</v>
      </c>
      <c r="I196" s="186"/>
      <c r="J196" s="301"/>
      <c r="K196" s="301"/>
      <c r="L196" s="301"/>
      <c r="M196" s="186"/>
      <c r="N196" s="186"/>
      <c r="O196" s="186"/>
      <c r="P196" s="186"/>
    </row>
    <row r="197" spans="1:16" s="184" customFormat="1" ht="14.4" x14ac:dyDescent="0.3">
      <c r="A197" s="662" t="s">
        <v>2137</v>
      </c>
      <c r="B197" s="791">
        <f>O178</f>
        <v>0</v>
      </c>
      <c r="C197" s="889">
        <v>0.11111111</v>
      </c>
      <c r="D197" s="663">
        <f t="shared" si="8"/>
        <v>0</v>
      </c>
      <c r="E197" s="889">
        <v>0.11111111</v>
      </c>
      <c r="F197" s="663">
        <f t="shared" si="9"/>
        <v>0</v>
      </c>
      <c r="G197" s="889">
        <v>0.11111111</v>
      </c>
      <c r="H197" s="663">
        <f t="shared" si="10"/>
        <v>0</v>
      </c>
      <c r="I197" s="186"/>
      <c r="J197" s="301"/>
      <c r="K197" s="301"/>
      <c r="L197" s="301"/>
      <c r="M197" s="186"/>
      <c r="N197" s="186"/>
      <c r="O197" s="186"/>
      <c r="P197" s="186"/>
    </row>
    <row r="198" spans="1:16" s="184" customFormat="1" ht="14.4" x14ac:dyDescent="0.3">
      <c r="A198" s="662" t="s">
        <v>2140</v>
      </c>
      <c r="B198" s="791">
        <f>O181</f>
        <v>0</v>
      </c>
      <c r="C198" s="889">
        <v>0.11111111</v>
      </c>
      <c r="D198" s="663">
        <f t="shared" si="8"/>
        <v>0</v>
      </c>
      <c r="E198" s="889">
        <v>0.11111111</v>
      </c>
      <c r="F198" s="663">
        <f t="shared" si="9"/>
        <v>0</v>
      </c>
      <c r="G198" s="889">
        <v>0.11111111</v>
      </c>
      <c r="H198" s="663">
        <f t="shared" si="10"/>
        <v>0</v>
      </c>
      <c r="I198" s="186"/>
      <c r="J198" s="301"/>
      <c r="K198" s="301"/>
      <c r="L198" s="301"/>
      <c r="M198" s="186"/>
      <c r="N198" s="186"/>
      <c r="O198" s="186"/>
      <c r="P198" s="186"/>
    </row>
    <row r="199" spans="1:16" s="184" customFormat="1" ht="14.4" x14ac:dyDescent="0.3">
      <c r="A199" s="662" t="s">
        <v>2143</v>
      </c>
      <c r="B199" s="791">
        <f>O184</f>
        <v>19.851599999999998</v>
      </c>
      <c r="C199" s="889">
        <v>0.11111111</v>
      </c>
      <c r="D199" s="663">
        <f t="shared" si="8"/>
        <v>2.2057333112759996</v>
      </c>
      <c r="E199" s="889">
        <v>0.11111111</v>
      </c>
      <c r="F199" s="663">
        <f t="shared" si="9"/>
        <v>2.2057333112759996</v>
      </c>
      <c r="G199" s="889">
        <v>0.11111111</v>
      </c>
      <c r="H199" s="663">
        <f t="shared" si="10"/>
        <v>2.2057333112759996</v>
      </c>
      <c r="I199" s="186"/>
      <c r="J199" s="301"/>
      <c r="K199" s="301"/>
      <c r="L199" s="301"/>
      <c r="M199" s="186"/>
      <c r="N199" s="186"/>
      <c r="O199" s="186"/>
      <c r="P199" s="186"/>
    </row>
    <row r="200" spans="1:16" s="184" customFormat="1" ht="14.4" x14ac:dyDescent="0.3">
      <c r="A200" s="662" t="s">
        <v>2146</v>
      </c>
      <c r="B200" s="791">
        <f>O187</f>
        <v>20.783999999999999</v>
      </c>
      <c r="C200" s="889">
        <v>0.11111111</v>
      </c>
      <c r="D200" s="663">
        <f t="shared" si="8"/>
        <v>2.30933331024</v>
      </c>
      <c r="E200" s="889">
        <v>0.11111111</v>
      </c>
      <c r="F200" s="663">
        <f t="shared" si="9"/>
        <v>2.30933331024</v>
      </c>
      <c r="G200" s="889">
        <v>0.11111111</v>
      </c>
      <c r="H200" s="663">
        <f t="shared" si="10"/>
        <v>2.30933331024</v>
      </c>
      <c r="I200" s="186"/>
      <c r="J200" s="301"/>
      <c r="K200" s="301"/>
      <c r="L200" s="301"/>
      <c r="M200" s="186"/>
      <c r="N200" s="186"/>
      <c r="O200" s="186"/>
      <c r="P200" s="186"/>
    </row>
    <row r="201" spans="1:16" s="184" customFormat="1" ht="14.4" x14ac:dyDescent="0.3">
      <c r="A201" s="186"/>
      <c r="B201" s="186"/>
      <c r="C201" s="793">
        <f t="shared" ref="C201:H201" si="11">SUM(C192:C200)</f>
        <v>0.99999997999999979</v>
      </c>
      <c r="D201" s="795">
        <f t="shared" si="11"/>
        <v>28.007910404032003</v>
      </c>
      <c r="E201" s="793">
        <f t="shared" si="11"/>
        <v>0.99999998999999984</v>
      </c>
      <c r="F201" s="795">
        <f t="shared" si="11"/>
        <v>28.007910831032</v>
      </c>
      <c r="G201" s="793">
        <f t="shared" si="11"/>
        <v>0.99999998999999984</v>
      </c>
      <c r="H201" s="795">
        <f t="shared" si="11"/>
        <v>28.007910831032</v>
      </c>
      <c r="I201" s="186"/>
      <c r="J201" s="301"/>
      <c r="K201" s="301"/>
      <c r="L201" s="301"/>
      <c r="M201" s="186"/>
      <c r="N201" s="186"/>
      <c r="O201" s="186"/>
      <c r="P201" s="186"/>
    </row>
    <row r="202" spans="1:16" s="184" customFormat="1" ht="14.4" x14ac:dyDescent="0.3">
      <c r="A202" s="186"/>
      <c r="B202" s="186"/>
      <c r="C202" s="186"/>
      <c r="D202" s="186"/>
      <c r="E202" s="186"/>
      <c r="F202" s="186"/>
      <c r="G202" s="186"/>
      <c r="H202" s="186"/>
      <c r="I202" s="186"/>
      <c r="J202" s="301"/>
      <c r="K202" s="301"/>
      <c r="L202" s="301"/>
      <c r="M202" s="186"/>
      <c r="N202" s="186"/>
      <c r="O202" s="186"/>
      <c r="P202" s="186"/>
    </row>
    <row r="203" spans="1:16" s="184" customFormat="1" ht="14.4" x14ac:dyDescent="0.3">
      <c r="A203" s="186"/>
      <c r="B203" s="186"/>
      <c r="C203" s="186"/>
      <c r="D203" s="186"/>
      <c r="E203" s="186"/>
      <c r="F203" s="186"/>
      <c r="G203" s="186"/>
      <c r="H203" s="186"/>
      <c r="I203" s="186"/>
      <c r="J203" s="301"/>
      <c r="K203" s="301"/>
      <c r="L203" s="301"/>
      <c r="M203" s="186"/>
      <c r="N203" s="186"/>
      <c r="O203" s="186"/>
      <c r="P203" s="186"/>
    </row>
    <row r="204" spans="1:16" s="4" customFormat="1" ht="13.8" x14ac:dyDescent="0.25">
      <c r="A204" s="153"/>
      <c r="B204" s="153"/>
      <c r="C204" s="153"/>
      <c r="D204" s="102"/>
      <c r="E204" s="154"/>
      <c r="F204" s="155"/>
      <c r="G204" s="5"/>
      <c r="H204" s="155"/>
      <c r="I204" s="155"/>
      <c r="J204" s="155"/>
      <c r="K204" s="155"/>
      <c r="L204" s="155"/>
      <c r="M204" s="155"/>
      <c r="N204" s="155"/>
      <c r="O204" s="155"/>
      <c r="P204" s="156"/>
    </row>
    <row r="205" spans="1:16" s="4" customFormat="1" ht="14.4" x14ac:dyDescent="0.3">
      <c r="A205" s="228" t="s">
        <v>1906</v>
      </c>
      <c r="B205" s="187" t="s">
        <v>1903</v>
      </c>
      <c r="C205" s="190" t="s">
        <v>1904</v>
      </c>
      <c r="D205" s="224"/>
      <c r="E205" s="225"/>
      <c r="F205" s="226"/>
      <c r="G205" s="227"/>
      <c r="H205" s="226"/>
      <c r="I205" s="227"/>
      <c r="J205" s="226"/>
      <c r="K205" s="229" t="s">
        <v>1905</v>
      </c>
      <c r="L205" s="155"/>
      <c r="M205" s="759"/>
      <c r="N205" s="760"/>
      <c r="O205" s="760"/>
      <c r="P205" s="761"/>
    </row>
    <row r="206" spans="1:16" s="4" customFormat="1" ht="14.4" x14ac:dyDescent="0.3">
      <c r="A206" s="305" t="s">
        <v>2207</v>
      </c>
      <c r="B206" s="658" t="s">
        <v>1907</v>
      </c>
      <c r="C206" s="829" t="s">
        <v>1908</v>
      </c>
      <c r="D206" s="830"/>
      <c r="E206" s="831"/>
      <c r="F206" s="832"/>
      <c r="G206" s="833"/>
      <c r="H206" s="833"/>
      <c r="I206" s="832"/>
      <c r="J206" s="834"/>
      <c r="K206" s="312">
        <v>154</v>
      </c>
      <c r="L206" s="155"/>
      <c r="M206" s="155"/>
      <c r="N206" s="155"/>
      <c r="O206" s="155"/>
      <c r="P206" s="156"/>
    </row>
    <row r="207" spans="1:16" s="4" customFormat="1" ht="14.4" x14ac:dyDescent="0.3">
      <c r="A207" s="305" t="s">
        <v>2206</v>
      </c>
      <c r="B207" s="429" t="s">
        <v>2205</v>
      </c>
      <c r="C207" s="307" t="s">
        <v>2208</v>
      </c>
      <c r="D207" s="313"/>
      <c r="E207" s="308"/>
      <c r="F207" s="309"/>
      <c r="G207" s="310"/>
      <c r="H207" s="310"/>
      <c r="I207" s="309"/>
      <c r="J207" s="311"/>
      <c r="K207" s="828">
        <v>340</v>
      </c>
      <c r="L207" s="155"/>
      <c r="M207" s="155"/>
      <c r="N207" s="155"/>
      <c r="O207" s="155"/>
      <c r="P207" s="156"/>
    </row>
    <row r="208" spans="1:16" s="4" customFormat="1" ht="14.4" x14ac:dyDescent="0.25">
      <c r="A208" s="702" t="s">
        <v>2221</v>
      </c>
      <c r="B208" s="5"/>
      <c r="C208" s="5"/>
      <c r="D208" s="5"/>
      <c r="E208" s="5"/>
      <c r="F208" s="5"/>
      <c r="G208" s="5"/>
      <c r="H208" s="5"/>
      <c r="I208" s="5"/>
      <c r="J208" s="5"/>
      <c r="K208" s="5"/>
      <c r="L208" s="155"/>
      <c r="M208" s="155"/>
      <c r="N208" s="155"/>
      <c r="O208" s="155"/>
      <c r="P208" s="156"/>
    </row>
    <row r="209" spans="1:16" s="4" customFormat="1" ht="14.4" x14ac:dyDescent="0.3">
      <c r="A209" s="162"/>
      <c r="B209" s="5"/>
      <c r="C209" s="153"/>
      <c r="D209" s="102"/>
      <c r="E209" s="154"/>
      <c r="F209" s="155"/>
      <c r="G209" s="5"/>
      <c r="H209" s="155"/>
      <c r="I209" s="155"/>
      <c r="J209" s="155"/>
      <c r="K209" s="155"/>
      <c r="L209" s="155"/>
      <c r="M209" s="155"/>
      <c r="N209" s="155"/>
      <c r="O209" s="155"/>
      <c r="P209" s="156"/>
    </row>
    <row r="210" spans="1:16" s="4" customFormat="1" ht="14.4" x14ac:dyDescent="0.3">
      <c r="A210" s="162"/>
      <c r="B210" s="5"/>
      <c r="C210" s="153"/>
      <c r="D210" s="102"/>
      <c r="E210" s="154"/>
      <c r="F210" s="155"/>
      <c r="G210" s="5"/>
      <c r="H210" s="155"/>
      <c r="I210" s="155"/>
      <c r="J210" s="155"/>
      <c r="K210" s="155"/>
      <c r="L210" s="155"/>
      <c r="M210" s="155"/>
      <c r="N210" s="155"/>
      <c r="O210" s="155"/>
      <c r="P210" s="156"/>
    </row>
    <row r="211" spans="1:16" s="4" customFormat="1" ht="14.4" x14ac:dyDescent="0.3">
      <c r="A211" s="228"/>
      <c r="B211" s="153"/>
      <c r="C211" s="153"/>
      <c r="D211" s="102"/>
      <c r="E211" s="154"/>
      <c r="F211" s="155"/>
      <c r="G211" s="5"/>
      <c r="H211" s="155"/>
      <c r="I211" s="155"/>
      <c r="J211" s="155"/>
      <c r="K211" s="155"/>
      <c r="L211" s="155"/>
      <c r="M211" s="155"/>
      <c r="N211" s="155"/>
      <c r="O211" s="155"/>
      <c r="P211" s="156"/>
    </row>
    <row r="212" spans="1:16" s="4" customFormat="1" ht="14.4" x14ac:dyDescent="0.3">
      <c r="A212" s="186"/>
      <c r="B212" s="186"/>
      <c r="C212" s="186"/>
      <c r="D212" s="186"/>
      <c r="E212" s="186"/>
      <c r="F212" s="186"/>
      <c r="G212" s="661"/>
      <c r="H212" s="661"/>
      <c r="I212" s="661"/>
      <c r="J212" s="161"/>
      <c r="K212" s="161"/>
      <c r="L212" s="155"/>
      <c r="M212" s="155"/>
      <c r="N212" s="155"/>
      <c r="O212" s="155"/>
      <c r="P212" s="156"/>
    </row>
  </sheetData>
  <sheetProtection algorithmName="SHA-512" hashValue="uMjF6t3Yxjbbajz+/kHWCKxjZYaHoLjfZ8CGGTnudnO6qRtAFejx/agE5jguAYirZn6aMu0LKG8OMpwdIHItTQ==" saltValue="uR7TQof4VFmz9euAqsy7DA==" spinCount="100000" sheet="1" objects="1" scenarios="1"/>
  <protectedRanges>
    <protectedRange sqref="A105 A121 A138 A155 A57 A73 A88" name="Range7"/>
  </protectedRanges>
  <mergeCells count="6">
    <mergeCell ref="A1:M1"/>
    <mergeCell ref="C190:D190"/>
    <mergeCell ref="G190:H190"/>
    <mergeCell ref="C189:H189"/>
    <mergeCell ref="E190:F190"/>
    <mergeCell ref="B7:H7"/>
  </mergeCells>
  <phoneticPr fontId="43" type="noConversion"/>
  <hyperlinks>
    <hyperlink ref="A56" r:id="rId1" display="Dosing as per Summary of Product Characteristics" xr:uid="{8A5DDA6B-56AF-4B15-AEA3-6C52022E0E73}"/>
    <hyperlink ref="A208" r:id="rId2" location="National-Tariff-Payment-System" xr:uid="{FD87E253-06EE-4FE4-AFA6-3074BB45CC18}"/>
    <hyperlink ref="A39" r:id="rId3" display="Drug costs from Gov.UK electronic market information tool (eMIT): online [accessed dd.mm.yy]" xr:uid="{6AC0B736-5B04-4A6E-8266-638AFC234BA0}"/>
    <hyperlink ref="A58" r:id="rId4" location="National-Tariff-Payment-System" display="Based on 2023-25 National Tariff Payment System –  24-25 prices" xr:uid="{20650065-B89E-4ADF-B46B-5A63D4BC1EA8}"/>
    <hyperlink ref="B7" r:id="rId5" display="Source; Health Survey for England, 2021." xr:uid="{C3767240-6E3B-4212-841E-F539978EB07D}"/>
    <hyperlink ref="B8" r:id="rId6" display="Source: https://pmc.ncbi.nlm.nih.gov/articles/PMC2812484/" xr:uid="{823A5B6C-DBDE-482B-AB59-EFCCAA185CFA}"/>
    <hyperlink ref="A72" r:id="rId7" display="Dosing as per Summary of Product Characteristics" xr:uid="{0614191C-200F-4077-BCE6-6231B845A6D9}"/>
    <hyperlink ref="A74" r:id="rId8" location="National-Tariff-Payment-System" display="Based on 2023-25 National Tariff Payment System –  24-25 prices" xr:uid="{9D99CB3B-01C3-4FE9-B6A3-510D3C5010F3}"/>
    <hyperlink ref="A104" r:id="rId9" display="Dosing as per Summary of Product Characteristics" xr:uid="{0ED35844-4965-48EB-9419-DBF552E72A87}"/>
    <hyperlink ref="A106" r:id="rId10" location="National-Tariff-Payment-System" display="Based on 2023-25 National Tariff Payment System –  24-25 prices" xr:uid="{0E740D2A-6A0A-413B-AC8A-5DEBE9B87ADE}"/>
    <hyperlink ref="A120" r:id="rId11" display="Dosing as per Summary of Product Characteristics" xr:uid="{0EE16C13-012A-40AA-B833-A472FA32B854}"/>
    <hyperlink ref="A122" r:id="rId12" location="National-Tariff-Payment-System" display="Based on 2023-25 National Tariff Payment System –  24-25 prices" xr:uid="{8AF167C9-B699-403C-B495-0E2BBD32C75C}"/>
    <hyperlink ref="A137" r:id="rId13" display="Dosing as per Summary of Product Characteristics" xr:uid="{3C47B21F-8268-43B0-A2A5-A1A2D3A8E533}"/>
    <hyperlink ref="A139" r:id="rId14" location="National-Tariff-Payment-System" display="Based on 2023-25 National Tariff Payment System –  24-25 prices" xr:uid="{8A8B2846-0026-436B-9EAC-50E558EBB3A4}"/>
    <hyperlink ref="A156" r:id="rId15" location="National-Tariff-Payment-System" display="Based on 2023-25 National Tariff Payment System –  24-25 prices" xr:uid="{A9B1D7C5-AB7A-4F2C-A792-99DF415EABC8}"/>
    <hyperlink ref="A154" r:id="rId16" display="Dosing as per Summary of Product Characteristics" xr:uid="{E558008E-25C2-40BA-BBB0-6C43DD30A128}"/>
    <hyperlink ref="A87" r:id="rId17" display="Dosing as per Summary of Product Characteristics" xr:uid="{998640DA-65E6-42B0-AE80-87DD5AEC14DD}"/>
    <hyperlink ref="A89" r:id="rId18" location="National-Tariff-Payment-System" display="Based on 2023-25 National Tariff Payment System –  24-25 prices" xr:uid="{40232AEA-090D-4812-BB7F-FA0F1AEA7DB4}"/>
  </hyperlinks>
  <pageMargins left="0.70866141732283472" right="0.70866141732283472" top="0.74803149606299213" bottom="0.74803149606299213" header="0.31496062992125984" footer="0.31496062992125984"/>
  <pageSetup paperSize="9" scale="35" orientation="portrait"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I133"/>
  <sheetViews>
    <sheetView showGridLines="0" zoomScale="80" zoomScaleNormal="80" workbookViewId="0"/>
  </sheetViews>
  <sheetFormatPr defaultRowHeight="14.4" x14ac:dyDescent="0.3"/>
  <cols>
    <col min="1" max="1" width="49.5546875" customWidth="1"/>
    <col min="2" max="2" width="70.44140625" customWidth="1"/>
    <col min="3" max="3" width="18.44140625" customWidth="1"/>
    <col min="4" max="4" width="16.5546875" customWidth="1"/>
    <col min="5" max="5" width="19" customWidth="1"/>
    <col min="6" max="6" width="17.44140625" customWidth="1"/>
    <col min="7" max="7" width="16.44140625" customWidth="1"/>
    <col min="8" max="8" width="16.88671875" customWidth="1"/>
    <col min="9" max="9" width="15.44140625" customWidth="1"/>
  </cols>
  <sheetData>
    <row r="1" spans="1:9" ht="30" customHeight="1" x14ac:dyDescent="0.3">
      <c r="A1" s="566" t="str">
        <f>'Population and treatments'!A1</f>
        <v>Treatments with chemotherapy before surgery (neoadjuvant) then alone after surgery (adjuvant) for treating resectable non-small-cell lung cancer</v>
      </c>
    </row>
    <row r="2" spans="1:9" ht="30" customHeight="1" x14ac:dyDescent="0.3">
      <c r="A2" s="565" t="s">
        <v>2033</v>
      </c>
      <c r="B2" s="138"/>
      <c r="C2" s="151"/>
      <c r="D2" s="151"/>
      <c r="E2" s="151"/>
      <c r="F2" s="151"/>
      <c r="G2" s="138"/>
      <c r="H2" s="138"/>
    </row>
    <row r="4" spans="1:9" x14ac:dyDescent="0.3">
      <c r="A4" s="610" t="s">
        <v>2063</v>
      </c>
      <c r="B4" s="599"/>
      <c r="C4" s="599"/>
      <c r="D4" s="599"/>
      <c r="E4" s="599"/>
      <c r="F4" s="599"/>
      <c r="G4" s="599"/>
      <c r="H4" s="600"/>
    </row>
    <row r="6" spans="1:9" x14ac:dyDescent="0.3">
      <c r="A6" s="152" t="s">
        <v>1880</v>
      </c>
      <c r="B6" s="452"/>
      <c r="C6" s="453"/>
      <c r="D6" s="587"/>
      <c r="E6" s="453"/>
      <c r="F6" s="453"/>
      <c r="G6" s="453"/>
      <c r="H6" s="544"/>
    </row>
    <row r="7" spans="1:9" x14ac:dyDescent="0.3">
      <c r="A7" s="569" t="s">
        <v>2209</v>
      </c>
      <c r="B7" s="136"/>
      <c r="D7" s="759"/>
      <c r="E7" s="737"/>
      <c r="F7" s="737"/>
      <c r="G7" s="737"/>
      <c r="H7" s="826"/>
    </row>
    <row r="8" spans="1:9" x14ac:dyDescent="0.3">
      <c r="A8" s="835" t="s">
        <v>2210</v>
      </c>
      <c r="B8" s="136"/>
      <c r="H8" s="142"/>
    </row>
    <row r="9" spans="1:9" x14ac:dyDescent="0.3">
      <c r="A9" s="569" t="s">
        <v>2214</v>
      </c>
      <c r="B9" s="136"/>
      <c r="H9" s="142"/>
    </row>
    <row r="10" spans="1:9" x14ac:dyDescent="0.3">
      <c r="A10" s="569" t="s">
        <v>2211</v>
      </c>
      <c r="B10" s="136"/>
      <c r="H10" s="142"/>
    </row>
    <row r="11" spans="1:9" x14ac:dyDescent="0.3">
      <c r="A11" s="569" t="s">
        <v>2213</v>
      </c>
      <c r="B11" s="136"/>
      <c r="H11" s="142"/>
    </row>
    <row r="12" spans="1:9" x14ac:dyDescent="0.3">
      <c r="A12" s="835" t="s">
        <v>2212</v>
      </c>
      <c r="B12" s="136"/>
      <c r="H12" s="142"/>
    </row>
    <row r="13" spans="1:9" x14ac:dyDescent="0.3">
      <c r="A13" s="570" t="s">
        <v>2245</v>
      </c>
      <c r="B13" s="136"/>
      <c r="H13" s="142"/>
    </row>
    <row r="14" spans="1:9" x14ac:dyDescent="0.3">
      <c r="A14" s="588"/>
      <c r="B14" s="147"/>
      <c r="C14" s="145"/>
      <c r="D14" s="145"/>
      <c r="E14" s="145"/>
      <c r="F14" s="145"/>
      <c r="G14" s="145"/>
      <c r="H14" s="146"/>
    </row>
    <row r="15" spans="1:9" x14ac:dyDescent="0.3">
      <c r="A15" s="590"/>
      <c r="B15" s="171"/>
      <c r="C15" s="171"/>
      <c r="D15" s="171"/>
      <c r="E15" s="171"/>
      <c r="F15" s="171"/>
      <c r="G15" s="171"/>
    </row>
    <row r="16" spans="1:9" ht="62.25" customHeight="1" x14ac:dyDescent="0.3">
      <c r="A16" s="589" t="s">
        <v>1873</v>
      </c>
      <c r="B16" s="533" t="s">
        <v>1874</v>
      </c>
      <c r="C16" s="534" t="str">
        <f>'Unit costs'!A13</f>
        <v>Nivolumab (neoadjuvant)</v>
      </c>
      <c r="D16" s="534" t="str">
        <f>'Unit costs'!A14</f>
        <v>Nivolumab (adjuvant) IV</v>
      </c>
      <c r="E16" s="534" t="str">
        <f>'Unit costs'!A15</f>
        <v>Nivolumab (adjuvant) Subcutaneous</v>
      </c>
      <c r="F16" s="534" t="str">
        <f>'Unit costs'!A16</f>
        <v>Durvalumab (neoadjuvant)</v>
      </c>
      <c r="G16" s="534" t="str">
        <f>'Unit costs'!A17</f>
        <v>Durvalumab (adjuvant)</v>
      </c>
      <c r="H16" s="534" t="str">
        <f>'Unit costs'!A18</f>
        <v>Pembrolizumab (neoadjuvant)</v>
      </c>
      <c r="I16" s="188" t="str">
        <f>'Unit costs'!A19</f>
        <v>Pembrolizumab (adjuvant)</v>
      </c>
    </row>
    <row r="17" spans="1:9" x14ac:dyDescent="0.3">
      <c r="A17" s="705" t="s">
        <v>1989</v>
      </c>
      <c r="B17" s="428" t="s">
        <v>2190</v>
      </c>
      <c r="C17" s="631">
        <v>1</v>
      </c>
      <c r="D17" s="631">
        <v>1</v>
      </c>
      <c r="E17" s="631">
        <v>1</v>
      </c>
      <c r="F17" s="631">
        <v>1</v>
      </c>
      <c r="G17" s="631">
        <v>1</v>
      </c>
      <c r="H17" s="631">
        <v>1</v>
      </c>
      <c r="I17" s="631">
        <v>1</v>
      </c>
    </row>
    <row r="18" spans="1:9" x14ac:dyDescent="0.3">
      <c r="A18" s="705" t="s">
        <v>1997</v>
      </c>
      <c r="B18" s="428" t="s">
        <v>1998</v>
      </c>
      <c r="C18" s="631">
        <v>20</v>
      </c>
      <c r="D18" s="631">
        <v>20</v>
      </c>
      <c r="E18" s="631">
        <v>20</v>
      </c>
      <c r="F18" s="631">
        <v>20</v>
      </c>
      <c r="G18" s="631">
        <v>20</v>
      </c>
      <c r="H18" s="631">
        <v>20</v>
      </c>
      <c r="I18" s="631">
        <v>20</v>
      </c>
    </row>
    <row r="19" spans="1:9" x14ac:dyDescent="0.3">
      <c r="A19" s="705" t="s">
        <v>1989</v>
      </c>
      <c r="B19" s="428" t="s">
        <v>1988</v>
      </c>
      <c r="C19" s="631">
        <v>3</v>
      </c>
      <c r="D19" s="631">
        <v>3</v>
      </c>
      <c r="E19" s="631">
        <v>3</v>
      </c>
      <c r="F19" s="631">
        <v>3</v>
      </c>
      <c r="G19" s="631">
        <v>3</v>
      </c>
      <c r="H19" s="631">
        <v>3</v>
      </c>
      <c r="I19" s="631">
        <v>3</v>
      </c>
    </row>
    <row r="20" spans="1:9" x14ac:dyDescent="0.3">
      <c r="A20" s="705" t="s">
        <v>1997</v>
      </c>
      <c r="B20" s="428" t="s">
        <v>1998</v>
      </c>
      <c r="C20" s="631">
        <v>20</v>
      </c>
      <c r="D20" s="631">
        <v>20</v>
      </c>
      <c r="E20" s="631">
        <v>20</v>
      </c>
      <c r="F20" s="631">
        <v>20</v>
      </c>
      <c r="G20" s="631">
        <v>20</v>
      </c>
      <c r="H20" s="631">
        <v>20</v>
      </c>
      <c r="I20" s="631">
        <v>20</v>
      </c>
    </row>
    <row r="21" spans="1:9" x14ac:dyDescent="0.3">
      <c r="A21" s="706" t="s">
        <v>2238</v>
      </c>
      <c r="B21" s="428" t="s">
        <v>2241</v>
      </c>
      <c r="C21" s="914"/>
      <c r="D21" s="914"/>
      <c r="E21" s="631">
        <v>13</v>
      </c>
      <c r="F21" s="914"/>
      <c r="G21" s="914"/>
      <c r="H21" s="914"/>
      <c r="I21" s="914"/>
    </row>
    <row r="22" spans="1:9" x14ac:dyDescent="0.3">
      <c r="A22" s="706" t="s">
        <v>2239</v>
      </c>
      <c r="B22" s="428" t="s">
        <v>2274</v>
      </c>
      <c r="C22" s="914"/>
      <c r="D22" s="914"/>
      <c r="E22" s="631"/>
      <c r="F22" s="914"/>
      <c r="G22" s="914"/>
      <c r="H22" s="914"/>
      <c r="I22" s="914"/>
    </row>
    <row r="23" spans="1:9" x14ac:dyDescent="0.3">
      <c r="A23" s="706" t="s">
        <v>2240</v>
      </c>
      <c r="B23" s="428" t="s">
        <v>2242</v>
      </c>
      <c r="C23" s="631">
        <v>4</v>
      </c>
      <c r="D23" s="631">
        <v>13</v>
      </c>
      <c r="E23" s="914"/>
      <c r="F23" s="631">
        <v>4</v>
      </c>
      <c r="G23" s="631">
        <v>12</v>
      </c>
      <c r="H23" s="631">
        <v>4</v>
      </c>
      <c r="I23" s="631">
        <v>7</v>
      </c>
    </row>
    <row r="24" spans="1:9" x14ac:dyDescent="0.3">
      <c r="A24" s="706" t="s">
        <v>2237</v>
      </c>
      <c r="B24" s="428" t="s">
        <v>2275</v>
      </c>
      <c r="C24" s="631">
        <v>30</v>
      </c>
      <c r="D24" s="631">
        <v>30</v>
      </c>
      <c r="E24" s="914"/>
      <c r="F24" s="631">
        <v>60</v>
      </c>
      <c r="G24" s="631">
        <v>60</v>
      </c>
      <c r="H24" s="631">
        <v>30</v>
      </c>
      <c r="I24" s="813">
        <v>30</v>
      </c>
    </row>
    <row r="25" spans="1:9" x14ac:dyDescent="0.3">
      <c r="A25" s="706" t="s">
        <v>2254</v>
      </c>
      <c r="B25" s="428" t="s">
        <v>2276</v>
      </c>
      <c r="C25" s="631"/>
      <c r="D25" s="631"/>
      <c r="E25" s="631"/>
      <c r="F25" s="631"/>
      <c r="G25" s="631"/>
      <c r="H25" s="631"/>
      <c r="I25" s="631"/>
    </row>
    <row r="26" spans="1:9" x14ac:dyDescent="0.3">
      <c r="A26" s="707" t="s">
        <v>1995</v>
      </c>
      <c r="B26" s="428" t="s">
        <v>1996</v>
      </c>
      <c r="C26" s="631"/>
      <c r="D26" s="631"/>
      <c r="E26" s="631"/>
      <c r="F26" s="631"/>
      <c r="G26" s="631"/>
      <c r="H26" s="631"/>
      <c r="I26" s="631"/>
    </row>
    <row r="27" spans="1:9" x14ac:dyDescent="0.3">
      <c r="A27" s="704"/>
      <c r="B27" s="171"/>
      <c r="C27" s="171"/>
      <c r="D27" s="171"/>
      <c r="E27" s="171"/>
    </row>
    <row r="28" spans="1:9" x14ac:dyDescent="0.3">
      <c r="A28" s="145"/>
      <c r="B28" s="147"/>
      <c r="C28" s="147"/>
      <c r="D28" s="147"/>
      <c r="E28" s="147"/>
      <c r="F28" s="147"/>
    </row>
    <row r="29" spans="1:9" ht="47.25" customHeight="1" x14ac:dyDescent="0.3">
      <c r="A29" s="708" t="s">
        <v>2191</v>
      </c>
      <c r="B29" s="709"/>
      <c r="C29" s="608" t="s">
        <v>2263</v>
      </c>
      <c r="D29" s="508" t="s">
        <v>2264</v>
      </c>
      <c r="E29" s="508" t="s">
        <v>2265</v>
      </c>
      <c r="F29" s="508" t="s">
        <v>2266</v>
      </c>
    </row>
    <row r="30" spans="1:9" x14ac:dyDescent="0.3">
      <c r="A30" s="577" t="str">
        <f>'Unit costs'!A13</f>
        <v>Nivolumab (neoadjuvant)</v>
      </c>
      <c r="B30" s="149"/>
      <c r="C30" s="527">
        <f>'Population and treatments'!I67</f>
        <v>800.95944068902611</v>
      </c>
      <c r="D30" s="527">
        <f>'Population and treatments'!J67</f>
        <v>612.49839582101993</v>
      </c>
      <c r="E30" s="527">
        <f>'Population and treatments'!K67</f>
        <v>565.38313460401844</v>
      </c>
      <c r="F30" s="527">
        <f>'Population and treatments'!L67</f>
        <v>541.82550399551769</v>
      </c>
    </row>
    <row r="31" spans="1:9" x14ac:dyDescent="0.3">
      <c r="A31" s="577" t="str">
        <f>'Unit costs'!A14</f>
        <v>Nivolumab (adjuvant) IV</v>
      </c>
      <c r="B31" s="149"/>
      <c r="C31" s="527">
        <f>'Population and treatments'!I70</f>
        <v>0</v>
      </c>
      <c r="D31" s="527">
        <f>'Population and treatments'!J70</f>
        <v>189.87450270451617</v>
      </c>
      <c r="E31" s="527">
        <f>'Population and treatments'!K70</f>
        <v>175.26877172724571</v>
      </c>
      <c r="F31" s="527">
        <f>'Population and treatments'!L70</f>
        <v>167.96590623861047</v>
      </c>
    </row>
    <row r="32" spans="1:9" x14ac:dyDescent="0.3">
      <c r="A32" s="577" t="str">
        <f>'Unit costs'!A15</f>
        <v>Nivolumab (adjuvant) Subcutaneous</v>
      </c>
      <c r="B32" s="149"/>
      <c r="C32" s="527">
        <f>'Population and treatments'!I71</f>
        <v>0</v>
      </c>
      <c r="D32" s="527">
        <f>'Population and treatments'!J71</f>
        <v>189.87450270451617</v>
      </c>
      <c r="E32" s="527">
        <f>'Population and treatments'!K71</f>
        <v>175.26877172724571</v>
      </c>
      <c r="F32" s="527">
        <f>'Population and treatments'!L71</f>
        <v>167.96590623861047</v>
      </c>
    </row>
    <row r="33" spans="1:6" x14ac:dyDescent="0.3">
      <c r="A33" s="577" t="str">
        <f>'Unit costs'!A16</f>
        <v>Durvalumab (neoadjuvant)</v>
      </c>
      <c r="B33" s="149"/>
      <c r="C33" s="527">
        <f>'Population and treatments'!I54</f>
        <v>23.557630608500769</v>
      </c>
      <c r="D33" s="527">
        <f>'Population and treatments'!J54</f>
        <v>235.57630608500767</v>
      </c>
      <c r="E33" s="527">
        <f>'Population and treatments'!K54</f>
        <v>353.36445912751151</v>
      </c>
      <c r="F33" s="527">
        <f>'Population and treatments'!L54</f>
        <v>541.82550399551769</v>
      </c>
    </row>
    <row r="34" spans="1:6" x14ac:dyDescent="0.3">
      <c r="A34" s="577" t="str">
        <f>'Unit costs'!A17</f>
        <v>Durvalumab (adjuvant)</v>
      </c>
      <c r="B34" s="149"/>
      <c r="C34" s="527">
        <f>'Population and treatments'!I72</f>
        <v>15.548036201610509</v>
      </c>
      <c r="D34" s="527">
        <f>'Population and treatments'!J72</f>
        <v>155.48036201610506</v>
      </c>
      <c r="E34" s="527">
        <f>'Population and treatments'!K72</f>
        <v>233.22054302415762</v>
      </c>
      <c r="F34" s="527">
        <f>'Population and treatments'!L72</f>
        <v>357.60483263704168</v>
      </c>
    </row>
    <row r="35" spans="1:6" x14ac:dyDescent="0.3">
      <c r="A35" s="577" t="str">
        <f>'Unit costs'!A18</f>
        <v>Pembrolizumab (neoadjuvant)</v>
      </c>
      <c r="B35" s="149"/>
      <c r="C35" s="839">
        <f>'Population and treatments'!I69</f>
        <v>235.57630608500767</v>
      </c>
      <c r="D35" s="839">
        <f>'Population and treatments'!J69</f>
        <v>353.36445912751151</v>
      </c>
      <c r="E35" s="839">
        <f>'Population and treatments'!K69</f>
        <v>494.71024277851609</v>
      </c>
      <c r="F35" s="839">
        <f>'Population and treatments'!L69</f>
        <v>541.82550399551769</v>
      </c>
    </row>
    <row r="36" spans="1:6" x14ac:dyDescent="0.3">
      <c r="A36" s="577" t="str">
        <f>'Unit costs'!A19</f>
        <v>Pembrolizumab (adjuvant)</v>
      </c>
      <c r="B36" s="149"/>
      <c r="C36" s="527">
        <f>'Population and treatments'!I73</f>
        <v>167.73032993252545</v>
      </c>
      <c r="D36" s="527">
        <f>'Population and treatments'!J73</f>
        <v>251.59549489878819</v>
      </c>
      <c r="E36" s="527">
        <f>'Population and treatments'!K73</f>
        <v>352.23369285830341</v>
      </c>
      <c r="F36" s="527">
        <f>'Population and treatments'!L73</f>
        <v>385.77975884480855</v>
      </c>
    </row>
    <row r="37" spans="1:6" x14ac:dyDescent="0.3">
      <c r="C37" s="202"/>
      <c r="D37" s="202"/>
      <c r="E37" s="202"/>
      <c r="F37" s="202"/>
    </row>
    <row r="38" spans="1:6" ht="47.25" customHeight="1" x14ac:dyDescent="0.3">
      <c r="A38" s="192" t="s">
        <v>1894</v>
      </c>
      <c r="B38" s="600"/>
      <c r="C38" s="608" t="s">
        <v>2263</v>
      </c>
      <c r="D38" s="508" t="s">
        <v>2264</v>
      </c>
      <c r="E38" s="508" t="s">
        <v>2265</v>
      </c>
      <c r="F38" s="508" t="s">
        <v>2266</v>
      </c>
    </row>
    <row r="39" spans="1:6" x14ac:dyDescent="0.3">
      <c r="A39" s="577" t="str">
        <f t="shared" ref="A39:A45" si="0">A30</f>
        <v>Nivolumab (neoadjuvant)</v>
      </c>
      <c r="B39" s="149"/>
      <c r="C39" s="527">
        <f>C30*'Unit costs'!$E$13</f>
        <v>3203.8377627561044</v>
      </c>
      <c r="D39" s="527">
        <f>D30*'Unit costs'!$E$13</f>
        <v>2449.9935832840797</v>
      </c>
      <c r="E39" s="527">
        <f>E30*'Unit costs'!$E$13</f>
        <v>2261.5325384160737</v>
      </c>
      <c r="F39" s="527">
        <f>F30*'Unit costs'!$E$13</f>
        <v>2167.3020159820708</v>
      </c>
    </row>
    <row r="40" spans="1:6" x14ac:dyDescent="0.3">
      <c r="A40" s="577" t="str">
        <f t="shared" si="0"/>
        <v>Nivolumab (adjuvant) IV</v>
      </c>
      <c r="B40" s="149"/>
      <c r="C40" s="527">
        <f>C31*'Unit costs'!$E$14</f>
        <v>0</v>
      </c>
      <c r="D40" s="527">
        <f>D31*'Unit costs'!$E$14</f>
        <v>2468.3685351587101</v>
      </c>
      <c r="E40" s="527">
        <f>E31*'Unit costs'!$E$14</f>
        <v>2278.494032454194</v>
      </c>
      <c r="F40" s="527">
        <f>F31*'Unit costs'!$E$14</f>
        <v>2183.5567811019359</v>
      </c>
    </row>
    <row r="41" spans="1:6" x14ac:dyDescent="0.3">
      <c r="A41" s="577" t="str">
        <f t="shared" si="0"/>
        <v>Nivolumab (adjuvant) Subcutaneous</v>
      </c>
      <c r="B41" s="149"/>
      <c r="C41" s="527">
        <f>C32*'Unit costs'!$E$15</f>
        <v>0</v>
      </c>
      <c r="D41" s="527">
        <f>D32*'Unit costs'!$E$15</f>
        <v>2468.3685351587101</v>
      </c>
      <c r="E41" s="527">
        <f>E32*'Unit costs'!$E$15</f>
        <v>2278.494032454194</v>
      </c>
      <c r="F41" s="527">
        <f>F32*'Unit costs'!$E$15</f>
        <v>2183.5567811019359</v>
      </c>
    </row>
    <row r="42" spans="1:6" x14ac:dyDescent="0.3">
      <c r="A42" s="577" t="str">
        <f t="shared" si="0"/>
        <v>Durvalumab (neoadjuvant)</v>
      </c>
      <c r="B42" s="149"/>
      <c r="C42" s="527">
        <f>C33*'Unit costs'!$E$16</f>
        <v>94.230522434003078</v>
      </c>
      <c r="D42" s="527">
        <f>D33*'Unit costs'!$E$16</f>
        <v>942.30522434003069</v>
      </c>
      <c r="E42" s="527">
        <f>E33*'Unit costs'!$E$16</f>
        <v>1413.457836510046</v>
      </c>
      <c r="F42" s="527">
        <f>F33*'Unit costs'!$E$16</f>
        <v>2167.3020159820708</v>
      </c>
    </row>
    <row r="43" spans="1:6" x14ac:dyDescent="0.3">
      <c r="A43" s="577" t="str">
        <f t="shared" si="0"/>
        <v>Durvalumab (adjuvant)</v>
      </c>
      <c r="B43" s="149"/>
      <c r="C43" s="527">
        <f>C34*'Unit costs'!$E$17</f>
        <v>186.57643441932612</v>
      </c>
      <c r="D43" s="527">
        <f>D34*'Unit costs'!$E$17</f>
        <v>1865.7643441932607</v>
      </c>
      <c r="E43" s="527">
        <f>E34*'Unit costs'!$E$17</f>
        <v>2798.6465162898912</v>
      </c>
      <c r="F43" s="527">
        <f>F34*'Unit costs'!$E$17</f>
        <v>4291.2579916445002</v>
      </c>
    </row>
    <row r="44" spans="1:6" x14ac:dyDescent="0.3">
      <c r="A44" s="577" t="str">
        <f t="shared" si="0"/>
        <v>Pembrolizumab (neoadjuvant)</v>
      </c>
      <c r="B44" s="149"/>
      <c r="C44" s="839">
        <f>C35*'Unit costs'!$E$18</f>
        <v>942.30522434003069</v>
      </c>
      <c r="D44" s="839">
        <f>D35*'Unit costs'!$E$18</f>
        <v>1413.457836510046</v>
      </c>
      <c r="E44" s="839">
        <f>E35*'Unit costs'!$E$18</f>
        <v>1978.8409711140644</v>
      </c>
      <c r="F44" s="839">
        <f>F35*'Unit costs'!$E$18</f>
        <v>2167.3020159820708</v>
      </c>
    </row>
    <row r="45" spans="1:6" x14ac:dyDescent="0.3">
      <c r="A45" s="577" t="str">
        <f t="shared" si="0"/>
        <v>Pembrolizumab (adjuvant)</v>
      </c>
      <c r="B45" s="149"/>
      <c r="C45" s="527">
        <f>C36*'Unit costs'!$E$19</f>
        <v>1174.1123095276782</v>
      </c>
      <c r="D45" s="527">
        <f>D36*'Unit costs'!$E$19</f>
        <v>1761.1684642915172</v>
      </c>
      <c r="E45" s="527">
        <f>E36*'Unit costs'!$E$19</f>
        <v>2465.6358500081237</v>
      </c>
      <c r="F45" s="527">
        <f>F36*'Unit costs'!$E$19</f>
        <v>2700.4583119136601</v>
      </c>
    </row>
    <row r="46" spans="1:6" x14ac:dyDescent="0.3">
      <c r="A46" s="578" t="s">
        <v>2012</v>
      </c>
      <c r="B46" s="149"/>
      <c r="C46" s="157">
        <f>SUM(C39:C45)</f>
        <v>5601.0622534771428</v>
      </c>
      <c r="D46" s="157">
        <f t="shared" ref="D46:F46" si="1">SUM(D39:D45)</f>
        <v>13369.426522936355</v>
      </c>
      <c r="E46" s="157">
        <f t="shared" si="1"/>
        <v>15475.101777246588</v>
      </c>
      <c r="F46" s="157">
        <f t="shared" si="1"/>
        <v>17860.735913708242</v>
      </c>
    </row>
    <row r="48" spans="1:6" ht="47.25" customHeight="1" x14ac:dyDescent="0.3">
      <c r="A48" s="592" t="s">
        <v>2199</v>
      </c>
      <c r="B48" s="593"/>
      <c r="C48" s="608" t="s">
        <v>2263</v>
      </c>
      <c r="D48" s="508" t="s">
        <v>2264</v>
      </c>
      <c r="E48" s="508" t="s">
        <v>2265</v>
      </c>
      <c r="F48" s="508" t="s">
        <v>2266</v>
      </c>
    </row>
    <row r="49" spans="1:6" x14ac:dyDescent="0.3">
      <c r="A49" s="591" t="str">
        <f t="shared" ref="A49:A55" si="2">A39</f>
        <v>Nivolumab (neoadjuvant)</v>
      </c>
      <c r="B49" s="146"/>
      <c r="C49" s="115">
        <f>$C$17*C30</f>
        <v>800.95944068902611</v>
      </c>
      <c r="D49" s="115">
        <f t="shared" ref="D49:F49" si="3">$C$17*D30</f>
        <v>612.49839582101993</v>
      </c>
      <c r="E49" s="115">
        <f t="shared" si="3"/>
        <v>565.38313460401844</v>
      </c>
      <c r="F49" s="115">
        <f t="shared" si="3"/>
        <v>541.82550399551769</v>
      </c>
    </row>
    <row r="50" spans="1:6" x14ac:dyDescent="0.3">
      <c r="A50" s="591" t="str">
        <f t="shared" si="2"/>
        <v>Nivolumab (adjuvant) IV</v>
      </c>
      <c r="B50" s="149"/>
      <c r="C50" s="115">
        <f>$D$17*C31</f>
        <v>0</v>
      </c>
      <c r="D50" s="115">
        <f t="shared" ref="D50:F50" si="4">$D$17*D31</f>
        <v>189.87450270451617</v>
      </c>
      <c r="E50" s="115">
        <f t="shared" si="4"/>
        <v>175.26877172724571</v>
      </c>
      <c r="F50" s="115">
        <f t="shared" si="4"/>
        <v>167.96590623861047</v>
      </c>
    </row>
    <row r="51" spans="1:6" x14ac:dyDescent="0.3">
      <c r="A51" s="591" t="str">
        <f t="shared" si="2"/>
        <v>Nivolumab (adjuvant) Subcutaneous</v>
      </c>
      <c r="B51" s="149"/>
      <c r="C51" s="115">
        <f>$E$17*C32</f>
        <v>0</v>
      </c>
      <c r="D51" s="115">
        <f t="shared" ref="D51:F51" si="5">$E$17*D32</f>
        <v>189.87450270451617</v>
      </c>
      <c r="E51" s="115">
        <f t="shared" si="5"/>
        <v>175.26877172724571</v>
      </c>
      <c r="F51" s="115">
        <f t="shared" si="5"/>
        <v>167.96590623861047</v>
      </c>
    </row>
    <row r="52" spans="1:6" x14ac:dyDescent="0.3">
      <c r="A52" s="591" t="str">
        <f t="shared" si="2"/>
        <v>Durvalumab (neoadjuvant)</v>
      </c>
      <c r="B52" s="149"/>
      <c r="C52" s="115">
        <f>$F$17*C33</f>
        <v>23.557630608500769</v>
      </c>
      <c r="D52" s="115">
        <f t="shared" ref="D52:F52" si="6">$F$17*D33</f>
        <v>235.57630608500767</v>
      </c>
      <c r="E52" s="115">
        <f t="shared" si="6"/>
        <v>353.36445912751151</v>
      </c>
      <c r="F52" s="115">
        <f t="shared" si="6"/>
        <v>541.82550399551769</v>
      </c>
    </row>
    <row r="53" spans="1:6" x14ac:dyDescent="0.3">
      <c r="A53" s="591" t="str">
        <f t="shared" si="2"/>
        <v>Durvalumab (adjuvant)</v>
      </c>
      <c r="B53" s="149"/>
      <c r="C53" s="115">
        <f>$G$17*C34</f>
        <v>15.548036201610509</v>
      </c>
      <c r="D53" s="115">
        <f t="shared" ref="D53:F53" si="7">$G$17*D34</f>
        <v>155.48036201610506</v>
      </c>
      <c r="E53" s="115">
        <f t="shared" si="7"/>
        <v>233.22054302415762</v>
      </c>
      <c r="F53" s="115">
        <f t="shared" si="7"/>
        <v>357.60483263704168</v>
      </c>
    </row>
    <row r="54" spans="1:6" x14ac:dyDescent="0.3">
      <c r="A54" s="591" t="str">
        <f t="shared" si="2"/>
        <v>Pembrolizumab (neoadjuvant)</v>
      </c>
      <c r="B54" s="149"/>
      <c r="C54" s="840">
        <f>$H$17*C35</f>
        <v>235.57630608500767</v>
      </c>
      <c r="D54" s="840">
        <f t="shared" ref="D54:F54" si="8">$H$17*D35</f>
        <v>353.36445912751151</v>
      </c>
      <c r="E54" s="840">
        <f t="shared" si="8"/>
        <v>494.71024277851609</v>
      </c>
      <c r="F54" s="840">
        <f t="shared" si="8"/>
        <v>541.82550399551769</v>
      </c>
    </row>
    <row r="55" spans="1:6" x14ac:dyDescent="0.3">
      <c r="A55" s="591" t="str">
        <f t="shared" si="2"/>
        <v>Pembrolizumab (adjuvant)</v>
      </c>
      <c r="B55" s="149"/>
      <c r="C55" s="115">
        <f>$I$17*C36</f>
        <v>167.73032993252545</v>
      </c>
      <c r="D55" s="115">
        <f t="shared" ref="D55:F55" si="9">$I$17*D36</f>
        <v>251.59549489878819</v>
      </c>
      <c r="E55" s="115">
        <f t="shared" si="9"/>
        <v>352.23369285830341</v>
      </c>
      <c r="F55" s="115">
        <f t="shared" si="9"/>
        <v>385.77975884480855</v>
      </c>
    </row>
    <row r="56" spans="1:6" x14ac:dyDescent="0.3">
      <c r="A56" s="578" t="s">
        <v>2202</v>
      </c>
      <c r="B56" s="149"/>
      <c r="C56" s="841">
        <f>SUM(C49:C55)</f>
        <v>1243.3717435166704</v>
      </c>
      <c r="D56" s="841">
        <f t="shared" ref="D56:F56" si="10">SUM(D49:D55)</f>
        <v>1988.2640233574648</v>
      </c>
      <c r="E56" s="841">
        <f t="shared" si="10"/>
        <v>2349.4496158469988</v>
      </c>
      <c r="F56" s="841">
        <f t="shared" si="10"/>
        <v>2704.7929159456244</v>
      </c>
    </row>
    <row r="58" spans="1:6" ht="47.25" customHeight="1" x14ac:dyDescent="0.3">
      <c r="A58" s="592" t="s">
        <v>2201</v>
      </c>
      <c r="B58" s="593"/>
      <c r="C58" s="608" t="s">
        <v>2263</v>
      </c>
      <c r="D58" s="508" t="s">
        <v>2264</v>
      </c>
      <c r="E58" s="508" t="s">
        <v>2265</v>
      </c>
      <c r="F58" s="508" t="s">
        <v>2266</v>
      </c>
    </row>
    <row r="59" spans="1:6" x14ac:dyDescent="0.3">
      <c r="A59" s="577" t="str">
        <f t="shared" ref="A59:A65" si="11">A49</f>
        <v>Nivolumab (neoadjuvant)</v>
      </c>
      <c r="B59" s="149"/>
      <c r="C59" s="115">
        <f>C49*$C$18/60</f>
        <v>266.98648022967535</v>
      </c>
      <c r="D59" s="115">
        <f t="shared" ref="D59:F59" si="12">D49*$C$18/60</f>
        <v>204.16613194033999</v>
      </c>
      <c r="E59" s="115">
        <f t="shared" si="12"/>
        <v>188.46104486800613</v>
      </c>
      <c r="F59" s="115">
        <f t="shared" si="12"/>
        <v>180.60850133183922</v>
      </c>
    </row>
    <row r="60" spans="1:6" x14ac:dyDescent="0.3">
      <c r="A60" s="577" t="str">
        <f t="shared" si="11"/>
        <v>Nivolumab (adjuvant) IV</v>
      </c>
      <c r="B60" s="149"/>
      <c r="C60" s="115">
        <f>C50*$D$18/60</f>
        <v>0</v>
      </c>
      <c r="D60" s="115">
        <f t="shared" ref="D60:F60" si="13">D50*$D$18/60</f>
        <v>63.291500901505394</v>
      </c>
      <c r="E60" s="115">
        <f t="shared" si="13"/>
        <v>58.422923909081902</v>
      </c>
      <c r="F60" s="115">
        <f t="shared" si="13"/>
        <v>55.98863541287016</v>
      </c>
    </row>
    <row r="61" spans="1:6" x14ac:dyDescent="0.3">
      <c r="A61" s="577" t="str">
        <f t="shared" si="11"/>
        <v>Nivolumab (adjuvant) Subcutaneous</v>
      </c>
      <c r="B61" s="149"/>
      <c r="C61" s="115">
        <f>C51*$E$18/60</f>
        <v>0</v>
      </c>
      <c r="D61" s="115">
        <f t="shared" ref="D61:F61" si="14">D51*$E$18/60</f>
        <v>63.291500901505394</v>
      </c>
      <c r="E61" s="115">
        <f t="shared" si="14"/>
        <v>58.422923909081902</v>
      </c>
      <c r="F61" s="115">
        <f t="shared" si="14"/>
        <v>55.98863541287016</v>
      </c>
    </row>
    <row r="62" spans="1:6" x14ac:dyDescent="0.3">
      <c r="A62" s="577" t="str">
        <f t="shared" si="11"/>
        <v>Durvalumab (neoadjuvant)</v>
      </c>
      <c r="B62" s="149"/>
      <c r="C62" s="115">
        <f>C52*$F$18/60</f>
        <v>7.8525435361669231</v>
      </c>
      <c r="D62" s="115">
        <f t="shared" ref="D62:F62" si="15">D52*$F$18/60</f>
        <v>78.525435361669224</v>
      </c>
      <c r="E62" s="115">
        <f t="shared" si="15"/>
        <v>117.78815304250384</v>
      </c>
      <c r="F62" s="115">
        <f t="shared" si="15"/>
        <v>180.60850133183922</v>
      </c>
    </row>
    <row r="63" spans="1:6" x14ac:dyDescent="0.3">
      <c r="A63" s="577" t="str">
        <f t="shared" si="11"/>
        <v>Durvalumab (adjuvant)</v>
      </c>
      <c r="B63" s="149"/>
      <c r="C63" s="115">
        <f>C53*$G$18/60</f>
        <v>5.1826787338701701</v>
      </c>
      <c r="D63" s="115">
        <f>D53*$G$18/60</f>
        <v>51.826787338701692</v>
      </c>
      <c r="E63" s="115">
        <f t="shared" ref="E63:F63" si="16">E53*$G$18/60</f>
        <v>77.740181008052545</v>
      </c>
      <c r="F63" s="115">
        <f t="shared" si="16"/>
        <v>119.2016108790139</v>
      </c>
    </row>
    <row r="64" spans="1:6" x14ac:dyDescent="0.3">
      <c r="A64" s="577" t="str">
        <f t="shared" si="11"/>
        <v>Pembrolizumab (neoadjuvant)</v>
      </c>
      <c r="B64" s="149"/>
      <c r="C64" s="840">
        <f>C54*$H$18/60</f>
        <v>78.525435361669224</v>
      </c>
      <c r="D64" s="840">
        <f t="shared" ref="D64:F64" si="17">D54*$H$18/60</f>
        <v>117.78815304250384</v>
      </c>
      <c r="E64" s="840">
        <f t="shared" si="17"/>
        <v>164.90341425950538</v>
      </c>
      <c r="F64" s="840">
        <f t="shared" si="17"/>
        <v>180.60850133183922</v>
      </c>
    </row>
    <row r="65" spans="1:6" x14ac:dyDescent="0.3">
      <c r="A65" s="577" t="str">
        <f t="shared" si="11"/>
        <v>Pembrolizumab (adjuvant)</v>
      </c>
      <c r="B65" s="149"/>
      <c r="C65" s="115">
        <f>C55*$I$18/60</f>
        <v>55.910109977508483</v>
      </c>
      <c r="D65" s="115">
        <f t="shared" ref="D65:E65" si="18">D55*$I$18/60</f>
        <v>83.865164966262725</v>
      </c>
      <c r="E65" s="115">
        <f t="shared" si="18"/>
        <v>117.4112309527678</v>
      </c>
      <c r="F65" s="115">
        <f>F55*$I$18/60</f>
        <v>128.59325294826951</v>
      </c>
    </row>
    <row r="66" spans="1:6" x14ac:dyDescent="0.3">
      <c r="A66" s="578" t="s">
        <v>2203</v>
      </c>
      <c r="B66" s="149"/>
      <c r="C66" s="157">
        <f>SUM(C59:C65)</f>
        <v>414.45724783889011</v>
      </c>
      <c r="D66" s="157">
        <f t="shared" ref="D66:F66" si="19">SUM(D59:D65)</f>
        <v>662.75467445248819</v>
      </c>
      <c r="E66" s="157">
        <f t="shared" si="19"/>
        <v>783.14987194899948</v>
      </c>
      <c r="F66" s="157">
        <f t="shared" si="19"/>
        <v>901.59763864854131</v>
      </c>
    </row>
    <row r="68" spans="1:6" ht="47.25" customHeight="1" x14ac:dyDescent="0.3">
      <c r="A68" s="592" t="s">
        <v>2200</v>
      </c>
      <c r="B68" s="593"/>
      <c r="C68" s="608" t="s">
        <v>2263</v>
      </c>
      <c r="D68" s="508" t="s">
        <v>2264</v>
      </c>
      <c r="E68" s="508" t="s">
        <v>2265</v>
      </c>
      <c r="F68" s="508" t="s">
        <v>2266</v>
      </c>
    </row>
    <row r="69" spans="1:6" x14ac:dyDescent="0.3">
      <c r="A69" s="591" t="str">
        <f t="shared" ref="A69:A75" si="20">A59</f>
        <v>Nivolumab (neoadjuvant)</v>
      </c>
      <c r="B69" s="146"/>
      <c r="C69" s="115">
        <f>$C$19*C30</f>
        <v>2402.8783220670784</v>
      </c>
      <c r="D69" s="115">
        <f t="shared" ref="D69:F69" si="21">$C$19*D30</f>
        <v>1837.4951874630597</v>
      </c>
      <c r="E69" s="115">
        <f t="shared" si="21"/>
        <v>1696.1494038120554</v>
      </c>
      <c r="F69" s="115">
        <f t="shared" si="21"/>
        <v>1625.4765119865531</v>
      </c>
    </row>
    <row r="70" spans="1:6" x14ac:dyDescent="0.3">
      <c r="A70" s="591" t="str">
        <f t="shared" si="20"/>
        <v>Nivolumab (adjuvant) IV</v>
      </c>
      <c r="B70" s="149"/>
      <c r="C70" s="115">
        <f>$D$19*C31</f>
        <v>0</v>
      </c>
      <c r="D70" s="115">
        <f t="shared" ref="D70:F70" si="22">$D$19*D31</f>
        <v>569.6235081135485</v>
      </c>
      <c r="E70" s="115">
        <f t="shared" si="22"/>
        <v>525.80631518173709</v>
      </c>
      <c r="F70" s="115">
        <f t="shared" si="22"/>
        <v>503.89771871583139</v>
      </c>
    </row>
    <row r="71" spans="1:6" x14ac:dyDescent="0.3">
      <c r="A71" s="591" t="str">
        <f t="shared" si="20"/>
        <v>Nivolumab (adjuvant) Subcutaneous</v>
      </c>
      <c r="B71" s="149"/>
      <c r="C71" s="115">
        <f>$E$19*C32</f>
        <v>0</v>
      </c>
      <c r="D71" s="115">
        <f t="shared" ref="D71:F71" si="23">$E$19*D32</f>
        <v>569.6235081135485</v>
      </c>
      <c r="E71" s="115">
        <f t="shared" si="23"/>
        <v>525.80631518173709</v>
      </c>
      <c r="F71" s="115">
        <f t="shared" si="23"/>
        <v>503.89771871583139</v>
      </c>
    </row>
    <row r="72" spans="1:6" x14ac:dyDescent="0.3">
      <c r="A72" s="591" t="str">
        <f t="shared" si="20"/>
        <v>Durvalumab (neoadjuvant)</v>
      </c>
      <c r="B72" s="149"/>
      <c r="C72" s="115">
        <f>$F$19*C33</f>
        <v>70.672891825502305</v>
      </c>
      <c r="D72" s="115">
        <f t="shared" ref="D72:F72" si="24">$F$19*D33</f>
        <v>706.72891825502302</v>
      </c>
      <c r="E72" s="115">
        <f t="shared" si="24"/>
        <v>1060.0933773825345</v>
      </c>
      <c r="F72" s="115">
        <f t="shared" si="24"/>
        <v>1625.4765119865531</v>
      </c>
    </row>
    <row r="73" spans="1:6" x14ac:dyDescent="0.3">
      <c r="A73" s="591" t="str">
        <f t="shared" si="20"/>
        <v>Durvalumab (adjuvant)</v>
      </c>
      <c r="B73" s="149"/>
      <c r="C73" s="115">
        <f>$G$19*C34</f>
        <v>46.64410860483153</v>
      </c>
      <c r="D73" s="115">
        <f t="shared" ref="D73:F73" si="25">$G$19*D34</f>
        <v>466.44108604831519</v>
      </c>
      <c r="E73" s="115">
        <f t="shared" si="25"/>
        <v>699.66162907247281</v>
      </c>
      <c r="F73" s="115">
        <f t="shared" si="25"/>
        <v>1072.814497911125</v>
      </c>
    </row>
    <row r="74" spans="1:6" x14ac:dyDescent="0.3">
      <c r="A74" s="591" t="str">
        <f t="shared" si="20"/>
        <v>Pembrolizumab (neoadjuvant)</v>
      </c>
      <c r="B74" s="149"/>
      <c r="C74" s="840">
        <f>$H$19*C35</f>
        <v>706.72891825502302</v>
      </c>
      <c r="D74" s="840">
        <f t="shared" ref="D74:F74" si="26">$H$19*D35</f>
        <v>1060.0933773825345</v>
      </c>
      <c r="E74" s="840">
        <f t="shared" si="26"/>
        <v>1484.1307283355482</v>
      </c>
      <c r="F74" s="840">
        <f t="shared" si="26"/>
        <v>1625.4765119865531</v>
      </c>
    </row>
    <row r="75" spans="1:6" x14ac:dyDescent="0.3">
      <c r="A75" s="591" t="str">
        <f t="shared" si="20"/>
        <v>Pembrolizumab (adjuvant)</v>
      </c>
      <c r="B75" s="149"/>
      <c r="C75" s="115">
        <f>$I$19*C36</f>
        <v>503.19098979757632</v>
      </c>
      <c r="D75" s="115">
        <f t="shared" ref="D75:E75" si="27">$I$19*D36</f>
        <v>754.7864846963646</v>
      </c>
      <c r="E75" s="115">
        <f t="shared" si="27"/>
        <v>1056.7010785749103</v>
      </c>
      <c r="F75" s="115">
        <f>$I$19*F36</f>
        <v>1157.3392765344256</v>
      </c>
    </row>
    <row r="76" spans="1:6" x14ac:dyDescent="0.3">
      <c r="A76" s="578" t="s">
        <v>2013</v>
      </c>
      <c r="B76" s="149"/>
      <c r="C76" s="157">
        <f>SUM(C69:C75)</f>
        <v>3730.1152305500118</v>
      </c>
      <c r="D76" s="157">
        <f t="shared" ref="D76:F76" si="28">SUM(D69:D75)</f>
        <v>5964.7920700723935</v>
      </c>
      <c r="E76" s="157">
        <f t="shared" si="28"/>
        <v>7048.3488475409958</v>
      </c>
      <c r="F76" s="157">
        <f t="shared" si="28"/>
        <v>8114.3787478368722</v>
      </c>
    </row>
    <row r="78" spans="1:6" ht="47.25" customHeight="1" x14ac:dyDescent="0.3">
      <c r="A78" s="592" t="s">
        <v>1999</v>
      </c>
      <c r="B78" s="593"/>
      <c r="C78" s="608" t="s">
        <v>2263</v>
      </c>
      <c r="D78" s="508" t="s">
        <v>2264</v>
      </c>
      <c r="E78" s="508" t="s">
        <v>2265</v>
      </c>
      <c r="F78" s="508" t="s">
        <v>2266</v>
      </c>
    </row>
    <row r="79" spans="1:6" x14ac:dyDescent="0.3">
      <c r="A79" s="577" t="str">
        <f t="shared" ref="A79:A85" si="29">A69</f>
        <v>Nivolumab (neoadjuvant)</v>
      </c>
      <c r="B79" s="149"/>
      <c r="C79" s="115">
        <f>C69*$C$20/60</f>
        <v>800.95944068902611</v>
      </c>
      <c r="D79" s="115">
        <f t="shared" ref="D79:F79" si="30">D69*$C$20/60</f>
        <v>612.49839582101993</v>
      </c>
      <c r="E79" s="115">
        <f t="shared" si="30"/>
        <v>565.38313460401844</v>
      </c>
      <c r="F79" s="115">
        <f t="shared" si="30"/>
        <v>541.82550399551769</v>
      </c>
    </row>
    <row r="80" spans="1:6" x14ac:dyDescent="0.3">
      <c r="A80" s="577" t="str">
        <f t="shared" si="29"/>
        <v>Nivolumab (adjuvant) IV</v>
      </c>
      <c r="B80" s="149"/>
      <c r="C80" s="115">
        <f>C70*$D$20/60</f>
        <v>0</v>
      </c>
      <c r="D80" s="115">
        <f t="shared" ref="D80:F80" si="31">D70*$D$20/60</f>
        <v>189.87450270451615</v>
      </c>
      <c r="E80" s="115">
        <f t="shared" si="31"/>
        <v>175.26877172724568</v>
      </c>
      <c r="F80" s="115">
        <f t="shared" si="31"/>
        <v>167.96590623861047</v>
      </c>
    </row>
    <row r="81" spans="1:6" x14ac:dyDescent="0.3">
      <c r="A81" s="577" t="str">
        <f t="shared" si="29"/>
        <v>Nivolumab (adjuvant) Subcutaneous</v>
      </c>
      <c r="B81" s="149"/>
      <c r="C81" s="115">
        <f>C71*$E$20/60</f>
        <v>0</v>
      </c>
      <c r="D81" s="115">
        <f t="shared" ref="D81:F81" si="32">D71*$E$20/60</f>
        <v>189.87450270451615</v>
      </c>
      <c r="E81" s="115">
        <f t="shared" si="32"/>
        <v>175.26877172724568</v>
      </c>
      <c r="F81" s="115">
        <f t="shared" si="32"/>
        <v>167.96590623861047</v>
      </c>
    </row>
    <row r="82" spans="1:6" x14ac:dyDescent="0.3">
      <c r="A82" s="577" t="str">
        <f t="shared" si="29"/>
        <v>Durvalumab (neoadjuvant)</v>
      </c>
      <c r="B82" s="149"/>
      <c r="C82" s="115">
        <f>C72*$F$20/60</f>
        <v>23.557630608500766</v>
      </c>
      <c r="D82" s="115">
        <f t="shared" ref="D82:F82" si="33">D72*$F$20/60</f>
        <v>235.57630608500767</v>
      </c>
      <c r="E82" s="115">
        <f t="shared" si="33"/>
        <v>353.36445912751151</v>
      </c>
      <c r="F82" s="115">
        <f t="shared" si="33"/>
        <v>541.82550399551769</v>
      </c>
    </row>
    <row r="83" spans="1:6" x14ac:dyDescent="0.3">
      <c r="A83" s="577" t="str">
        <f t="shared" si="29"/>
        <v>Durvalumab (adjuvant)</v>
      </c>
      <c r="B83" s="149"/>
      <c r="C83" s="115">
        <f>C73*$G$20/60</f>
        <v>15.548036201610509</v>
      </c>
      <c r="D83" s="115">
        <f t="shared" ref="D83:F83" si="34">D73*$G$20/60</f>
        <v>155.48036201610506</v>
      </c>
      <c r="E83" s="115">
        <f t="shared" si="34"/>
        <v>233.22054302415759</v>
      </c>
      <c r="F83" s="115">
        <f t="shared" si="34"/>
        <v>357.60483263704168</v>
      </c>
    </row>
    <row r="84" spans="1:6" x14ac:dyDescent="0.3">
      <c r="A84" s="577" t="str">
        <f t="shared" si="29"/>
        <v>Pembrolizumab (neoadjuvant)</v>
      </c>
      <c r="B84" s="149"/>
      <c r="C84" s="840">
        <f>C74*$H$20/60</f>
        <v>235.57630608500767</v>
      </c>
      <c r="D84" s="840">
        <f t="shared" ref="D84:E84" si="35">D74*$H$20/60</f>
        <v>353.36445912751151</v>
      </c>
      <c r="E84" s="840">
        <f t="shared" si="35"/>
        <v>494.71024277851603</v>
      </c>
      <c r="F84" s="840">
        <f>F74*$H$20/60</f>
        <v>541.82550399551769</v>
      </c>
    </row>
    <row r="85" spans="1:6" x14ac:dyDescent="0.3">
      <c r="A85" s="577" t="str">
        <f t="shared" si="29"/>
        <v>Pembrolizumab (adjuvant)</v>
      </c>
      <c r="B85" s="149"/>
      <c r="C85" s="115">
        <f>C75*$I$20/60</f>
        <v>167.73032993252545</v>
      </c>
      <c r="D85" s="115">
        <f t="shared" ref="D85:F85" si="36">D75*$I$20/60</f>
        <v>251.59549489878822</v>
      </c>
      <c r="E85" s="115">
        <f t="shared" si="36"/>
        <v>352.23369285830341</v>
      </c>
      <c r="F85" s="115">
        <f t="shared" si="36"/>
        <v>385.7797588448085</v>
      </c>
    </row>
    <row r="86" spans="1:6" x14ac:dyDescent="0.3">
      <c r="A86" s="578" t="s">
        <v>2014</v>
      </c>
      <c r="B86" s="149"/>
      <c r="C86" s="157">
        <f>SUM(C79:C85)</f>
        <v>1243.3717435166704</v>
      </c>
      <c r="D86" s="157">
        <f t="shared" ref="D86" si="37">SUM(D79:D85)</f>
        <v>1988.2640233574648</v>
      </c>
      <c r="E86" s="157">
        <f t="shared" ref="E86" si="38">SUM(E79:E85)</f>
        <v>2349.4496158469983</v>
      </c>
      <c r="F86" s="157">
        <f t="shared" ref="F86" si="39">SUM(F79:F85)</f>
        <v>2704.7929159456244</v>
      </c>
    </row>
    <row r="87" spans="1:6" x14ac:dyDescent="0.3">
      <c r="A87" s="578"/>
      <c r="B87" s="164"/>
      <c r="C87" s="827"/>
      <c r="D87" s="827"/>
      <c r="E87" s="827"/>
      <c r="F87" s="827"/>
    </row>
    <row r="88" spans="1:6" ht="47.25" customHeight="1" x14ac:dyDescent="0.3">
      <c r="A88" s="536" t="s">
        <v>2243</v>
      </c>
      <c r="B88" s="537"/>
      <c r="C88" s="608" t="s">
        <v>2263</v>
      </c>
      <c r="D88" s="508" t="s">
        <v>2264</v>
      </c>
      <c r="E88" s="508" t="s">
        <v>2265</v>
      </c>
      <c r="F88" s="508" t="s">
        <v>2266</v>
      </c>
    </row>
    <row r="89" spans="1:6" x14ac:dyDescent="0.3">
      <c r="A89" s="577" t="str">
        <f>A51</f>
        <v>Nivolumab (adjuvant) Subcutaneous</v>
      </c>
      <c r="B89" s="149"/>
      <c r="C89" s="115">
        <f>C32*$E21</f>
        <v>0</v>
      </c>
      <c r="D89" s="115">
        <f t="shared" ref="D89:F89" si="40">D32*$E21</f>
        <v>2468.3685351587101</v>
      </c>
      <c r="E89" s="115">
        <f t="shared" si="40"/>
        <v>2278.494032454194</v>
      </c>
      <c r="F89" s="115">
        <f t="shared" si="40"/>
        <v>2183.5567811019359</v>
      </c>
    </row>
    <row r="90" spans="1:6" x14ac:dyDescent="0.3">
      <c r="A90" s="578" t="s">
        <v>2015</v>
      </c>
      <c r="B90" s="149"/>
      <c r="C90" s="157">
        <f>SUM(C89:C89)</f>
        <v>0</v>
      </c>
      <c r="D90" s="157">
        <f>SUM(D89:D89)</f>
        <v>2468.3685351587101</v>
      </c>
      <c r="E90" s="157">
        <f>SUM(E89:E89)</f>
        <v>2278.494032454194</v>
      </c>
      <c r="F90" s="157">
        <f>SUM(F89:F89)</f>
        <v>2183.5567811019359</v>
      </c>
    </row>
    <row r="91" spans="1:6" x14ac:dyDescent="0.3">
      <c r="A91" s="474"/>
      <c r="B91" s="872"/>
      <c r="C91" s="873"/>
      <c r="D91" s="873"/>
      <c r="E91" s="873"/>
      <c r="F91" s="873"/>
    </row>
    <row r="92" spans="1:6" x14ac:dyDescent="0.3">
      <c r="A92" s="871"/>
      <c r="B92" s="145"/>
      <c r="C92" s="580"/>
      <c r="D92" s="580"/>
      <c r="E92" s="580"/>
      <c r="F92" s="580"/>
    </row>
    <row r="93" spans="1:6" ht="47.25" customHeight="1" x14ac:dyDescent="0.3">
      <c r="A93" s="536" t="s">
        <v>2244</v>
      </c>
      <c r="B93" s="537"/>
      <c r="C93" s="608" t="s">
        <v>2263</v>
      </c>
      <c r="D93" s="508" t="s">
        <v>2264</v>
      </c>
      <c r="E93" s="508" t="s">
        <v>2265</v>
      </c>
      <c r="F93" s="508" t="s">
        <v>2266</v>
      </c>
    </row>
    <row r="94" spans="1:6" x14ac:dyDescent="0.3">
      <c r="A94" s="577" t="str">
        <f>A56</f>
        <v>Total number of first attendance appointments</v>
      </c>
      <c r="B94" s="149"/>
      <c r="C94" s="115">
        <f>C41*$E22/60</f>
        <v>0</v>
      </c>
      <c r="D94" s="115">
        <f t="shared" ref="D94:F94" si="41">D41*$E22/60</f>
        <v>0</v>
      </c>
      <c r="E94" s="115">
        <f t="shared" si="41"/>
        <v>0</v>
      </c>
      <c r="F94" s="115">
        <f t="shared" si="41"/>
        <v>0</v>
      </c>
    </row>
    <row r="95" spans="1:6" x14ac:dyDescent="0.3">
      <c r="A95" s="578" t="s">
        <v>2015</v>
      </c>
      <c r="B95" s="149"/>
      <c r="C95" s="157">
        <f>SUM(C94:C94)</f>
        <v>0</v>
      </c>
      <c r="D95" s="157">
        <f>SUM(D94:D94)</f>
        <v>0</v>
      </c>
      <c r="E95" s="157">
        <f>SUM(E94:E94)</f>
        <v>0</v>
      </c>
      <c r="F95" s="157">
        <f>SUM(F94:F94)</f>
        <v>0</v>
      </c>
    </row>
    <row r="96" spans="1:6" x14ac:dyDescent="0.3">
      <c r="A96" s="578"/>
      <c r="C96" s="212"/>
      <c r="D96" s="827"/>
      <c r="E96" s="827"/>
      <c r="F96" s="827"/>
    </row>
    <row r="97" spans="1:7" ht="47.25" customHeight="1" x14ac:dyDescent="0.3">
      <c r="A97" s="536" t="s">
        <v>2246</v>
      </c>
      <c r="B97" s="537"/>
      <c r="C97" s="608" t="s">
        <v>2263</v>
      </c>
      <c r="D97" s="508" t="s">
        <v>2264</v>
      </c>
      <c r="E97" s="508" t="s">
        <v>2265</v>
      </c>
      <c r="F97" s="508" t="s">
        <v>2266</v>
      </c>
    </row>
    <row r="98" spans="1:7" ht="15" customHeight="1" x14ac:dyDescent="0.3">
      <c r="A98" s="870" t="str">
        <f>A30</f>
        <v>Nivolumab (neoadjuvant)</v>
      </c>
      <c r="B98" s="146"/>
      <c r="C98" s="527">
        <f>$C$23*C30</f>
        <v>3203.8377627561044</v>
      </c>
      <c r="D98" s="527">
        <f t="shared" ref="D98:F98" si="42">$C$23*D30</f>
        <v>2449.9935832840797</v>
      </c>
      <c r="E98" s="527">
        <f t="shared" si="42"/>
        <v>2261.5325384160737</v>
      </c>
      <c r="F98" s="527">
        <f t="shared" si="42"/>
        <v>2167.3020159820708</v>
      </c>
    </row>
    <row r="99" spans="1:7" ht="14.1" customHeight="1" x14ac:dyDescent="0.3">
      <c r="A99" s="870" t="str">
        <f>A31</f>
        <v>Nivolumab (adjuvant) IV</v>
      </c>
      <c r="B99" s="146"/>
      <c r="C99" s="527">
        <f>$D$23*C31</f>
        <v>0</v>
      </c>
      <c r="D99" s="527">
        <f t="shared" ref="D99:F99" si="43">$D$23*D31</f>
        <v>2468.3685351587101</v>
      </c>
      <c r="E99" s="527">
        <f t="shared" si="43"/>
        <v>2278.494032454194</v>
      </c>
      <c r="F99" s="527">
        <f t="shared" si="43"/>
        <v>2183.5567811019359</v>
      </c>
    </row>
    <row r="100" spans="1:7" ht="17.25" customHeight="1" x14ac:dyDescent="0.3">
      <c r="A100" s="870" t="str">
        <f>A33</f>
        <v>Durvalumab (neoadjuvant)</v>
      </c>
      <c r="B100" s="146"/>
      <c r="C100" s="527">
        <f>$F$23*C33</f>
        <v>94.230522434003078</v>
      </c>
      <c r="D100" s="527">
        <f t="shared" ref="D100:F100" si="44">$F$23*D33</f>
        <v>942.30522434003069</v>
      </c>
      <c r="E100" s="527">
        <f t="shared" si="44"/>
        <v>1413.457836510046</v>
      </c>
      <c r="F100" s="527">
        <f t="shared" si="44"/>
        <v>2167.3020159820708</v>
      </c>
    </row>
    <row r="101" spans="1:7" ht="17.25" customHeight="1" x14ac:dyDescent="0.3">
      <c r="A101" s="870" t="str">
        <f>A34</f>
        <v>Durvalumab (adjuvant)</v>
      </c>
      <c r="B101" s="146"/>
      <c r="C101" s="527">
        <f>$G$23*C34</f>
        <v>186.57643441932612</v>
      </c>
      <c r="D101" s="527">
        <f t="shared" ref="D101:F101" si="45">$G$23*D34</f>
        <v>1865.7643441932607</v>
      </c>
      <c r="E101" s="527">
        <f t="shared" si="45"/>
        <v>2798.6465162898912</v>
      </c>
      <c r="F101" s="527">
        <f t="shared" si="45"/>
        <v>4291.2579916445002</v>
      </c>
    </row>
    <row r="102" spans="1:7" ht="17.25" customHeight="1" x14ac:dyDescent="0.3">
      <c r="A102" s="870" t="str">
        <f>A35</f>
        <v>Pembrolizumab (neoadjuvant)</v>
      </c>
      <c r="B102" s="146"/>
      <c r="C102" s="527">
        <f>$H$23*C35</f>
        <v>942.30522434003069</v>
      </c>
      <c r="D102" s="527">
        <f t="shared" ref="D102:F102" si="46">$H$23*D35</f>
        <v>1413.457836510046</v>
      </c>
      <c r="E102" s="527">
        <f t="shared" si="46"/>
        <v>1978.8409711140644</v>
      </c>
      <c r="F102" s="527">
        <f t="shared" si="46"/>
        <v>2167.3020159820708</v>
      </c>
    </row>
    <row r="103" spans="1:7" ht="17.25" customHeight="1" x14ac:dyDescent="0.3">
      <c r="A103" s="870" t="str">
        <f>A36</f>
        <v>Pembrolizumab (adjuvant)</v>
      </c>
      <c r="B103" s="146"/>
      <c r="C103" s="527">
        <f>$I$23*C36</f>
        <v>1174.1123095276782</v>
      </c>
      <c r="D103" s="527">
        <f t="shared" ref="D103:F103" si="47">$I$23*D36</f>
        <v>1761.1684642915172</v>
      </c>
      <c r="E103" s="527">
        <f t="shared" si="47"/>
        <v>2465.6358500081237</v>
      </c>
      <c r="F103" s="527">
        <f t="shared" si="47"/>
        <v>2700.4583119136601</v>
      </c>
    </row>
    <row r="104" spans="1:7" ht="15.6" customHeight="1" x14ac:dyDescent="0.3">
      <c r="A104" s="578" t="s">
        <v>2251</v>
      </c>
      <c r="B104" s="149"/>
      <c r="C104" s="157">
        <f>SUM(C98:C103)</f>
        <v>5601.0622534771428</v>
      </c>
      <c r="D104" s="157">
        <f t="shared" ref="D104:F104" si="48">SUM(D98:D103)</f>
        <v>10901.057987777644</v>
      </c>
      <c r="E104" s="157">
        <f t="shared" si="48"/>
        <v>13196.607744792394</v>
      </c>
      <c r="F104" s="157">
        <f t="shared" si="48"/>
        <v>15677.179132606308</v>
      </c>
    </row>
    <row r="105" spans="1:7" ht="15.6" customHeight="1" x14ac:dyDescent="0.3">
      <c r="A105" s="578"/>
      <c r="B105" s="164"/>
      <c r="C105" s="164"/>
      <c r="D105" s="212"/>
      <c r="E105" s="212"/>
      <c r="F105" s="212"/>
      <c r="G105" s="212"/>
    </row>
    <row r="106" spans="1:7" ht="47.25" customHeight="1" x14ac:dyDescent="0.3">
      <c r="A106" s="536" t="s">
        <v>2252</v>
      </c>
      <c r="B106" s="537"/>
      <c r="C106" s="703" t="s">
        <v>2247</v>
      </c>
      <c r="D106" s="196" t="s">
        <v>2248</v>
      </c>
      <c r="E106" s="196" t="s">
        <v>2249</v>
      </c>
      <c r="F106" s="197" t="s">
        <v>2250</v>
      </c>
    </row>
    <row r="107" spans="1:7" ht="15" customHeight="1" x14ac:dyDescent="0.3">
      <c r="A107" s="870" t="str">
        <f>A98</f>
        <v>Nivolumab (neoadjuvant)</v>
      </c>
      <c r="B107" s="146"/>
      <c r="C107" s="527">
        <f>C98*$C$24/60</f>
        <v>1601.9188813780522</v>
      </c>
      <c r="D107" s="527">
        <f t="shared" ref="D107:F107" si="49">D98*$C$24/60</f>
        <v>1224.9967916420399</v>
      </c>
      <c r="E107" s="527">
        <f t="shared" si="49"/>
        <v>1130.7662692080369</v>
      </c>
      <c r="F107" s="527">
        <f t="shared" si="49"/>
        <v>1083.6510079910354</v>
      </c>
    </row>
    <row r="108" spans="1:7" ht="14.1" customHeight="1" x14ac:dyDescent="0.3">
      <c r="A108" s="870" t="str">
        <f t="shared" ref="A108:A112" si="50">A99</f>
        <v>Nivolumab (adjuvant) IV</v>
      </c>
      <c r="B108" s="146"/>
      <c r="C108" s="527">
        <f>C99*$D$24/60</f>
        <v>0</v>
      </c>
      <c r="D108" s="527">
        <f t="shared" ref="D108:F108" si="51">D99*$D$24/60</f>
        <v>1234.184267579355</v>
      </c>
      <c r="E108" s="527">
        <f t="shared" si="51"/>
        <v>1139.247016227097</v>
      </c>
      <c r="F108" s="527">
        <f t="shared" si="51"/>
        <v>1091.778390550968</v>
      </c>
    </row>
    <row r="109" spans="1:7" ht="17.25" customHeight="1" x14ac:dyDescent="0.3">
      <c r="A109" s="870" t="str">
        <f t="shared" si="50"/>
        <v>Durvalumab (neoadjuvant)</v>
      </c>
      <c r="B109" s="146"/>
      <c r="C109" s="527">
        <f>C100*$F$24/60</f>
        <v>94.230522434003078</v>
      </c>
      <c r="D109" s="527">
        <f t="shared" ref="D109:F109" si="52">D100*$F$24/60</f>
        <v>942.30522434003069</v>
      </c>
      <c r="E109" s="527">
        <f t="shared" si="52"/>
        <v>1413.457836510046</v>
      </c>
      <c r="F109" s="527">
        <f t="shared" si="52"/>
        <v>2167.3020159820708</v>
      </c>
    </row>
    <row r="110" spans="1:7" ht="17.25" customHeight="1" x14ac:dyDescent="0.3">
      <c r="A110" s="870" t="str">
        <f t="shared" si="50"/>
        <v>Durvalumab (adjuvant)</v>
      </c>
      <c r="B110" s="146"/>
      <c r="C110" s="527">
        <f>C101*$G$24/60</f>
        <v>186.57643441932612</v>
      </c>
      <c r="D110" s="527">
        <f t="shared" ref="D110:F110" si="53">D101*$G$24/60</f>
        <v>1865.7643441932607</v>
      </c>
      <c r="E110" s="527">
        <f t="shared" si="53"/>
        <v>2798.6465162898912</v>
      </c>
      <c r="F110" s="527">
        <f t="shared" si="53"/>
        <v>4291.2579916445002</v>
      </c>
    </row>
    <row r="111" spans="1:7" ht="17.25" customHeight="1" x14ac:dyDescent="0.3">
      <c r="A111" s="870" t="str">
        <f t="shared" si="50"/>
        <v>Pembrolizumab (neoadjuvant)</v>
      </c>
      <c r="B111" s="146"/>
      <c r="C111" s="527">
        <f>C102*$H$24/60</f>
        <v>471.15261217001535</v>
      </c>
      <c r="D111" s="527">
        <v>471.15261217001535</v>
      </c>
      <c r="E111" s="527">
        <v>471.15261217001535</v>
      </c>
      <c r="F111" s="527">
        <v>471.15261217001535</v>
      </c>
    </row>
    <row r="112" spans="1:7" ht="17.25" customHeight="1" x14ac:dyDescent="0.3">
      <c r="A112" s="870" t="str">
        <f t="shared" si="50"/>
        <v>Pembrolizumab (adjuvant)</v>
      </c>
      <c r="B112" s="146"/>
      <c r="C112" s="527">
        <f>C103*$I$24/60</f>
        <v>587.05615476383912</v>
      </c>
      <c r="D112" s="527">
        <f t="shared" ref="D112:F112" si="54">D103*$I$24/60</f>
        <v>880.58423214575862</v>
      </c>
      <c r="E112" s="527">
        <f t="shared" si="54"/>
        <v>1232.8179250040619</v>
      </c>
      <c r="F112" s="527">
        <f t="shared" si="54"/>
        <v>1350.22915595683</v>
      </c>
    </row>
    <row r="113" spans="1:6" ht="15.6" customHeight="1" x14ac:dyDescent="0.3">
      <c r="A113" s="578" t="s">
        <v>2253</v>
      </c>
      <c r="B113" s="149"/>
      <c r="C113" s="157">
        <f>SUM(C107:C110)</f>
        <v>1882.7258382313812</v>
      </c>
      <c r="D113" s="157">
        <f t="shared" ref="D113:F113" si="55">SUM(D107:D110)</f>
        <v>5267.2506277546863</v>
      </c>
      <c r="E113" s="157">
        <f t="shared" si="55"/>
        <v>6482.1176382350714</v>
      </c>
      <c r="F113" s="157">
        <f t="shared" si="55"/>
        <v>8633.9894061685736</v>
      </c>
    </row>
    <row r="114" spans="1:6" ht="15.6" customHeight="1" x14ac:dyDescent="0.3">
      <c r="A114" s="578"/>
      <c r="B114" s="164"/>
      <c r="C114" s="827"/>
      <c r="D114" s="827"/>
      <c r="E114" s="827"/>
      <c r="F114" s="827"/>
    </row>
    <row r="115" spans="1:6" ht="47.25" customHeight="1" x14ac:dyDescent="0.3">
      <c r="A115" s="536" t="s">
        <v>2022</v>
      </c>
      <c r="B115" s="537"/>
      <c r="C115" s="608" t="s">
        <v>2263</v>
      </c>
      <c r="D115" s="508" t="s">
        <v>2264</v>
      </c>
      <c r="E115" s="508" t="s">
        <v>2265</v>
      </c>
      <c r="F115" s="508" t="s">
        <v>2266</v>
      </c>
    </row>
    <row r="116" spans="1:6" x14ac:dyDescent="0.3">
      <c r="A116" s="577" t="str">
        <f t="shared" ref="A116:A122" si="56">A59</f>
        <v>Nivolumab (neoadjuvant)</v>
      </c>
      <c r="B116" s="149"/>
      <c r="C116" s="115">
        <f>C39*$C$25/60</f>
        <v>0</v>
      </c>
      <c r="D116" s="115">
        <f t="shared" ref="D116:F116" si="57">D39*$C$25/60</f>
        <v>0</v>
      </c>
      <c r="E116" s="115">
        <f t="shared" si="57"/>
        <v>0</v>
      </c>
      <c r="F116" s="115">
        <f t="shared" si="57"/>
        <v>0</v>
      </c>
    </row>
    <row r="117" spans="1:6" x14ac:dyDescent="0.3">
      <c r="A117" s="577" t="str">
        <f t="shared" si="56"/>
        <v>Nivolumab (adjuvant) IV</v>
      </c>
      <c r="B117" s="149"/>
      <c r="C117" s="115">
        <f>C40*$D$25/60</f>
        <v>0</v>
      </c>
      <c r="D117" s="115">
        <f t="shared" ref="D117:F117" si="58">D40*$D$25/60</f>
        <v>0</v>
      </c>
      <c r="E117" s="115">
        <f t="shared" si="58"/>
        <v>0</v>
      </c>
      <c r="F117" s="115">
        <f t="shared" si="58"/>
        <v>0</v>
      </c>
    </row>
    <row r="118" spans="1:6" x14ac:dyDescent="0.3">
      <c r="A118" s="577" t="str">
        <f t="shared" si="56"/>
        <v>Nivolumab (adjuvant) Subcutaneous</v>
      </c>
      <c r="B118" s="149"/>
      <c r="C118" s="115">
        <f>C41*$E$25/60</f>
        <v>0</v>
      </c>
      <c r="D118" s="115">
        <f t="shared" ref="D118:F118" si="59">D41*$E$25/60</f>
        <v>0</v>
      </c>
      <c r="E118" s="115">
        <f t="shared" si="59"/>
        <v>0</v>
      </c>
      <c r="F118" s="115">
        <f t="shared" si="59"/>
        <v>0</v>
      </c>
    </row>
    <row r="119" spans="1:6" x14ac:dyDescent="0.3">
      <c r="A119" s="577" t="str">
        <f t="shared" si="56"/>
        <v>Durvalumab (neoadjuvant)</v>
      </c>
      <c r="B119" s="149"/>
      <c r="C119" s="115">
        <f>C42*$F$25/60</f>
        <v>0</v>
      </c>
      <c r="D119" s="115">
        <f t="shared" ref="D119:F119" si="60">D42*$F$25/60</f>
        <v>0</v>
      </c>
      <c r="E119" s="115">
        <f t="shared" si="60"/>
        <v>0</v>
      </c>
      <c r="F119" s="115">
        <f t="shared" si="60"/>
        <v>0</v>
      </c>
    </row>
    <row r="120" spans="1:6" x14ac:dyDescent="0.3">
      <c r="A120" s="577" t="str">
        <f t="shared" si="56"/>
        <v>Durvalumab (adjuvant)</v>
      </c>
      <c r="B120" s="149"/>
      <c r="C120" s="115">
        <f>C43*$G$25/60</f>
        <v>0</v>
      </c>
      <c r="D120" s="115">
        <f t="shared" ref="D120:F120" si="61">D43*$G$25/60</f>
        <v>0</v>
      </c>
      <c r="E120" s="115">
        <f t="shared" si="61"/>
        <v>0</v>
      </c>
      <c r="F120" s="115">
        <f t="shared" si="61"/>
        <v>0</v>
      </c>
    </row>
    <row r="121" spans="1:6" x14ac:dyDescent="0.3">
      <c r="A121" s="577" t="str">
        <f t="shared" si="56"/>
        <v>Pembrolizumab (neoadjuvant)</v>
      </c>
      <c r="B121" s="149"/>
      <c r="C121" s="115">
        <f>C44*$H$25/60</f>
        <v>0</v>
      </c>
      <c r="D121" s="115">
        <f t="shared" ref="D121:F121" si="62">D44*$H$25/60</f>
        <v>0</v>
      </c>
      <c r="E121" s="115">
        <f t="shared" si="62"/>
        <v>0</v>
      </c>
      <c r="F121" s="115">
        <f t="shared" si="62"/>
        <v>0</v>
      </c>
    </row>
    <row r="122" spans="1:6" x14ac:dyDescent="0.3">
      <c r="A122" s="869" t="str">
        <f t="shared" si="56"/>
        <v>Pembrolizumab (adjuvant)</v>
      </c>
      <c r="B122" s="149"/>
      <c r="C122" s="115">
        <f>C45*$I$25/60</f>
        <v>0</v>
      </c>
      <c r="D122" s="115">
        <f t="shared" ref="D122:F122" si="63">D45*$I$25/60</f>
        <v>0</v>
      </c>
      <c r="E122" s="115">
        <f t="shared" si="63"/>
        <v>0</v>
      </c>
      <c r="F122" s="115">
        <f t="shared" si="63"/>
        <v>0</v>
      </c>
    </row>
    <row r="123" spans="1:6" x14ac:dyDescent="0.3">
      <c r="A123" s="874" t="s">
        <v>2015</v>
      </c>
      <c r="B123" s="149"/>
      <c r="C123" s="157">
        <f>SUM(C116:C122)</f>
        <v>0</v>
      </c>
      <c r="D123" s="157">
        <f>SUM(D116:D122)</f>
        <v>0</v>
      </c>
      <c r="E123" s="157">
        <f>SUM(E116:E122)</f>
        <v>0</v>
      </c>
      <c r="F123" s="157">
        <f>SUM(F116:F122)</f>
        <v>0</v>
      </c>
    </row>
    <row r="125" spans="1:6" ht="47.25" customHeight="1" x14ac:dyDescent="0.3">
      <c r="A125" s="538" t="s">
        <v>2023</v>
      </c>
      <c r="B125" s="539"/>
      <c r="C125" s="608" t="s">
        <v>2263</v>
      </c>
      <c r="D125" s="508" t="s">
        <v>2264</v>
      </c>
      <c r="E125" s="508" t="s">
        <v>2265</v>
      </c>
      <c r="F125" s="508" t="s">
        <v>2266</v>
      </c>
    </row>
    <row r="126" spans="1:6" x14ac:dyDescent="0.3">
      <c r="A126" s="577" t="str">
        <f>A30</f>
        <v>Nivolumab (neoadjuvant)</v>
      </c>
      <c r="B126" s="149"/>
      <c r="C126" s="115">
        <f>C39*$C$26/60</f>
        <v>0</v>
      </c>
      <c r="D126" s="115">
        <f>D39*$C$26/60</f>
        <v>0</v>
      </c>
      <c r="E126" s="115">
        <f>E39*$C$26/60</f>
        <v>0</v>
      </c>
      <c r="F126" s="115">
        <f>F39*$C$26/60</f>
        <v>0</v>
      </c>
    </row>
    <row r="127" spans="1:6" x14ac:dyDescent="0.3">
      <c r="A127" s="577" t="str">
        <f t="shared" ref="A127:A132" si="64">A31</f>
        <v>Nivolumab (adjuvant) IV</v>
      </c>
      <c r="B127" s="149"/>
      <c r="C127" s="115">
        <f>C40*$D$26/60</f>
        <v>0</v>
      </c>
      <c r="D127" s="115">
        <f>D40*$D$26/60</f>
        <v>0</v>
      </c>
      <c r="E127" s="115">
        <f>E40*$D$26/60</f>
        <v>0</v>
      </c>
      <c r="F127" s="115">
        <f>F40*$D$26/60</f>
        <v>0</v>
      </c>
    </row>
    <row r="128" spans="1:6" x14ac:dyDescent="0.3">
      <c r="A128" s="577" t="str">
        <f t="shared" si="64"/>
        <v>Nivolumab (adjuvant) Subcutaneous</v>
      </c>
      <c r="B128" s="149"/>
      <c r="C128" s="115">
        <f>C41*$E$26/60</f>
        <v>0</v>
      </c>
      <c r="D128" s="115">
        <f t="shared" ref="D128:F128" si="65">D41*$E$26/60</f>
        <v>0</v>
      </c>
      <c r="E128" s="115">
        <f t="shared" si="65"/>
        <v>0</v>
      </c>
      <c r="F128" s="115">
        <f t="shared" si="65"/>
        <v>0</v>
      </c>
    </row>
    <row r="129" spans="1:6" x14ac:dyDescent="0.3">
      <c r="A129" s="577" t="str">
        <f t="shared" si="64"/>
        <v>Durvalumab (neoadjuvant)</v>
      </c>
      <c r="B129" s="149"/>
      <c r="C129" s="115">
        <f>C42*$F$26/60</f>
        <v>0</v>
      </c>
      <c r="D129" s="115">
        <f>D42*$F$26/60</f>
        <v>0</v>
      </c>
      <c r="E129" s="115">
        <f>E42*$F$26/60</f>
        <v>0</v>
      </c>
      <c r="F129" s="115">
        <f>F42*$F$26/60</f>
        <v>0</v>
      </c>
    </row>
    <row r="130" spans="1:6" x14ac:dyDescent="0.3">
      <c r="A130" s="577" t="str">
        <f t="shared" si="64"/>
        <v>Durvalumab (adjuvant)</v>
      </c>
      <c r="B130" s="149"/>
      <c r="C130" s="115">
        <f>C43*$G$26/60</f>
        <v>0</v>
      </c>
      <c r="D130" s="115">
        <f>D43*$G$26/60</f>
        <v>0</v>
      </c>
      <c r="E130" s="115">
        <f>E43*$G$26/60</f>
        <v>0</v>
      </c>
      <c r="F130" s="115">
        <f>F43*$G$26/60</f>
        <v>0</v>
      </c>
    </row>
    <row r="131" spans="1:6" x14ac:dyDescent="0.3">
      <c r="A131" s="577" t="str">
        <f t="shared" si="64"/>
        <v>Pembrolizumab (neoadjuvant)</v>
      </c>
      <c r="B131" s="149"/>
      <c r="C131" s="840">
        <f>C44*$H$26/60</f>
        <v>0</v>
      </c>
      <c r="D131" s="840">
        <f>D44*$H$26/60</f>
        <v>0</v>
      </c>
      <c r="E131" s="840">
        <f>E44*$H$26/60</f>
        <v>0</v>
      </c>
      <c r="F131" s="840">
        <f>F44*$H$26/60</f>
        <v>0</v>
      </c>
    </row>
    <row r="132" spans="1:6" x14ac:dyDescent="0.3">
      <c r="A132" s="577" t="str">
        <f t="shared" si="64"/>
        <v>Pembrolizumab (adjuvant)</v>
      </c>
      <c r="B132" s="149"/>
      <c r="C132" s="840">
        <f>C45*$I$26/60</f>
        <v>0</v>
      </c>
      <c r="D132" s="840">
        <f t="shared" ref="D132:F132" si="66">D45*$I$26/60</f>
        <v>0</v>
      </c>
      <c r="E132" s="840">
        <f t="shared" si="66"/>
        <v>0</v>
      </c>
      <c r="F132" s="840">
        <f t="shared" si="66"/>
        <v>0</v>
      </c>
    </row>
    <row r="133" spans="1:6" x14ac:dyDescent="0.3">
      <c r="A133" s="578" t="s">
        <v>2015</v>
      </c>
      <c r="B133" s="149"/>
      <c r="C133" s="157">
        <f>SUM(C126:C132)</f>
        <v>0</v>
      </c>
      <c r="D133" s="157">
        <f t="shared" ref="D133:F133" si="67">SUM(D126:D132)</f>
        <v>0</v>
      </c>
      <c r="E133" s="157">
        <f t="shared" si="67"/>
        <v>0</v>
      </c>
      <c r="F133" s="157">
        <f t="shared" si="67"/>
        <v>0</v>
      </c>
    </row>
  </sheetData>
  <sheetProtection algorithmName="SHA-512" hashValue="h82N4hJEU4ytA/CAEKjt2UtbYWbaV2hE48GPP3TzQ+DKE/TRnRbBqFMn8kRkk7JbpbbGGr0MDBULJRZtfhyrTw==" saltValue="SvnVaB3ttHyGUX6dSaefOw==" spinCount="100000" sheet="1" objects="1" scenarios="1"/>
  <protectedRanges>
    <protectedRange sqref="G27:G29 C24:H24 C17:I23 C25:I26" name="Range1"/>
    <protectedRange sqref="A66 A46 A133 A123 A56 A86:A87 A76 A90:A92 A95:A96" name="Range1_1_1"/>
    <protectedRange sqref="A113:A114" name="Range1_1_1_2"/>
    <protectedRange sqref="A104:A105" name="Range1_1_1_3"/>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72"/>
  <sheetViews>
    <sheetView showGridLines="0" topLeftCell="A50" zoomScale="80" zoomScaleNormal="80" workbookViewId="0">
      <selection activeCell="A6" sqref="A6"/>
    </sheetView>
  </sheetViews>
  <sheetFormatPr defaultRowHeight="14.4" x14ac:dyDescent="0.3"/>
  <cols>
    <col min="1" max="1" width="37.44140625" customWidth="1"/>
    <col min="2" max="11" width="15.88671875" customWidth="1"/>
    <col min="12" max="12" width="5.109375" customWidth="1"/>
  </cols>
  <sheetData>
    <row r="1" spans="1:11" ht="30" customHeight="1" x14ac:dyDescent="0.3">
      <c r="A1" s="566" t="str">
        <f>'Population and treatments'!A1</f>
        <v>Treatments with chemotherapy before surgery (neoadjuvant) then alone after surgery (adjuvant) for treating resectable non-small-cell lung cancer</v>
      </c>
    </row>
    <row r="2" spans="1:11" ht="30" customHeight="1" x14ac:dyDescent="0.3">
      <c r="A2" s="565" t="s">
        <v>1881</v>
      </c>
      <c r="B2" s="138"/>
      <c r="C2" s="151"/>
      <c r="D2" s="151"/>
      <c r="E2" s="151"/>
      <c r="F2" s="138"/>
      <c r="G2" s="138"/>
      <c r="H2" s="138"/>
      <c r="I2" s="138"/>
      <c r="J2" s="138"/>
      <c r="K2" s="138"/>
    </row>
    <row r="3" spans="1:11" x14ac:dyDescent="0.3">
      <c r="A3" s="465"/>
      <c r="B3" s="452"/>
      <c r="C3" s="452"/>
      <c r="D3" s="452"/>
      <c r="E3" s="453"/>
      <c r="F3" s="453"/>
      <c r="G3" s="453"/>
      <c r="H3" s="453"/>
      <c r="I3" s="453"/>
      <c r="J3" s="453"/>
    </row>
    <row r="4" spans="1:11" x14ac:dyDescent="0.3">
      <c r="A4" s="610" t="s">
        <v>2067</v>
      </c>
      <c r="B4" s="599"/>
      <c r="C4" s="599"/>
      <c r="D4" s="599"/>
      <c r="E4" s="599"/>
      <c r="F4" s="599"/>
      <c r="G4" s="599"/>
      <c r="H4" s="599"/>
      <c r="I4" s="599"/>
      <c r="J4" s="599"/>
      <c r="K4" s="600"/>
    </row>
    <row r="5" spans="1:11" x14ac:dyDescent="0.3">
      <c r="B5" s="464"/>
      <c r="C5" s="464"/>
      <c r="D5" s="464"/>
      <c r="E5" s="133"/>
      <c r="F5" s="133"/>
      <c r="G5" s="133"/>
      <c r="H5" s="133"/>
      <c r="I5" s="133"/>
      <c r="J5" s="133"/>
    </row>
    <row r="6" spans="1:11" x14ac:dyDescent="0.3">
      <c r="A6" s="186"/>
      <c r="B6" s="464"/>
      <c r="C6" s="464"/>
      <c r="D6" s="464"/>
    </row>
    <row r="7" spans="1:11" x14ac:dyDescent="0.3">
      <c r="B7" s="466"/>
      <c r="C7" s="712"/>
      <c r="D7" s="712" t="s">
        <v>1882</v>
      </c>
      <c r="E7" s="712" t="s">
        <v>1882</v>
      </c>
      <c r="F7" s="468"/>
    </row>
    <row r="8" spans="1:11" ht="30.6" customHeight="1" x14ac:dyDescent="0.3">
      <c r="A8" s="188" t="s">
        <v>1883</v>
      </c>
      <c r="B8" s="188" t="str">
        <f>'Unit costs'!A13</f>
        <v>Nivolumab (neoadjuvant)</v>
      </c>
      <c r="C8" s="188" t="str">
        <f>'Unit costs'!A14</f>
        <v>Nivolumab (adjuvant) IV</v>
      </c>
      <c r="D8" s="188" t="str">
        <f>'Unit costs'!A16</f>
        <v>Durvalumab (neoadjuvant)</v>
      </c>
      <c r="E8" s="188" t="str">
        <f>'Unit costs'!A17</f>
        <v>Durvalumab (adjuvant)</v>
      </c>
      <c r="F8" s="188" t="str">
        <f>'Unit costs'!A19</f>
        <v>Pembrolizumab (adjuvant)</v>
      </c>
      <c r="G8" s="188" t="s">
        <v>1884</v>
      </c>
    </row>
    <row r="9" spans="1:11" ht="15.6" x14ac:dyDescent="0.3">
      <c r="A9" s="314" t="s">
        <v>1885</v>
      </c>
      <c r="B9" s="315">
        <v>0.01</v>
      </c>
      <c r="C9" s="315"/>
      <c r="D9" s="315"/>
      <c r="E9" s="315"/>
      <c r="F9" s="315"/>
      <c r="G9" s="203">
        <v>100</v>
      </c>
      <c r="H9" s="618" t="s">
        <v>2077</v>
      </c>
    </row>
    <row r="10" spans="1:11" x14ac:dyDescent="0.3">
      <c r="A10" s="314" t="s">
        <v>1886</v>
      </c>
      <c r="B10" s="315">
        <v>0.02</v>
      </c>
      <c r="C10" s="315"/>
      <c r="D10" s="315"/>
      <c r="E10" s="315"/>
      <c r="F10" s="315"/>
      <c r="G10" s="203">
        <v>100</v>
      </c>
    </row>
    <row r="11" spans="1:11" x14ac:dyDescent="0.3">
      <c r="A11" s="314" t="s">
        <v>1887</v>
      </c>
      <c r="B11" s="315">
        <v>0.01</v>
      </c>
      <c r="C11" s="315"/>
      <c r="D11" s="315"/>
      <c r="E11" s="315"/>
      <c r="F11" s="315"/>
      <c r="G11" s="203">
        <v>100</v>
      </c>
    </row>
    <row r="12" spans="1:11" x14ac:dyDescent="0.3">
      <c r="A12" s="314" t="s">
        <v>1888</v>
      </c>
      <c r="B12" s="315">
        <v>0.01</v>
      </c>
      <c r="C12" s="315"/>
      <c r="D12" s="315"/>
      <c r="E12" s="315"/>
      <c r="F12" s="315"/>
      <c r="G12" s="203">
        <v>100</v>
      </c>
    </row>
    <row r="13" spans="1:11" x14ac:dyDescent="0.3">
      <c r="A13" s="314" t="s">
        <v>1889</v>
      </c>
      <c r="B13" s="315">
        <v>0.01</v>
      </c>
      <c r="C13" s="315"/>
      <c r="D13" s="315"/>
      <c r="E13" s="315"/>
      <c r="F13" s="315"/>
      <c r="G13" s="203">
        <v>100</v>
      </c>
    </row>
    <row r="14" spans="1:11" x14ac:dyDescent="0.3">
      <c r="A14" s="186" t="s">
        <v>1890</v>
      </c>
      <c r="B14" s="464"/>
      <c r="C14" s="464"/>
      <c r="D14" s="464"/>
    </row>
    <row r="15" spans="1:11" x14ac:dyDescent="0.3">
      <c r="A15" s="186" t="s">
        <v>2068</v>
      </c>
      <c r="B15" s="464"/>
      <c r="C15" s="464"/>
      <c r="D15" s="464"/>
    </row>
    <row r="16" spans="1:11" x14ac:dyDescent="0.3">
      <c r="B16" s="464"/>
      <c r="C16" s="464"/>
      <c r="D16" s="464"/>
    </row>
    <row r="17" spans="1:11" ht="28.8" x14ac:dyDescent="0.3">
      <c r="A17" s="188" t="s">
        <v>2008</v>
      </c>
      <c r="B17" s="188" t="str">
        <f>B8</f>
        <v>Nivolumab (neoadjuvant)</v>
      </c>
      <c r="C17" s="188" t="str">
        <f t="shared" ref="C17:F17" si="0">C8</f>
        <v>Nivolumab (adjuvant) IV</v>
      </c>
      <c r="D17" s="188" t="str">
        <f t="shared" si="0"/>
        <v>Durvalumab (neoadjuvant)</v>
      </c>
      <c r="E17" s="188" t="str">
        <f t="shared" si="0"/>
        <v>Durvalumab (adjuvant)</v>
      </c>
      <c r="F17" s="188" t="str">
        <f t="shared" si="0"/>
        <v>Pembrolizumab (adjuvant)</v>
      </c>
      <c r="G17" s="188" t="s">
        <v>1986</v>
      </c>
    </row>
    <row r="18" spans="1:11" x14ac:dyDescent="0.3">
      <c r="A18" s="454" t="s">
        <v>1985</v>
      </c>
      <c r="B18" s="527">
        <f>SUM('Population and treatments'!$I$67:$I$68)</f>
        <v>824.51707129752685</v>
      </c>
      <c r="C18" s="527">
        <f>SUM('Population and treatments'!$I$69:$I$72)</f>
        <v>251.12434228661817</v>
      </c>
      <c r="D18" s="527" t="e">
        <f>SUM('Population and treatments'!#REF!)</f>
        <v>#REF!</v>
      </c>
      <c r="E18" s="527" t="e">
        <f>'Population and treatments'!#REF!</f>
        <v>#REF!</v>
      </c>
      <c r="F18" s="527" t="e">
        <f>'Population and treatments'!#REF!</f>
        <v>#REF!</v>
      </c>
      <c r="G18" s="157" t="e">
        <f>SUM(B18:F18)</f>
        <v>#REF!</v>
      </c>
    </row>
    <row r="19" spans="1:11" x14ac:dyDescent="0.3">
      <c r="A19" s="454" t="s">
        <v>1757</v>
      </c>
      <c r="B19" s="527">
        <f>SUM('Population and treatments'!$J$67:$J$68)</f>
        <v>848.0747019060276</v>
      </c>
      <c r="C19" s="527">
        <f>SUM('Population and treatments'!$J$69:$J$72)</f>
        <v>888.59382655264903</v>
      </c>
      <c r="D19" s="527" t="e">
        <f>SUM('Population and treatments'!#REF!)</f>
        <v>#REF!</v>
      </c>
      <c r="E19" s="527" t="e">
        <f>'Population and treatments'!#REF!</f>
        <v>#REF!</v>
      </c>
      <c r="F19" s="527" t="e">
        <f>'Population and treatments'!#REF!</f>
        <v>#REF!</v>
      </c>
      <c r="G19" s="157" t="e">
        <f t="shared" ref="G19:G21" si="1">SUM(B19:F19)</f>
        <v>#REF!</v>
      </c>
    </row>
    <row r="20" spans="1:11" x14ac:dyDescent="0.3">
      <c r="A20" s="525" t="s">
        <v>1758</v>
      </c>
      <c r="B20" s="527">
        <f>SUM('Population and treatments'!$K$67:$K$68)</f>
        <v>918.74759373152995</v>
      </c>
      <c r="C20" s="527">
        <f>SUM('Population and treatments'!$K$69:$K$72)</f>
        <v>1078.4683292571651</v>
      </c>
      <c r="D20" s="527" t="e">
        <f>SUM('Population and treatments'!#REF!)</f>
        <v>#REF!</v>
      </c>
      <c r="E20" s="527" t="e">
        <f>'Population and treatments'!#REF!</f>
        <v>#REF!</v>
      </c>
      <c r="F20" s="527" t="e">
        <f>'Population and treatments'!#REF!</f>
        <v>#REF!</v>
      </c>
      <c r="G20" s="157" t="e">
        <f t="shared" si="1"/>
        <v>#REF!</v>
      </c>
    </row>
    <row r="21" spans="1:11" x14ac:dyDescent="0.3">
      <c r="A21" s="525" t="s">
        <v>1759</v>
      </c>
      <c r="B21" s="527">
        <f>SUM('Population and treatments'!$L$67:$L$68)</f>
        <v>1083.6510079910354</v>
      </c>
      <c r="C21" s="527">
        <f>SUM('Population and treatments'!$L$69:$L$72)</f>
        <v>1235.3621491097804</v>
      </c>
      <c r="D21" s="527" t="e">
        <f>SUM('Population and treatments'!#REF!)</f>
        <v>#REF!</v>
      </c>
      <c r="E21" s="527" t="e">
        <f>'Population and treatments'!#REF!</f>
        <v>#REF!</v>
      </c>
      <c r="F21" s="527" t="e">
        <f>'Population and treatments'!#REF!</f>
        <v>#REF!</v>
      </c>
      <c r="G21" s="157" t="e">
        <f t="shared" si="1"/>
        <v>#REF!</v>
      </c>
    </row>
    <row r="22" spans="1:11" x14ac:dyDescent="0.3">
      <c r="B22" s="464"/>
      <c r="C22" s="464"/>
      <c r="D22" s="464"/>
    </row>
    <row r="23" spans="1:11" x14ac:dyDescent="0.3">
      <c r="B23" s="464"/>
      <c r="C23" s="464"/>
      <c r="D23" s="464"/>
    </row>
    <row r="24" spans="1:11" x14ac:dyDescent="0.3">
      <c r="B24" s="466" t="s">
        <v>2007</v>
      </c>
      <c r="C24" s="467"/>
      <c r="D24" s="467"/>
      <c r="E24" s="316"/>
      <c r="G24" s="466" t="s">
        <v>2070</v>
      </c>
      <c r="H24" s="467"/>
      <c r="I24" s="467"/>
      <c r="J24" s="467"/>
      <c r="K24" s="316"/>
    </row>
    <row r="25" spans="1:11" ht="28.8" x14ac:dyDescent="0.3">
      <c r="A25" s="713" t="s">
        <v>2069</v>
      </c>
      <c r="B25" s="703" t="s">
        <v>2040</v>
      </c>
      <c r="C25" s="196" t="s">
        <v>1850</v>
      </c>
      <c r="D25" s="196" t="s">
        <v>1851</v>
      </c>
      <c r="E25" s="197" t="s">
        <v>1910</v>
      </c>
      <c r="G25" s="188" t="s">
        <v>1987</v>
      </c>
      <c r="H25" s="703" t="s">
        <v>2040</v>
      </c>
      <c r="I25" s="196" t="s">
        <v>1850</v>
      </c>
      <c r="J25" s="196" t="s">
        <v>1851</v>
      </c>
      <c r="K25" s="197" t="s">
        <v>1910</v>
      </c>
    </row>
    <row r="26" spans="1:11" x14ac:dyDescent="0.3">
      <c r="A26" s="314" t="str">
        <f>A9</f>
        <v>Alanine aminotransferase increased</v>
      </c>
      <c r="B26" s="527" t="e">
        <f>B35+B43+B51+B59+B67</f>
        <v>#REF!</v>
      </c>
      <c r="C26" s="527" t="e">
        <f t="shared" ref="C26:E26" si="2">C35+C43+C51+C59+C67</f>
        <v>#REF!</v>
      </c>
      <c r="D26" s="527" t="e">
        <f t="shared" si="2"/>
        <v>#REF!</v>
      </c>
      <c r="E26" s="527" t="e">
        <f t="shared" si="2"/>
        <v>#REF!</v>
      </c>
      <c r="G26" s="203">
        <f>G9</f>
        <v>100</v>
      </c>
      <c r="H26" s="203" t="e">
        <f>H35+H43+H51+H59+H67</f>
        <v>#REF!</v>
      </c>
      <c r="I26" s="203" t="e">
        <f t="shared" ref="I26:J26" si="3">I35+I43+I51+I59+I67</f>
        <v>#REF!</v>
      </c>
      <c r="J26" s="203" t="e">
        <f t="shared" si="3"/>
        <v>#REF!</v>
      </c>
      <c r="K26" s="203" t="e">
        <f>K35+K43+K51+K59+K67</f>
        <v>#REF!</v>
      </c>
    </row>
    <row r="27" spans="1:11" x14ac:dyDescent="0.3">
      <c r="A27" s="314" t="str">
        <f t="shared" ref="A27:A30" si="4">A10</f>
        <v>Diarrhoea</v>
      </c>
      <c r="B27" s="527" t="e">
        <f t="shared" ref="B27:E30" si="5">B36+B44+B52+B60+B68</f>
        <v>#REF!</v>
      </c>
      <c r="C27" s="527" t="e">
        <f t="shared" si="5"/>
        <v>#REF!</v>
      </c>
      <c r="D27" s="527" t="e">
        <f t="shared" si="5"/>
        <v>#REF!</v>
      </c>
      <c r="E27" s="527" t="e">
        <f t="shared" si="5"/>
        <v>#REF!</v>
      </c>
      <c r="G27" s="203">
        <f>G10</f>
        <v>100</v>
      </c>
      <c r="H27" s="203" t="e">
        <f t="shared" ref="H27:J30" si="6">H36+H44+H52+H60+H68</f>
        <v>#REF!</v>
      </c>
      <c r="I27" s="203" t="e">
        <f t="shared" si="6"/>
        <v>#REF!</v>
      </c>
      <c r="J27" s="203" t="e">
        <f t="shared" si="6"/>
        <v>#REF!</v>
      </c>
      <c r="K27" s="203" t="e">
        <f t="shared" ref="K27" si="7">K36+K44+K52+K60+K68</f>
        <v>#REF!</v>
      </c>
    </row>
    <row r="28" spans="1:11" x14ac:dyDescent="0.3">
      <c r="A28" s="314" t="str">
        <f t="shared" si="4"/>
        <v>Leukopenia</v>
      </c>
      <c r="B28" s="527" t="e">
        <f t="shared" si="5"/>
        <v>#REF!</v>
      </c>
      <c r="C28" s="527" t="e">
        <f t="shared" si="5"/>
        <v>#REF!</v>
      </c>
      <c r="D28" s="527" t="e">
        <f t="shared" si="5"/>
        <v>#REF!</v>
      </c>
      <c r="E28" s="527" t="e">
        <f t="shared" si="5"/>
        <v>#REF!</v>
      </c>
      <c r="G28" s="203">
        <f>G11</f>
        <v>100</v>
      </c>
      <c r="H28" s="203" t="e">
        <f t="shared" si="6"/>
        <v>#REF!</v>
      </c>
      <c r="I28" s="203" t="e">
        <f t="shared" si="6"/>
        <v>#REF!</v>
      </c>
      <c r="J28" s="203" t="e">
        <f t="shared" si="6"/>
        <v>#REF!</v>
      </c>
      <c r="K28" s="203" t="e">
        <f t="shared" ref="K28" si="8">K37+K45+K53+K61+K69</f>
        <v>#REF!</v>
      </c>
    </row>
    <row r="29" spans="1:11" x14ac:dyDescent="0.3">
      <c r="A29" s="314" t="str">
        <f t="shared" si="4"/>
        <v>Lymphopenia</v>
      </c>
      <c r="B29" s="527" t="e">
        <f t="shared" si="5"/>
        <v>#REF!</v>
      </c>
      <c r="C29" s="527" t="e">
        <f t="shared" si="5"/>
        <v>#REF!</v>
      </c>
      <c r="D29" s="527" t="e">
        <f t="shared" si="5"/>
        <v>#REF!</v>
      </c>
      <c r="E29" s="527" t="e">
        <f t="shared" si="5"/>
        <v>#REF!</v>
      </c>
      <c r="G29" s="203">
        <f>G12</f>
        <v>100</v>
      </c>
      <c r="H29" s="203" t="e">
        <f t="shared" si="6"/>
        <v>#REF!</v>
      </c>
      <c r="I29" s="203" t="e">
        <f t="shared" si="6"/>
        <v>#REF!</v>
      </c>
      <c r="J29" s="203" t="e">
        <f t="shared" si="6"/>
        <v>#REF!</v>
      </c>
      <c r="K29" s="203" t="e">
        <f t="shared" ref="K29" si="9">K38+K46+K54+K62+K70</f>
        <v>#REF!</v>
      </c>
    </row>
    <row r="30" spans="1:11" x14ac:dyDescent="0.3">
      <c r="A30" s="314" t="str">
        <f t="shared" si="4"/>
        <v>Neutropenia</v>
      </c>
      <c r="B30" s="527" t="e">
        <f t="shared" si="5"/>
        <v>#REF!</v>
      </c>
      <c r="C30" s="527" t="e">
        <f t="shared" si="5"/>
        <v>#REF!</v>
      </c>
      <c r="D30" s="527" t="e">
        <f t="shared" si="5"/>
        <v>#REF!</v>
      </c>
      <c r="E30" s="527" t="e">
        <f t="shared" si="5"/>
        <v>#REF!</v>
      </c>
      <c r="G30" s="203">
        <f>G13</f>
        <v>100</v>
      </c>
      <c r="H30" s="203" t="e">
        <f t="shared" si="6"/>
        <v>#REF!</v>
      </c>
      <c r="I30" s="203" t="e">
        <f t="shared" si="6"/>
        <v>#REF!</v>
      </c>
      <c r="J30" s="203" t="e">
        <f t="shared" si="6"/>
        <v>#REF!</v>
      </c>
      <c r="K30" s="203" t="e">
        <f t="shared" ref="K30" si="10">K39+K47+K55+K63+K71</f>
        <v>#REF!</v>
      </c>
    </row>
    <row r="31" spans="1:11" x14ac:dyDescent="0.3">
      <c r="B31" s="526" t="e">
        <f>SUM(B26:B30)</f>
        <v>#REF!</v>
      </c>
      <c r="C31" s="526" t="e">
        <f t="shared" ref="C31:E31" si="11">SUM(C26:C30)</f>
        <v>#REF!</v>
      </c>
      <c r="D31" s="526" t="e">
        <f t="shared" si="11"/>
        <v>#REF!</v>
      </c>
      <c r="E31" s="526" t="e">
        <f t="shared" si="11"/>
        <v>#REF!</v>
      </c>
      <c r="H31" s="204" t="e">
        <f>SUM(H26:H30)</f>
        <v>#REF!</v>
      </c>
      <c r="I31" s="204" t="e">
        <f t="shared" ref="I31:K31" si="12">SUM(I26:I30)</f>
        <v>#REF!</v>
      </c>
      <c r="J31" s="204" t="e">
        <f t="shared" si="12"/>
        <v>#REF!</v>
      </c>
      <c r="K31" s="204" t="e">
        <f t="shared" si="12"/>
        <v>#REF!</v>
      </c>
    </row>
    <row r="32" spans="1:11" x14ac:dyDescent="0.3">
      <c r="B32" s="464"/>
      <c r="C32" s="464"/>
      <c r="D32" s="464"/>
    </row>
    <row r="34" spans="1:12" ht="28.8" x14ac:dyDescent="0.3">
      <c r="A34" s="133" t="str">
        <f>B8</f>
        <v>Nivolumab (neoadjuvant)</v>
      </c>
      <c r="B34" s="703" t="s">
        <v>2040</v>
      </c>
      <c r="C34" s="196" t="s">
        <v>1850</v>
      </c>
      <c r="D34" s="196" t="s">
        <v>1851</v>
      </c>
      <c r="E34" s="197" t="s">
        <v>1910</v>
      </c>
      <c r="G34" s="188" t="s">
        <v>1987</v>
      </c>
      <c r="H34" s="703" t="s">
        <v>2040</v>
      </c>
      <c r="I34" s="196" t="s">
        <v>1850</v>
      </c>
      <c r="J34" s="196" t="s">
        <v>1851</v>
      </c>
      <c r="K34" s="197" t="s">
        <v>1910</v>
      </c>
    </row>
    <row r="35" spans="1:12" x14ac:dyDescent="0.3">
      <c r="A35" s="314" t="s">
        <v>1885</v>
      </c>
      <c r="B35" s="115">
        <f>$B$18*$B9</f>
        <v>8.245170712975268</v>
      </c>
      <c r="C35" s="115">
        <f>$B$19*$B9</f>
        <v>8.4807470190602761</v>
      </c>
      <c r="D35" s="115">
        <f>$B$20*$B9</f>
        <v>9.1874759373153001</v>
      </c>
      <c r="E35" s="115">
        <f>$B$21*$B9</f>
        <v>10.836510079910354</v>
      </c>
      <c r="G35" s="203">
        <f>G9</f>
        <v>100</v>
      </c>
      <c r="H35" s="203">
        <f t="shared" ref="H35:K39" si="13">B35*$G35/1000</f>
        <v>0.82451707129752683</v>
      </c>
      <c r="I35" s="203">
        <f t="shared" si="13"/>
        <v>0.84807470190602763</v>
      </c>
      <c r="J35" s="203">
        <f t="shared" si="13"/>
        <v>0.91874759373153003</v>
      </c>
      <c r="K35" s="203">
        <f t="shared" si="13"/>
        <v>1.0836510079910353</v>
      </c>
    </row>
    <row r="36" spans="1:12" x14ac:dyDescent="0.3">
      <c r="A36" s="314" t="s">
        <v>1886</v>
      </c>
      <c r="B36" s="115">
        <f t="shared" ref="B36:B39" si="14">$B$18*$B10</f>
        <v>16.490341425950536</v>
      </c>
      <c r="C36" s="115">
        <f t="shared" ref="C36:C39" si="15">$B$19*$B10</f>
        <v>16.961494038120552</v>
      </c>
      <c r="D36" s="115">
        <f t="shared" ref="D36:D39" si="16">$B$20*$B10</f>
        <v>18.3749518746306</v>
      </c>
      <c r="E36" s="115">
        <f t="shared" ref="E36:E39" si="17">$B$21*$B10</f>
        <v>21.673020159820709</v>
      </c>
      <c r="G36" s="203">
        <f>G10</f>
        <v>100</v>
      </c>
      <c r="H36" s="203">
        <f t="shared" si="13"/>
        <v>1.6490341425950537</v>
      </c>
      <c r="I36" s="203">
        <f t="shared" si="13"/>
        <v>1.6961494038120553</v>
      </c>
      <c r="J36" s="203">
        <f t="shared" si="13"/>
        <v>1.8374951874630601</v>
      </c>
      <c r="K36" s="203">
        <f t="shared" si="13"/>
        <v>2.1673020159820706</v>
      </c>
    </row>
    <row r="37" spans="1:12" x14ac:dyDescent="0.3">
      <c r="A37" s="314" t="s">
        <v>1887</v>
      </c>
      <c r="B37" s="115">
        <f t="shared" si="14"/>
        <v>8.245170712975268</v>
      </c>
      <c r="C37" s="115">
        <f t="shared" si="15"/>
        <v>8.4807470190602761</v>
      </c>
      <c r="D37" s="115">
        <f t="shared" si="16"/>
        <v>9.1874759373153001</v>
      </c>
      <c r="E37" s="115">
        <f t="shared" si="17"/>
        <v>10.836510079910354</v>
      </c>
      <c r="G37" s="203">
        <f>G11</f>
        <v>100</v>
      </c>
      <c r="H37" s="203">
        <f t="shared" si="13"/>
        <v>0.82451707129752683</v>
      </c>
      <c r="I37" s="203">
        <f t="shared" si="13"/>
        <v>0.84807470190602763</v>
      </c>
      <c r="J37" s="203">
        <f t="shared" si="13"/>
        <v>0.91874759373153003</v>
      </c>
      <c r="K37" s="203">
        <f t="shared" si="13"/>
        <v>1.0836510079910353</v>
      </c>
    </row>
    <row r="38" spans="1:12" x14ac:dyDescent="0.3">
      <c r="A38" s="314" t="s">
        <v>1888</v>
      </c>
      <c r="B38" s="115">
        <f t="shared" si="14"/>
        <v>8.245170712975268</v>
      </c>
      <c r="C38" s="115">
        <f t="shared" si="15"/>
        <v>8.4807470190602761</v>
      </c>
      <c r="D38" s="115">
        <f t="shared" si="16"/>
        <v>9.1874759373153001</v>
      </c>
      <c r="E38" s="115">
        <f t="shared" si="17"/>
        <v>10.836510079910354</v>
      </c>
      <c r="G38" s="203">
        <f>G12</f>
        <v>100</v>
      </c>
      <c r="H38" s="203">
        <f t="shared" si="13"/>
        <v>0.82451707129752683</v>
      </c>
      <c r="I38" s="203">
        <f t="shared" si="13"/>
        <v>0.84807470190602763</v>
      </c>
      <c r="J38" s="203">
        <f t="shared" si="13"/>
        <v>0.91874759373153003</v>
      </c>
      <c r="K38" s="203">
        <f t="shared" si="13"/>
        <v>1.0836510079910353</v>
      </c>
    </row>
    <row r="39" spans="1:12" x14ac:dyDescent="0.3">
      <c r="A39" s="314" t="s">
        <v>1889</v>
      </c>
      <c r="B39" s="115">
        <f t="shared" si="14"/>
        <v>8.245170712975268</v>
      </c>
      <c r="C39" s="115">
        <f t="shared" si="15"/>
        <v>8.4807470190602761</v>
      </c>
      <c r="D39" s="115">
        <f t="shared" si="16"/>
        <v>9.1874759373153001</v>
      </c>
      <c r="E39" s="115">
        <f t="shared" si="17"/>
        <v>10.836510079910354</v>
      </c>
      <c r="G39" s="203">
        <f>G13</f>
        <v>100</v>
      </c>
      <c r="H39" s="203">
        <f t="shared" si="13"/>
        <v>0.82451707129752683</v>
      </c>
      <c r="I39" s="203">
        <f t="shared" si="13"/>
        <v>0.84807470190602763</v>
      </c>
      <c r="J39" s="203">
        <f t="shared" si="13"/>
        <v>0.91874759373153003</v>
      </c>
      <c r="K39" s="203">
        <f t="shared" si="13"/>
        <v>1.0836510079910353</v>
      </c>
    </row>
    <row r="40" spans="1:12" s="133" customFormat="1" x14ac:dyDescent="0.3">
      <c r="A40" s="474"/>
      <c r="B40" s="157">
        <f t="shared" ref="B40:E40" si="18">SUM(B35:B39)</f>
        <v>49.471024277851605</v>
      </c>
      <c r="C40" s="157">
        <f t="shared" si="18"/>
        <v>50.884482114361653</v>
      </c>
      <c r="D40" s="157">
        <f t="shared" si="18"/>
        <v>55.124855623891797</v>
      </c>
      <c r="E40" s="157">
        <f t="shared" si="18"/>
        <v>65.019060479462127</v>
      </c>
      <c r="G40"/>
      <c r="H40" s="204">
        <f>SUM(H35:H39)</f>
        <v>4.9471024277851612</v>
      </c>
      <c r="I40" s="204">
        <f>SUM(I35:I39)</f>
        <v>5.088448211436166</v>
      </c>
      <c r="J40" s="204">
        <f t="shared" ref="J40:K40" si="19">SUM(J35:J39)</f>
        <v>5.5124855623891804</v>
      </c>
      <c r="K40" s="204">
        <f t="shared" si="19"/>
        <v>6.5019060479462114</v>
      </c>
      <c r="L40"/>
    </row>
    <row r="42" spans="1:12" ht="28.8" x14ac:dyDescent="0.3">
      <c r="A42" s="133" t="str">
        <f>C8</f>
        <v>Nivolumab (adjuvant) IV</v>
      </c>
      <c r="B42" s="703" t="s">
        <v>2040</v>
      </c>
      <c r="C42" s="196" t="s">
        <v>1850</v>
      </c>
      <c r="D42" s="196" t="s">
        <v>1851</v>
      </c>
      <c r="E42" s="197" t="s">
        <v>1910</v>
      </c>
      <c r="G42" s="188" t="s">
        <v>1987</v>
      </c>
      <c r="H42" s="703" t="s">
        <v>2040</v>
      </c>
      <c r="I42" s="196" t="s">
        <v>1850</v>
      </c>
      <c r="J42" s="196" t="s">
        <v>1851</v>
      </c>
      <c r="K42" s="197" t="s">
        <v>1910</v>
      </c>
    </row>
    <row r="43" spans="1:12" x14ac:dyDescent="0.3">
      <c r="A43" s="314" t="s">
        <v>1885</v>
      </c>
      <c r="B43" s="115">
        <f>$C$18*$C9</f>
        <v>0</v>
      </c>
      <c r="C43" s="115">
        <f>$C$19*$C9</f>
        <v>0</v>
      </c>
      <c r="D43" s="115">
        <f>$C$20*$C9</f>
        <v>0</v>
      </c>
      <c r="E43" s="115">
        <f>$C$21*$C9</f>
        <v>0</v>
      </c>
      <c r="G43" s="203">
        <f>G9</f>
        <v>100</v>
      </c>
      <c r="H43" s="203">
        <f t="shared" ref="H43:K47" si="20">B43*$G43/1000</f>
        <v>0</v>
      </c>
      <c r="I43" s="203">
        <f t="shared" si="20"/>
        <v>0</v>
      </c>
      <c r="J43" s="203">
        <f t="shared" si="20"/>
        <v>0</v>
      </c>
      <c r="K43" s="203">
        <f t="shared" si="20"/>
        <v>0</v>
      </c>
    </row>
    <row r="44" spans="1:12" x14ac:dyDescent="0.3">
      <c r="A44" s="314" t="s">
        <v>1886</v>
      </c>
      <c r="B44" s="115">
        <f t="shared" ref="B44:B47" si="21">$C$18*$C10</f>
        <v>0</v>
      </c>
      <c r="C44" s="115">
        <f t="shared" ref="C44:C47" si="22">$C$19*$C10</f>
        <v>0</v>
      </c>
      <c r="D44" s="115">
        <f t="shared" ref="D44:D47" si="23">$C$20*$C10</f>
        <v>0</v>
      </c>
      <c r="E44" s="115">
        <f t="shared" ref="E44:E47" si="24">$C$21*$C10</f>
        <v>0</v>
      </c>
      <c r="G44" s="203">
        <f>G10</f>
        <v>100</v>
      </c>
      <c r="H44" s="203">
        <f t="shared" si="20"/>
        <v>0</v>
      </c>
      <c r="I44" s="203">
        <f t="shared" si="20"/>
        <v>0</v>
      </c>
      <c r="J44" s="203">
        <f t="shared" si="20"/>
        <v>0</v>
      </c>
      <c r="K44" s="203">
        <f t="shared" si="20"/>
        <v>0</v>
      </c>
    </row>
    <row r="45" spans="1:12" x14ac:dyDescent="0.3">
      <c r="A45" s="314" t="s">
        <v>1887</v>
      </c>
      <c r="B45" s="115">
        <f t="shared" si="21"/>
        <v>0</v>
      </c>
      <c r="C45" s="115">
        <f t="shared" si="22"/>
        <v>0</v>
      </c>
      <c r="D45" s="115">
        <f t="shared" si="23"/>
        <v>0</v>
      </c>
      <c r="E45" s="115">
        <f t="shared" si="24"/>
        <v>0</v>
      </c>
      <c r="G45" s="203">
        <f>G11</f>
        <v>100</v>
      </c>
      <c r="H45" s="203">
        <f t="shared" si="20"/>
        <v>0</v>
      </c>
      <c r="I45" s="203">
        <f t="shared" si="20"/>
        <v>0</v>
      </c>
      <c r="J45" s="203">
        <f t="shared" si="20"/>
        <v>0</v>
      </c>
      <c r="K45" s="203">
        <f t="shared" si="20"/>
        <v>0</v>
      </c>
    </row>
    <row r="46" spans="1:12" x14ac:dyDescent="0.3">
      <c r="A46" s="314" t="s">
        <v>1888</v>
      </c>
      <c r="B46" s="115">
        <f t="shared" si="21"/>
        <v>0</v>
      </c>
      <c r="C46" s="115">
        <f t="shared" si="22"/>
        <v>0</v>
      </c>
      <c r="D46" s="115">
        <f t="shared" si="23"/>
        <v>0</v>
      </c>
      <c r="E46" s="115">
        <f t="shared" si="24"/>
        <v>0</v>
      </c>
      <c r="G46" s="203">
        <f>G12</f>
        <v>100</v>
      </c>
      <c r="H46" s="203">
        <f t="shared" si="20"/>
        <v>0</v>
      </c>
      <c r="I46" s="203">
        <f t="shared" si="20"/>
        <v>0</v>
      </c>
      <c r="J46" s="203">
        <f t="shared" si="20"/>
        <v>0</v>
      </c>
      <c r="K46" s="203">
        <f t="shared" si="20"/>
        <v>0</v>
      </c>
    </row>
    <row r="47" spans="1:12" x14ac:dyDescent="0.3">
      <c r="A47" s="314" t="s">
        <v>1889</v>
      </c>
      <c r="B47" s="115">
        <f t="shared" si="21"/>
        <v>0</v>
      </c>
      <c r="C47" s="115">
        <f t="shared" si="22"/>
        <v>0</v>
      </c>
      <c r="D47" s="115">
        <f t="shared" si="23"/>
        <v>0</v>
      </c>
      <c r="E47" s="115">
        <f t="shared" si="24"/>
        <v>0</v>
      </c>
      <c r="G47" s="203">
        <f>G13</f>
        <v>100</v>
      </c>
      <c r="H47" s="203">
        <f t="shared" si="20"/>
        <v>0</v>
      </c>
      <c r="I47" s="203">
        <f t="shared" si="20"/>
        <v>0</v>
      </c>
      <c r="J47" s="203">
        <f t="shared" si="20"/>
        <v>0</v>
      </c>
      <c r="K47" s="203">
        <f t="shared" si="20"/>
        <v>0</v>
      </c>
    </row>
    <row r="48" spans="1:12" s="133" customFormat="1" x14ac:dyDescent="0.3">
      <c r="A48" s="474"/>
      <c r="B48" s="157">
        <f t="shared" ref="B48:E48" si="25">SUM(B43:B47)</f>
        <v>0</v>
      </c>
      <c r="C48" s="157">
        <f t="shared" si="25"/>
        <v>0</v>
      </c>
      <c r="D48" s="157">
        <f t="shared" si="25"/>
        <v>0</v>
      </c>
      <c r="E48" s="157">
        <f t="shared" si="25"/>
        <v>0</v>
      </c>
      <c r="G48"/>
      <c r="H48" s="204">
        <f>SUM(H43:H47)</f>
        <v>0</v>
      </c>
      <c r="I48" s="204">
        <f>SUM(I43:I47)</f>
        <v>0</v>
      </c>
      <c r="J48" s="204">
        <f t="shared" ref="J48" si="26">SUM(J43:J47)</f>
        <v>0</v>
      </c>
      <c r="K48" s="204">
        <f t="shared" ref="K48" si="27">SUM(K43:K47)</f>
        <v>0</v>
      </c>
      <c r="L48"/>
    </row>
    <row r="50" spans="1:12" ht="28.8" x14ac:dyDescent="0.3">
      <c r="A50" s="133" t="str">
        <f>D8</f>
        <v>Durvalumab (neoadjuvant)</v>
      </c>
      <c r="B50" s="703" t="s">
        <v>2040</v>
      </c>
      <c r="C50" s="196" t="s">
        <v>1850</v>
      </c>
      <c r="D50" s="196" t="s">
        <v>1851</v>
      </c>
      <c r="E50" s="197" t="s">
        <v>1910</v>
      </c>
      <c r="G50" s="188" t="s">
        <v>1987</v>
      </c>
      <c r="H50" s="703" t="s">
        <v>2040</v>
      </c>
      <c r="I50" s="196" t="s">
        <v>1850</v>
      </c>
      <c r="J50" s="196" t="s">
        <v>1851</v>
      </c>
      <c r="K50" s="197" t="s">
        <v>1910</v>
      </c>
    </row>
    <row r="51" spans="1:12" x14ac:dyDescent="0.3">
      <c r="A51" s="314" t="s">
        <v>1885</v>
      </c>
      <c r="B51" s="115" t="e">
        <f>$D$18*$D9</f>
        <v>#REF!</v>
      </c>
      <c r="C51" s="115" t="e">
        <f>$D$19*$D9</f>
        <v>#REF!</v>
      </c>
      <c r="D51" s="115" t="e">
        <f>$D$20*$D9</f>
        <v>#REF!</v>
      </c>
      <c r="E51" s="115" t="e">
        <f>$D$21*$D9</f>
        <v>#REF!</v>
      </c>
      <c r="G51" s="203">
        <f>G9</f>
        <v>100</v>
      </c>
      <c r="H51" s="203" t="e">
        <f t="shared" ref="H51:K55" si="28">B51*$G51/1000</f>
        <v>#REF!</v>
      </c>
      <c r="I51" s="203" t="e">
        <f t="shared" si="28"/>
        <v>#REF!</v>
      </c>
      <c r="J51" s="203" t="e">
        <f t="shared" si="28"/>
        <v>#REF!</v>
      </c>
      <c r="K51" s="203" t="e">
        <f t="shared" si="28"/>
        <v>#REF!</v>
      </c>
    </row>
    <row r="52" spans="1:12" x14ac:dyDescent="0.3">
      <c r="A52" s="314" t="s">
        <v>1886</v>
      </c>
      <c r="B52" s="115" t="e">
        <f t="shared" ref="B52:B55" si="29">$D$18*$D10</f>
        <v>#REF!</v>
      </c>
      <c r="C52" s="115" t="e">
        <f t="shared" ref="C52:C55" si="30">$D$19*$D10</f>
        <v>#REF!</v>
      </c>
      <c r="D52" s="115" t="e">
        <f t="shared" ref="D52:D55" si="31">$D$20*$D10</f>
        <v>#REF!</v>
      </c>
      <c r="E52" s="115" t="e">
        <f t="shared" ref="E52:E54" si="32">$D$21*$D10</f>
        <v>#REF!</v>
      </c>
      <c r="G52" s="203">
        <f>G10</f>
        <v>100</v>
      </c>
      <c r="H52" s="203" t="e">
        <f t="shared" si="28"/>
        <v>#REF!</v>
      </c>
      <c r="I52" s="203" t="e">
        <f t="shared" si="28"/>
        <v>#REF!</v>
      </c>
      <c r="J52" s="203" t="e">
        <f t="shared" si="28"/>
        <v>#REF!</v>
      </c>
      <c r="K52" s="203" t="e">
        <f t="shared" si="28"/>
        <v>#REF!</v>
      </c>
    </row>
    <row r="53" spans="1:12" x14ac:dyDescent="0.3">
      <c r="A53" s="314" t="s">
        <v>1887</v>
      </c>
      <c r="B53" s="115" t="e">
        <f t="shared" si="29"/>
        <v>#REF!</v>
      </c>
      <c r="C53" s="115" t="e">
        <f t="shared" si="30"/>
        <v>#REF!</v>
      </c>
      <c r="D53" s="115" t="e">
        <f t="shared" si="31"/>
        <v>#REF!</v>
      </c>
      <c r="E53" s="115" t="e">
        <f t="shared" si="32"/>
        <v>#REF!</v>
      </c>
      <c r="G53" s="203">
        <f>G11</f>
        <v>100</v>
      </c>
      <c r="H53" s="203" t="e">
        <f t="shared" si="28"/>
        <v>#REF!</v>
      </c>
      <c r="I53" s="203" t="e">
        <f t="shared" si="28"/>
        <v>#REF!</v>
      </c>
      <c r="J53" s="203" t="e">
        <f t="shared" si="28"/>
        <v>#REF!</v>
      </c>
      <c r="K53" s="203" t="e">
        <f t="shared" si="28"/>
        <v>#REF!</v>
      </c>
    </row>
    <row r="54" spans="1:12" x14ac:dyDescent="0.3">
      <c r="A54" s="314" t="s">
        <v>1888</v>
      </c>
      <c r="B54" s="115" t="e">
        <f t="shared" si="29"/>
        <v>#REF!</v>
      </c>
      <c r="C54" s="115" t="e">
        <f t="shared" si="30"/>
        <v>#REF!</v>
      </c>
      <c r="D54" s="115" t="e">
        <f t="shared" si="31"/>
        <v>#REF!</v>
      </c>
      <c r="E54" s="115" t="e">
        <f t="shared" si="32"/>
        <v>#REF!</v>
      </c>
      <c r="G54" s="203">
        <f>G12</f>
        <v>100</v>
      </c>
      <c r="H54" s="203" t="e">
        <f t="shared" si="28"/>
        <v>#REF!</v>
      </c>
      <c r="I54" s="203" t="e">
        <f t="shared" si="28"/>
        <v>#REF!</v>
      </c>
      <c r="J54" s="203" t="e">
        <f t="shared" si="28"/>
        <v>#REF!</v>
      </c>
      <c r="K54" s="203" t="e">
        <f t="shared" si="28"/>
        <v>#REF!</v>
      </c>
    </row>
    <row r="55" spans="1:12" x14ac:dyDescent="0.3">
      <c r="A55" s="314" t="s">
        <v>1889</v>
      </c>
      <c r="B55" s="115" t="e">
        <f t="shared" si="29"/>
        <v>#REF!</v>
      </c>
      <c r="C55" s="115" t="e">
        <f t="shared" si="30"/>
        <v>#REF!</v>
      </c>
      <c r="D55" s="115" t="e">
        <f t="shared" si="31"/>
        <v>#REF!</v>
      </c>
      <c r="E55" s="115" t="e">
        <f>$D$21*$D13</f>
        <v>#REF!</v>
      </c>
      <c r="G55" s="203">
        <f>G13</f>
        <v>100</v>
      </c>
      <c r="H55" s="203" t="e">
        <f t="shared" si="28"/>
        <v>#REF!</v>
      </c>
      <c r="I55" s="203" t="e">
        <f t="shared" si="28"/>
        <v>#REF!</v>
      </c>
      <c r="J55" s="203" t="e">
        <f t="shared" si="28"/>
        <v>#REF!</v>
      </c>
      <c r="K55" s="203" t="e">
        <f t="shared" si="28"/>
        <v>#REF!</v>
      </c>
    </row>
    <row r="56" spans="1:12" s="133" customFormat="1" x14ac:dyDescent="0.3">
      <c r="A56" s="474"/>
      <c r="B56" s="157" t="e">
        <f t="shared" ref="B56:E56" si="33">SUM(B51:B55)</f>
        <v>#REF!</v>
      </c>
      <c r="C56" s="157" t="e">
        <f t="shared" si="33"/>
        <v>#REF!</v>
      </c>
      <c r="D56" s="157" t="e">
        <f t="shared" si="33"/>
        <v>#REF!</v>
      </c>
      <c r="E56" s="157" t="e">
        <f t="shared" si="33"/>
        <v>#REF!</v>
      </c>
      <c r="G56"/>
      <c r="H56" s="204" t="e">
        <f>SUM(H51:H55)</f>
        <v>#REF!</v>
      </c>
      <c r="I56" s="204" t="e">
        <f>SUM(I51:I55)</f>
        <v>#REF!</v>
      </c>
      <c r="J56" s="204" t="e">
        <f t="shared" ref="J56" si="34">SUM(J51:J55)</f>
        <v>#REF!</v>
      </c>
      <c r="K56" s="204" t="e">
        <f t="shared" ref="K56" si="35">SUM(K51:K55)</f>
        <v>#REF!</v>
      </c>
      <c r="L56"/>
    </row>
    <row r="58" spans="1:12" ht="28.8" x14ac:dyDescent="0.3">
      <c r="A58" s="133" t="str">
        <f>E8</f>
        <v>Durvalumab (adjuvant)</v>
      </c>
      <c r="B58" s="703" t="s">
        <v>2040</v>
      </c>
      <c r="C58" s="196" t="s">
        <v>1850</v>
      </c>
      <c r="D58" s="196" t="s">
        <v>1851</v>
      </c>
      <c r="E58" s="197" t="s">
        <v>1910</v>
      </c>
      <c r="G58" s="188" t="s">
        <v>1987</v>
      </c>
      <c r="H58" s="703" t="s">
        <v>2040</v>
      </c>
      <c r="I58" s="196" t="s">
        <v>1850</v>
      </c>
      <c r="J58" s="196" t="s">
        <v>1851</v>
      </c>
      <c r="K58" s="197" t="s">
        <v>1910</v>
      </c>
    </row>
    <row r="59" spans="1:12" x14ac:dyDescent="0.3">
      <c r="A59" s="314" t="s">
        <v>1885</v>
      </c>
      <c r="B59" s="115" t="e">
        <f>$E$18*$E9</f>
        <v>#REF!</v>
      </c>
      <c r="C59" s="115" t="e">
        <f>$E9*$E$19</f>
        <v>#REF!</v>
      </c>
      <c r="D59" s="115" t="e">
        <f>$E$20*$E9</f>
        <v>#REF!</v>
      </c>
      <c r="E59" s="115" t="e">
        <f>$E$21*$E9</f>
        <v>#REF!</v>
      </c>
      <c r="G59" s="203">
        <f>G9</f>
        <v>100</v>
      </c>
      <c r="H59" s="203" t="e">
        <f t="shared" ref="H59:K63" si="36">B59*$G59/1000</f>
        <v>#REF!</v>
      </c>
      <c r="I59" s="203" t="e">
        <f t="shared" si="36"/>
        <v>#REF!</v>
      </c>
      <c r="J59" s="203" t="e">
        <f t="shared" si="36"/>
        <v>#REF!</v>
      </c>
      <c r="K59" s="203" t="e">
        <f t="shared" si="36"/>
        <v>#REF!</v>
      </c>
    </row>
    <row r="60" spans="1:12" x14ac:dyDescent="0.3">
      <c r="A60" s="314" t="s">
        <v>1886</v>
      </c>
      <c r="B60" s="115" t="e">
        <f t="shared" ref="B60:B63" si="37">$E$18*$E10</f>
        <v>#REF!</v>
      </c>
      <c r="C60" s="115" t="e">
        <f t="shared" ref="C60:C63" si="38">$E10*$E$19</f>
        <v>#REF!</v>
      </c>
      <c r="D60" s="115" t="e">
        <f t="shared" ref="D60:D63" si="39">$E$20*$E10</f>
        <v>#REF!</v>
      </c>
      <c r="E60" s="115" t="e">
        <f t="shared" ref="E60:E63" si="40">$E$21*$E10</f>
        <v>#REF!</v>
      </c>
      <c r="G60" s="203">
        <f t="shared" ref="G60:G63" si="41">G10</f>
        <v>100</v>
      </c>
      <c r="H60" s="203" t="e">
        <f t="shared" si="36"/>
        <v>#REF!</v>
      </c>
      <c r="I60" s="203" t="e">
        <f t="shared" si="36"/>
        <v>#REF!</v>
      </c>
      <c r="J60" s="203" t="e">
        <f t="shared" si="36"/>
        <v>#REF!</v>
      </c>
      <c r="K60" s="203" t="e">
        <f t="shared" si="36"/>
        <v>#REF!</v>
      </c>
    </row>
    <row r="61" spans="1:12" x14ac:dyDescent="0.3">
      <c r="A61" s="314" t="s">
        <v>1887</v>
      </c>
      <c r="B61" s="115" t="e">
        <f t="shared" si="37"/>
        <v>#REF!</v>
      </c>
      <c r="C61" s="115" t="e">
        <f t="shared" si="38"/>
        <v>#REF!</v>
      </c>
      <c r="D61" s="115" t="e">
        <f t="shared" si="39"/>
        <v>#REF!</v>
      </c>
      <c r="E61" s="115" t="e">
        <f t="shared" si="40"/>
        <v>#REF!</v>
      </c>
      <c r="G61" s="203">
        <f t="shared" si="41"/>
        <v>100</v>
      </c>
      <c r="H61" s="203" t="e">
        <f t="shared" si="36"/>
        <v>#REF!</v>
      </c>
      <c r="I61" s="203" t="e">
        <f t="shared" si="36"/>
        <v>#REF!</v>
      </c>
      <c r="J61" s="203" t="e">
        <f t="shared" si="36"/>
        <v>#REF!</v>
      </c>
      <c r="K61" s="203" t="e">
        <f t="shared" si="36"/>
        <v>#REF!</v>
      </c>
    </row>
    <row r="62" spans="1:12" x14ac:dyDescent="0.3">
      <c r="A62" s="314" t="s">
        <v>1888</v>
      </c>
      <c r="B62" s="115" t="e">
        <f t="shared" si="37"/>
        <v>#REF!</v>
      </c>
      <c r="C62" s="115" t="e">
        <f t="shared" si="38"/>
        <v>#REF!</v>
      </c>
      <c r="D62" s="115" t="e">
        <f t="shared" si="39"/>
        <v>#REF!</v>
      </c>
      <c r="E62" s="115" t="e">
        <f t="shared" si="40"/>
        <v>#REF!</v>
      </c>
      <c r="G62" s="203">
        <f t="shared" si="41"/>
        <v>100</v>
      </c>
      <c r="H62" s="203" t="e">
        <f t="shared" si="36"/>
        <v>#REF!</v>
      </c>
      <c r="I62" s="203" t="e">
        <f t="shared" si="36"/>
        <v>#REF!</v>
      </c>
      <c r="J62" s="203" t="e">
        <f t="shared" si="36"/>
        <v>#REF!</v>
      </c>
      <c r="K62" s="203" t="e">
        <f t="shared" si="36"/>
        <v>#REF!</v>
      </c>
    </row>
    <row r="63" spans="1:12" x14ac:dyDescent="0.3">
      <c r="A63" s="314" t="s">
        <v>1889</v>
      </c>
      <c r="B63" s="115" t="e">
        <f t="shared" si="37"/>
        <v>#REF!</v>
      </c>
      <c r="C63" s="115" t="e">
        <f t="shared" si="38"/>
        <v>#REF!</v>
      </c>
      <c r="D63" s="115" t="e">
        <f t="shared" si="39"/>
        <v>#REF!</v>
      </c>
      <c r="E63" s="115" t="e">
        <f t="shared" si="40"/>
        <v>#REF!</v>
      </c>
      <c r="G63" s="203">
        <f t="shared" si="41"/>
        <v>100</v>
      </c>
      <c r="H63" s="203" t="e">
        <f t="shared" si="36"/>
        <v>#REF!</v>
      </c>
      <c r="I63" s="203" t="e">
        <f t="shared" si="36"/>
        <v>#REF!</v>
      </c>
      <c r="J63" s="203" t="e">
        <f t="shared" si="36"/>
        <v>#REF!</v>
      </c>
      <c r="K63" s="203" t="e">
        <f t="shared" si="36"/>
        <v>#REF!</v>
      </c>
    </row>
    <row r="64" spans="1:12" s="133" customFormat="1" x14ac:dyDescent="0.3">
      <c r="A64" s="474"/>
      <c r="B64" s="157" t="e">
        <f t="shared" ref="B64:E64" si="42">SUM(B59:B63)</f>
        <v>#REF!</v>
      </c>
      <c r="C64" s="157" t="e">
        <f t="shared" si="42"/>
        <v>#REF!</v>
      </c>
      <c r="D64" s="157" t="e">
        <f t="shared" si="42"/>
        <v>#REF!</v>
      </c>
      <c r="E64" s="157" t="e">
        <f t="shared" si="42"/>
        <v>#REF!</v>
      </c>
      <c r="G64"/>
      <c r="H64" s="204" t="e">
        <f>SUM(H59:H63)</f>
        <v>#REF!</v>
      </c>
      <c r="I64" s="204" t="e">
        <f>SUM(I59:I63)</f>
        <v>#REF!</v>
      </c>
      <c r="J64" s="204" t="e">
        <f t="shared" ref="J64:K64" si="43">SUM(J59:J63)</f>
        <v>#REF!</v>
      </c>
      <c r="K64" s="204" t="e">
        <f t="shared" si="43"/>
        <v>#REF!</v>
      </c>
      <c r="L64"/>
    </row>
    <row r="66" spans="1:12" ht="28.8" x14ac:dyDescent="0.3">
      <c r="A66" s="133" t="str">
        <f>F8</f>
        <v>Pembrolizumab (adjuvant)</v>
      </c>
      <c r="B66" s="703" t="s">
        <v>2040</v>
      </c>
      <c r="C66" s="196" t="s">
        <v>1850</v>
      </c>
      <c r="D66" s="196" t="s">
        <v>1851</v>
      </c>
      <c r="E66" s="197" t="s">
        <v>1910</v>
      </c>
      <c r="G66" s="188" t="s">
        <v>1987</v>
      </c>
      <c r="H66" s="703" t="s">
        <v>2040</v>
      </c>
      <c r="I66" s="196" t="s">
        <v>1850</v>
      </c>
      <c r="J66" s="196" t="s">
        <v>1851</v>
      </c>
      <c r="K66" s="197" t="s">
        <v>1910</v>
      </c>
    </row>
    <row r="67" spans="1:12" x14ac:dyDescent="0.3">
      <c r="A67" s="314" t="s">
        <v>1885</v>
      </c>
      <c r="B67" s="115" t="e">
        <f>$F$18*$F9</f>
        <v>#REF!</v>
      </c>
      <c r="C67" s="115" t="e">
        <f>$F9*$F$19</f>
        <v>#REF!</v>
      </c>
      <c r="D67" s="115" t="e">
        <f>$F$20*$F9</f>
        <v>#REF!</v>
      </c>
      <c r="E67" s="115" t="e">
        <f>$F$21*$F9</f>
        <v>#REF!</v>
      </c>
      <c r="G67" s="203">
        <f>G9</f>
        <v>100</v>
      </c>
      <c r="H67" s="203" t="e">
        <f t="shared" ref="H67:K71" si="44">B67*$G67/1000</f>
        <v>#REF!</v>
      </c>
      <c r="I67" s="203" t="e">
        <f t="shared" si="44"/>
        <v>#REF!</v>
      </c>
      <c r="J67" s="203" t="e">
        <f t="shared" si="44"/>
        <v>#REF!</v>
      </c>
      <c r="K67" s="203" t="e">
        <f t="shared" si="44"/>
        <v>#REF!</v>
      </c>
    </row>
    <row r="68" spans="1:12" x14ac:dyDescent="0.3">
      <c r="A68" s="314" t="s">
        <v>1886</v>
      </c>
      <c r="B68" s="115" t="e">
        <f t="shared" ref="B68:B71" si="45">$F$18*$F10</f>
        <v>#REF!</v>
      </c>
      <c r="C68" s="115" t="e">
        <f t="shared" ref="C68:C71" si="46">$F10*$F$19</f>
        <v>#REF!</v>
      </c>
      <c r="D68" s="115" t="e">
        <f t="shared" ref="D68:D71" si="47">$F$20*$F10</f>
        <v>#REF!</v>
      </c>
      <c r="E68" s="115" t="e">
        <f t="shared" ref="E68:E71" si="48">$F$21*$F10</f>
        <v>#REF!</v>
      </c>
      <c r="G68" s="203">
        <f t="shared" ref="G68:G71" si="49">G10</f>
        <v>100</v>
      </c>
      <c r="H68" s="203" t="e">
        <f t="shared" si="44"/>
        <v>#REF!</v>
      </c>
      <c r="I68" s="203" t="e">
        <f t="shared" si="44"/>
        <v>#REF!</v>
      </c>
      <c r="J68" s="203" t="e">
        <f t="shared" si="44"/>
        <v>#REF!</v>
      </c>
      <c r="K68" s="203" t="e">
        <f t="shared" si="44"/>
        <v>#REF!</v>
      </c>
    </row>
    <row r="69" spans="1:12" x14ac:dyDescent="0.3">
      <c r="A69" s="314" t="s">
        <v>1887</v>
      </c>
      <c r="B69" s="115" t="e">
        <f t="shared" si="45"/>
        <v>#REF!</v>
      </c>
      <c r="C69" s="115" t="e">
        <f t="shared" si="46"/>
        <v>#REF!</v>
      </c>
      <c r="D69" s="115" t="e">
        <f t="shared" si="47"/>
        <v>#REF!</v>
      </c>
      <c r="E69" s="115" t="e">
        <f t="shared" si="48"/>
        <v>#REF!</v>
      </c>
      <c r="G69" s="203">
        <f t="shared" si="49"/>
        <v>100</v>
      </c>
      <c r="H69" s="203" t="e">
        <f t="shared" si="44"/>
        <v>#REF!</v>
      </c>
      <c r="I69" s="203" t="e">
        <f t="shared" si="44"/>
        <v>#REF!</v>
      </c>
      <c r="J69" s="203" t="e">
        <f t="shared" si="44"/>
        <v>#REF!</v>
      </c>
      <c r="K69" s="203" t="e">
        <f t="shared" si="44"/>
        <v>#REF!</v>
      </c>
    </row>
    <row r="70" spans="1:12" x14ac:dyDescent="0.3">
      <c r="A70" s="314" t="s">
        <v>1888</v>
      </c>
      <c r="B70" s="115" t="e">
        <f t="shared" si="45"/>
        <v>#REF!</v>
      </c>
      <c r="C70" s="115" t="e">
        <f t="shared" si="46"/>
        <v>#REF!</v>
      </c>
      <c r="D70" s="115" t="e">
        <f t="shared" si="47"/>
        <v>#REF!</v>
      </c>
      <c r="E70" s="115" t="e">
        <f t="shared" si="48"/>
        <v>#REF!</v>
      </c>
      <c r="G70" s="203">
        <f t="shared" si="49"/>
        <v>100</v>
      </c>
      <c r="H70" s="203" t="e">
        <f t="shared" si="44"/>
        <v>#REF!</v>
      </c>
      <c r="I70" s="203" t="e">
        <f t="shared" si="44"/>
        <v>#REF!</v>
      </c>
      <c r="J70" s="203" t="e">
        <f t="shared" si="44"/>
        <v>#REF!</v>
      </c>
      <c r="K70" s="203" t="e">
        <f t="shared" si="44"/>
        <v>#REF!</v>
      </c>
    </row>
    <row r="71" spans="1:12" x14ac:dyDescent="0.3">
      <c r="A71" s="314" t="s">
        <v>1889</v>
      </c>
      <c r="B71" s="115" t="e">
        <f t="shared" si="45"/>
        <v>#REF!</v>
      </c>
      <c r="C71" s="115" t="e">
        <f t="shared" si="46"/>
        <v>#REF!</v>
      </c>
      <c r="D71" s="115" t="e">
        <f t="shared" si="47"/>
        <v>#REF!</v>
      </c>
      <c r="E71" s="115" t="e">
        <f t="shared" si="48"/>
        <v>#REF!</v>
      </c>
      <c r="G71" s="203">
        <f t="shared" si="49"/>
        <v>100</v>
      </c>
      <c r="H71" s="203" t="e">
        <f t="shared" si="44"/>
        <v>#REF!</v>
      </c>
      <c r="I71" s="203" t="e">
        <f t="shared" si="44"/>
        <v>#REF!</v>
      </c>
      <c r="J71" s="203" t="e">
        <f t="shared" si="44"/>
        <v>#REF!</v>
      </c>
      <c r="K71" s="203" t="e">
        <f t="shared" si="44"/>
        <v>#REF!</v>
      </c>
    </row>
    <row r="72" spans="1:12" s="133" customFormat="1" x14ac:dyDescent="0.3">
      <c r="A72" s="474"/>
      <c r="B72" s="157" t="e">
        <f t="shared" ref="B72:E72" si="50">SUM(B67:B71)</f>
        <v>#REF!</v>
      </c>
      <c r="C72" s="157" t="e">
        <f t="shared" si="50"/>
        <v>#REF!</v>
      </c>
      <c r="D72" s="157" t="e">
        <f t="shared" si="50"/>
        <v>#REF!</v>
      </c>
      <c r="E72" s="157" t="e">
        <f t="shared" si="50"/>
        <v>#REF!</v>
      </c>
      <c r="G72"/>
      <c r="H72" s="204" t="e">
        <f>SUM(H67:H71)</f>
        <v>#REF!</v>
      </c>
      <c r="I72" s="204" t="e">
        <f>SUM(I67:I71)</f>
        <v>#REF!</v>
      </c>
      <c r="J72" s="204" t="e">
        <f t="shared" ref="J72:K72" si="51">SUM(J67:J71)</f>
        <v>#REF!</v>
      </c>
      <c r="K72" s="204" t="e">
        <f t="shared" si="51"/>
        <v>#REF!</v>
      </c>
      <c r="L72"/>
    </row>
  </sheetData>
  <protectedRanges>
    <protectedRange sqref="A35:A40 A43:A48 A51:A56 A9:F13 A26:A30 A59:A64 A67:A72" name="Range1_1"/>
    <protectedRange sqref="A18:A21" name="Range1_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CE04E43C-8228-4798-808B-CBD0333C6A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0eb656aa-4e79-4e95-9076-bc119a23e0cc"/>
    <ds:schemaRef ds:uri="c1f338ac-e338-414f-952c-f74dcc6d59e1"/>
    <ds:schemaRef ds:uri="acaf4567-dc07-471f-892c-2bcb86ef35a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TA1127 and TA1030 Treatment for resectable non-small-cell lung cancer: Resource impact template 04/02/2026</dc:title>
  <dc:subject/>
  <dc:creator/>
  <cp:keywords/>
  <dc:description/>
  <cp:lastModifiedBy/>
  <cp:revision/>
  <dcterms:created xsi:type="dcterms:W3CDTF">2022-07-27T12:38:28Z</dcterms:created>
  <dcterms:modified xsi:type="dcterms:W3CDTF">2026-02-04T11:08:41Z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