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8367FC1E-5CC5-469D-8449-09939568A031}" xr6:coauthVersionLast="47" xr6:coauthVersionMax="47" xr10:uidLastSave="{00000000-0000-0000-0000-000000000000}"/>
  <bookViews>
    <workbookView xWindow="7170" yWindow="2490" windowWidth="21600" windowHeight="11265"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#REF!</definedName>
    <definedName name="ORGTYPE" localSheetId="8">#REF!</definedName>
    <definedName name="ORGTYPE" localSheetId="0">#REF!</definedName>
    <definedName name="ORGTYPE" localSheetId="6">#REF!</definedName>
    <definedName name="ORGTYPE" localSheetId="5">#REF!</definedName>
    <definedName name="ORGTYPE">'Population selection'!$L$5:$L$14</definedName>
    <definedName name="ORGTYPE2">#REF!</definedName>
    <definedName name="ORGTYPE3">#REF!</definedName>
    <definedName name="PER100K">'Population selection'!$B$23</definedName>
    <definedName name="Popindicator">'Population selection'!$B$549:$B$564</definedName>
    <definedName name="_xlnm.Print_Area" localSheetId="7">'Capacity (local prices)'!$B$1:$S$297</definedName>
    <definedName name="_xlnm.Print_Area" localSheetId="8">'Capacity (national prices)'!$B$1:$S$297</definedName>
    <definedName name="_xlnm.Print_Area" localSheetId="1">Contents!$A$1:$P$29</definedName>
    <definedName name="_xlnm.Print_Area" localSheetId="0">Cover!$A$1:$P$33</definedName>
    <definedName name="_xlnm.Print_Area" localSheetId="6">'Financial impact (cash)'!$B$1:$J$55</definedName>
    <definedName name="_xlnm.Print_Area" localSheetId="3">'Inputs and eligible population'!$A$2:$S$146</definedName>
    <definedName name="_xlnm.Print_Area" localSheetId="2">'Population selection'!$B$11:$J$17</definedName>
    <definedName name="_xlnm.Print_Area" localSheetId="5">Summary!$B$1:$K$64</definedName>
    <definedName name="_xlnm.Print_Area" localSheetId="4">'Unit costs'!$B$1:$T$120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8" i="56" l="1"/>
  <c r="I233" i="56"/>
  <c r="I238" i="56"/>
  <c r="I243" i="56"/>
  <c r="I248" i="56"/>
  <c r="I208" i="56"/>
  <c r="I213" i="56"/>
  <c r="I218" i="56"/>
  <c r="I173" i="56"/>
  <c r="I178" i="56"/>
  <c r="I183" i="56"/>
  <c r="I188" i="56"/>
  <c r="I168" i="56"/>
  <c r="I157" i="56"/>
  <c r="I152" i="56"/>
  <c r="I147" i="56"/>
  <c r="I90" i="56"/>
  <c r="I85" i="56"/>
  <c r="I80" i="56"/>
  <c r="I75" i="56"/>
  <c r="I70" i="56"/>
  <c r="I59" i="56"/>
  <c r="I54" i="56"/>
  <c r="I49" i="56"/>
  <c r="K294" i="46" l="1"/>
  <c r="K293" i="46"/>
  <c r="K292" i="46"/>
  <c r="K291" i="46"/>
  <c r="K290" i="46"/>
  <c r="K289" i="46"/>
  <c r="K288" i="46"/>
  <c r="K287" i="46"/>
  <c r="K286" i="46"/>
  <c r="K285" i="46"/>
  <c r="K284" i="46"/>
  <c r="K283" i="46"/>
  <c r="K282" i="46"/>
  <c r="K281" i="46"/>
  <c r="K280" i="46"/>
  <c r="K279" i="46"/>
  <c r="K278" i="46"/>
  <c r="K277" i="46"/>
  <c r="K276" i="46"/>
  <c r="K275" i="46"/>
  <c r="K274" i="46"/>
  <c r="I228" i="46"/>
  <c r="I233" i="46"/>
  <c r="I238" i="46"/>
  <c r="I243" i="46"/>
  <c r="I248" i="46"/>
  <c r="I208" i="46"/>
  <c r="I213" i="46"/>
  <c r="I218" i="46"/>
  <c r="I168" i="46"/>
  <c r="I173" i="46"/>
  <c r="I178" i="46"/>
  <c r="I183" i="46"/>
  <c r="I188" i="46"/>
  <c r="I59" i="46"/>
  <c r="I54" i="46"/>
  <c r="I49" i="46"/>
  <c r="I75" i="46"/>
  <c r="I90" i="46"/>
  <c r="I85" i="46"/>
  <c r="I80" i="46"/>
  <c r="I70" i="46"/>
  <c r="I157" i="46"/>
  <c r="I152" i="46"/>
  <c r="I147" i="46"/>
  <c r="I142" i="46"/>
  <c r="I137" i="46"/>
  <c r="K97" i="56"/>
  <c r="C127" i="56"/>
  <c r="I126" i="56"/>
  <c r="E126" i="56"/>
  <c r="C126" i="56"/>
  <c r="I125" i="56"/>
  <c r="H125" i="56"/>
  <c r="D125" i="56"/>
  <c r="C125" i="56"/>
  <c r="G124" i="56"/>
  <c r="C124" i="56"/>
  <c r="C123" i="56"/>
  <c r="I122" i="56"/>
  <c r="F122" i="56"/>
  <c r="E122" i="56"/>
  <c r="C122" i="56"/>
  <c r="H121" i="56"/>
  <c r="E121" i="56"/>
  <c r="D121" i="56"/>
  <c r="C121" i="56"/>
  <c r="C120" i="56"/>
  <c r="C119" i="56"/>
  <c r="I118" i="56"/>
  <c r="E118" i="56"/>
  <c r="C118" i="56"/>
  <c r="I117" i="56"/>
  <c r="H117" i="56"/>
  <c r="D117" i="56"/>
  <c r="C117" i="56"/>
  <c r="H116" i="56"/>
  <c r="G116" i="56"/>
  <c r="C116" i="56"/>
  <c r="C115" i="56"/>
  <c r="I114" i="56"/>
  <c r="F114" i="56"/>
  <c r="E114" i="56"/>
  <c r="C114" i="56"/>
  <c r="H113" i="56"/>
  <c r="E113" i="56"/>
  <c r="D113" i="56"/>
  <c r="C113" i="56"/>
  <c r="C112" i="56"/>
  <c r="C111" i="56"/>
  <c r="I110" i="56"/>
  <c r="E110" i="56"/>
  <c r="C110" i="56"/>
  <c r="I109" i="56"/>
  <c r="H109" i="56"/>
  <c r="D109" i="56"/>
  <c r="C109" i="56"/>
  <c r="H108" i="56"/>
  <c r="G108" i="56"/>
  <c r="C108" i="56"/>
  <c r="F107" i="56"/>
  <c r="C107" i="56"/>
  <c r="I106" i="56"/>
  <c r="F106" i="56"/>
  <c r="E106" i="56"/>
  <c r="C106" i="56"/>
  <c r="H105" i="56"/>
  <c r="E105" i="56"/>
  <c r="D105" i="56"/>
  <c r="C105" i="56"/>
  <c r="C104" i="56"/>
  <c r="C103" i="56"/>
  <c r="B14" i="56"/>
  <c r="H105" i="46"/>
  <c r="C127" i="46"/>
  <c r="D127" i="46" s="1"/>
  <c r="C126" i="46"/>
  <c r="I126" i="46" s="1"/>
  <c r="C125" i="46"/>
  <c r="H125" i="46" s="1"/>
  <c r="C124" i="46"/>
  <c r="F124" i="46" s="1"/>
  <c r="C123" i="46"/>
  <c r="G123" i="46" s="1"/>
  <c r="C122" i="46"/>
  <c r="G122" i="46" s="1"/>
  <c r="C121" i="46"/>
  <c r="F121" i="46" s="1"/>
  <c r="C120" i="46"/>
  <c r="E120" i="46" s="1"/>
  <c r="C119" i="46"/>
  <c r="F119" i="46" s="1"/>
  <c r="C118" i="46"/>
  <c r="F118" i="46" s="1"/>
  <c r="C117" i="46"/>
  <c r="H117" i="46" s="1"/>
  <c r="C116" i="46"/>
  <c r="I116" i="46" s="1"/>
  <c r="C115" i="46"/>
  <c r="I115" i="46" s="1"/>
  <c r="C114" i="46"/>
  <c r="I114" i="46" s="1"/>
  <c r="C113" i="46"/>
  <c r="I113" i="46" s="1"/>
  <c r="C112" i="46"/>
  <c r="H112" i="46" s="1"/>
  <c r="C111" i="46"/>
  <c r="D111" i="46" s="1"/>
  <c r="C110" i="46"/>
  <c r="I110" i="46" s="1"/>
  <c r="C109" i="46"/>
  <c r="F109" i="46" s="1"/>
  <c r="C108" i="46"/>
  <c r="F108" i="46" s="1"/>
  <c r="C107" i="46"/>
  <c r="G107" i="46" s="1"/>
  <c r="C106" i="46"/>
  <c r="D106" i="46" s="1"/>
  <c r="C105" i="46"/>
  <c r="D105" i="46" s="1"/>
  <c r="C104" i="46"/>
  <c r="H104" i="46" s="1"/>
  <c r="C103" i="46"/>
  <c r="G103" i="46" s="1"/>
  <c r="D104" i="56" l="1"/>
  <c r="G107" i="56"/>
  <c r="D112" i="56"/>
  <c r="G125" i="46"/>
  <c r="E104" i="56"/>
  <c r="F105" i="56"/>
  <c r="G106" i="56"/>
  <c r="H107" i="56"/>
  <c r="I108" i="56"/>
  <c r="D111" i="56"/>
  <c r="E112" i="56"/>
  <c r="F113" i="56"/>
  <c r="G114" i="56"/>
  <c r="H115" i="56"/>
  <c r="I116" i="56"/>
  <c r="D119" i="56"/>
  <c r="E120" i="56"/>
  <c r="F121" i="56"/>
  <c r="G122" i="56"/>
  <c r="H123" i="56"/>
  <c r="I124" i="56"/>
  <c r="D127" i="56"/>
  <c r="G115" i="56"/>
  <c r="D120" i="56"/>
  <c r="G123" i="56"/>
  <c r="H124" i="56"/>
  <c r="H124" i="46"/>
  <c r="F104" i="56"/>
  <c r="G105" i="56"/>
  <c r="H106" i="56"/>
  <c r="I107" i="56"/>
  <c r="D110" i="56"/>
  <c r="E111" i="56"/>
  <c r="F112" i="56"/>
  <c r="G113" i="56"/>
  <c r="H114" i="56"/>
  <c r="I115" i="56"/>
  <c r="D118" i="56"/>
  <c r="E119" i="56"/>
  <c r="F120" i="56"/>
  <c r="G121" i="56"/>
  <c r="H122" i="56"/>
  <c r="I123" i="56"/>
  <c r="D126" i="56"/>
  <c r="E127" i="56"/>
  <c r="G104" i="56"/>
  <c r="F111" i="56"/>
  <c r="F127" i="56"/>
  <c r="H104" i="56"/>
  <c r="I105" i="56"/>
  <c r="D108" i="56"/>
  <c r="E109" i="56"/>
  <c r="F110" i="56"/>
  <c r="G111" i="56"/>
  <c r="H112" i="56"/>
  <c r="I113" i="56"/>
  <c r="D116" i="56"/>
  <c r="E117" i="56"/>
  <c r="F118" i="56"/>
  <c r="G119" i="56"/>
  <c r="H120" i="56"/>
  <c r="I121" i="56"/>
  <c r="D124" i="56"/>
  <c r="E125" i="56"/>
  <c r="F126" i="56"/>
  <c r="G127" i="56"/>
  <c r="G112" i="56"/>
  <c r="F119" i="56"/>
  <c r="E103" i="56"/>
  <c r="I104" i="56"/>
  <c r="D107" i="56"/>
  <c r="E108" i="56"/>
  <c r="F109" i="56"/>
  <c r="G110" i="56"/>
  <c r="H111" i="56"/>
  <c r="I112" i="56"/>
  <c r="D115" i="56"/>
  <c r="E116" i="56"/>
  <c r="F117" i="56"/>
  <c r="G118" i="56"/>
  <c r="H119" i="56"/>
  <c r="I120" i="56"/>
  <c r="D123" i="56"/>
  <c r="E124" i="56"/>
  <c r="F125" i="56"/>
  <c r="G126" i="56"/>
  <c r="H127" i="56"/>
  <c r="G120" i="56"/>
  <c r="F103" i="56"/>
  <c r="D106" i="56"/>
  <c r="E107" i="56"/>
  <c r="F108" i="56"/>
  <c r="G109" i="56"/>
  <c r="H110" i="56"/>
  <c r="I111" i="56"/>
  <c r="D114" i="56"/>
  <c r="E115" i="56"/>
  <c r="F116" i="56"/>
  <c r="G117" i="56"/>
  <c r="H118" i="56"/>
  <c r="I119" i="56"/>
  <c r="D122" i="56"/>
  <c r="E123" i="56"/>
  <c r="F124" i="56"/>
  <c r="G125" i="56"/>
  <c r="H126" i="56"/>
  <c r="I127" i="56"/>
  <c r="F115" i="56"/>
  <c r="F123" i="56"/>
  <c r="H103" i="56"/>
  <c r="I103" i="56"/>
  <c r="G103" i="56"/>
  <c r="D103" i="56"/>
  <c r="D117" i="46"/>
  <c r="D121" i="46"/>
  <c r="H121" i="46"/>
  <c r="E124" i="46"/>
  <c r="E125" i="46"/>
  <c r="D108" i="46"/>
  <c r="E116" i="46"/>
  <c r="D118" i="46"/>
  <c r="G119" i="46"/>
  <c r="F125" i="46"/>
  <c r="E126" i="46"/>
  <c r="H126" i="46"/>
  <c r="I125" i="46"/>
  <c r="D110" i="46"/>
  <c r="E117" i="46"/>
  <c r="E119" i="46"/>
  <c r="H120" i="46"/>
  <c r="G126" i="46"/>
  <c r="E127" i="46"/>
  <c r="I127" i="46"/>
  <c r="H123" i="46"/>
  <c r="E103" i="46"/>
  <c r="E108" i="46"/>
  <c r="F117" i="46"/>
  <c r="G121" i="46"/>
  <c r="I121" i="46"/>
  <c r="H127" i="46"/>
  <c r="F126" i="46"/>
  <c r="F123" i="46"/>
  <c r="I124" i="46"/>
  <c r="F103" i="46"/>
  <c r="G110" i="46"/>
  <c r="G117" i="46"/>
  <c r="H122" i="46"/>
  <c r="H119" i="46"/>
  <c r="D124" i="46"/>
  <c r="F127" i="46"/>
  <c r="G124" i="46"/>
  <c r="I123" i="46"/>
  <c r="H103" i="46"/>
  <c r="I107" i="46"/>
  <c r="I117" i="46"/>
  <c r="E121" i="46"/>
  <c r="I119" i="46"/>
  <c r="D125" i="46"/>
  <c r="G127" i="46"/>
  <c r="F105" i="46"/>
  <c r="D113" i="46"/>
  <c r="G113" i="46"/>
  <c r="I118" i="46"/>
  <c r="D126" i="46"/>
  <c r="E123" i="46"/>
  <c r="G105" i="46"/>
  <c r="D119" i="46"/>
  <c r="D123" i="46"/>
  <c r="I104" i="46"/>
  <c r="I122" i="46"/>
  <c r="E122" i="46"/>
  <c r="D122" i="46"/>
  <c r="F122" i="46"/>
  <c r="F120" i="46"/>
  <c r="I120" i="46"/>
  <c r="D120" i="46"/>
  <c r="G120" i="46"/>
  <c r="G118" i="46"/>
  <c r="E118" i="46"/>
  <c r="H118" i="46"/>
  <c r="F116" i="46"/>
  <c r="G116" i="46"/>
  <c r="H116" i="46"/>
  <c r="D116" i="46"/>
  <c r="D115" i="46"/>
  <c r="H115" i="46"/>
  <c r="F115" i="46"/>
  <c r="E115" i="46"/>
  <c r="G115" i="46"/>
  <c r="G114" i="46"/>
  <c r="D114" i="46"/>
  <c r="F114" i="46"/>
  <c r="H114" i="46"/>
  <c r="E114" i="46"/>
  <c r="H113" i="46"/>
  <c r="F113" i="46"/>
  <c r="E113" i="46"/>
  <c r="F106" i="46"/>
  <c r="E106" i="46"/>
  <c r="G106" i="46"/>
  <c r="H106" i="46"/>
  <c r="I106" i="46"/>
  <c r="E105" i="46"/>
  <c r="I105" i="46"/>
  <c r="G108" i="46"/>
  <c r="I108" i="46"/>
  <c r="I112" i="46"/>
  <c r="E112" i="46"/>
  <c r="F112" i="46"/>
  <c r="D112" i="46"/>
  <c r="G112" i="46"/>
  <c r="F111" i="46"/>
  <c r="H111" i="46"/>
  <c r="E111" i="46"/>
  <c r="I111" i="46"/>
  <c r="G111" i="46"/>
  <c r="E110" i="46"/>
  <c r="H110" i="46"/>
  <c r="F110" i="46"/>
  <c r="I109" i="46"/>
  <c r="G109" i="46"/>
  <c r="E109" i="46"/>
  <c r="D109" i="46"/>
  <c r="H109" i="46"/>
  <c r="H108" i="46"/>
  <c r="H107" i="46"/>
  <c r="D107" i="46"/>
  <c r="E107" i="46"/>
  <c r="F107" i="46"/>
  <c r="E104" i="46"/>
  <c r="D104" i="46"/>
  <c r="F104" i="46"/>
  <c r="G104" i="46"/>
  <c r="I103" i="46"/>
  <c r="D103" i="46"/>
  <c r="G128" i="56" l="1"/>
  <c r="G13" i="56" s="1"/>
  <c r="I128" i="56"/>
  <c r="I13" i="56" s="1"/>
  <c r="H128" i="56"/>
  <c r="E128" i="56"/>
  <c r="D128" i="56"/>
  <c r="F128" i="56"/>
  <c r="H13" i="56"/>
  <c r="H97" i="56"/>
  <c r="H129" i="56"/>
  <c r="I129" i="56"/>
  <c r="F129" i="56"/>
  <c r="I97" i="56"/>
  <c r="D97" i="56"/>
  <c r="E128" i="46"/>
  <c r="E13" i="46" s="1"/>
  <c r="G128" i="46"/>
  <c r="G13" i="46" s="1"/>
  <c r="D128" i="46"/>
  <c r="I128" i="46"/>
  <c r="I13" i="46" s="1"/>
  <c r="F128" i="46"/>
  <c r="F13" i="46" s="1"/>
  <c r="H128" i="46"/>
  <c r="H13" i="46" s="1"/>
  <c r="F13" i="56" l="1"/>
  <c r="F97" i="56"/>
  <c r="E129" i="56"/>
  <c r="G97" i="56"/>
  <c r="G98" i="56" s="1"/>
  <c r="E13" i="56"/>
  <c r="E97" i="56"/>
  <c r="G129" i="56"/>
  <c r="D13" i="56"/>
  <c r="D97" i="46"/>
  <c r="D13" i="46"/>
  <c r="H98" i="56"/>
  <c r="P97" i="56"/>
  <c r="P98" i="56" s="1"/>
  <c r="I98" i="56"/>
  <c r="I99" i="56" s="1"/>
  <c r="Q97" i="56"/>
  <c r="Q98" i="56" s="1"/>
  <c r="D98" i="56"/>
  <c r="L97" i="56"/>
  <c r="L98" i="56" s="1"/>
  <c r="F129" i="46"/>
  <c r="E48" i="47" s="1"/>
  <c r="F97" i="46"/>
  <c r="H97" i="46"/>
  <c r="H129" i="46"/>
  <c r="G48" i="47" s="1"/>
  <c r="I97" i="46"/>
  <c r="I129" i="46"/>
  <c r="H48" i="47" s="1"/>
  <c r="G129" i="46"/>
  <c r="F48" i="47" s="1"/>
  <c r="G97" i="46"/>
  <c r="E129" i="46"/>
  <c r="D48" i="47" s="1"/>
  <c r="E97" i="46"/>
  <c r="H99" i="56" l="1"/>
  <c r="E98" i="56"/>
  <c r="E99" i="56" s="1"/>
  <c r="M97" i="56"/>
  <c r="M98" i="56" s="1"/>
  <c r="M13" i="56" s="1"/>
  <c r="F98" i="56"/>
  <c r="F99" i="56" s="1"/>
  <c r="N97" i="56"/>
  <c r="N98" i="56" s="1"/>
  <c r="O97" i="56"/>
  <c r="O98" i="56" s="1"/>
  <c r="O99" i="56" s="1"/>
  <c r="P99" i="56"/>
  <c r="P13" i="56"/>
  <c r="L13" i="56"/>
  <c r="Q99" i="56"/>
  <c r="Q13" i="56"/>
  <c r="G99" i="56"/>
  <c r="B16" i="56"/>
  <c r="K81" i="56"/>
  <c r="K294" i="56"/>
  <c r="K293" i="56"/>
  <c r="K292" i="56"/>
  <c r="K291" i="56"/>
  <c r="K290" i="56"/>
  <c r="K289" i="56"/>
  <c r="K288" i="56"/>
  <c r="K287" i="56"/>
  <c r="K286" i="56"/>
  <c r="K285" i="56"/>
  <c r="K284" i="56"/>
  <c r="K283" i="56"/>
  <c r="K282" i="56"/>
  <c r="K281" i="56"/>
  <c r="K280" i="56"/>
  <c r="K279" i="56"/>
  <c r="K278" i="56"/>
  <c r="K277" i="56"/>
  <c r="K276" i="56"/>
  <c r="K275" i="56"/>
  <c r="K274" i="56"/>
  <c r="O13" i="56" l="1"/>
  <c r="N99" i="56"/>
  <c r="N13" i="56"/>
  <c r="M99" i="56"/>
  <c r="C158" i="56"/>
  <c r="C157" i="56"/>
  <c r="C156" i="56"/>
  <c r="C155" i="56"/>
  <c r="C154" i="56"/>
  <c r="C153" i="56"/>
  <c r="C152" i="56"/>
  <c r="C151" i="56"/>
  <c r="C150" i="56"/>
  <c r="C149" i="56"/>
  <c r="C148" i="56"/>
  <c r="C147" i="56"/>
  <c r="C146" i="56"/>
  <c r="C145" i="56"/>
  <c r="C144" i="56"/>
  <c r="C143" i="56"/>
  <c r="C142" i="56"/>
  <c r="C141" i="56"/>
  <c r="C140" i="56"/>
  <c r="C139" i="56"/>
  <c r="C138" i="56"/>
  <c r="C137" i="56"/>
  <c r="C136" i="56"/>
  <c r="C135" i="56"/>
  <c r="C134" i="56"/>
  <c r="K258" i="56"/>
  <c r="K257" i="56"/>
  <c r="K256" i="56"/>
  <c r="K255" i="56"/>
  <c r="K219" i="56"/>
  <c r="K218" i="56"/>
  <c r="K217" i="56"/>
  <c r="K216" i="56"/>
  <c r="K215" i="56"/>
  <c r="K214" i="56"/>
  <c r="K213" i="56"/>
  <c r="K212" i="56"/>
  <c r="K211" i="56"/>
  <c r="K210" i="56"/>
  <c r="K209" i="56"/>
  <c r="K208" i="56"/>
  <c r="K207" i="56"/>
  <c r="K206" i="56"/>
  <c r="K205" i="56"/>
  <c r="K204" i="56"/>
  <c r="K203" i="56"/>
  <c r="K202" i="56"/>
  <c r="K201" i="56"/>
  <c r="K200" i="56"/>
  <c r="K199" i="56"/>
  <c r="K198" i="56"/>
  <c r="K197" i="56"/>
  <c r="K196" i="56"/>
  <c r="K195" i="56"/>
  <c r="K249" i="56"/>
  <c r="K248" i="56"/>
  <c r="K247" i="56"/>
  <c r="K246" i="56"/>
  <c r="K245" i="56"/>
  <c r="K244" i="56"/>
  <c r="K243" i="56"/>
  <c r="K242" i="56"/>
  <c r="K241" i="56"/>
  <c r="K240" i="56"/>
  <c r="K239" i="56"/>
  <c r="K238" i="56"/>
  <c r="K237" i="56"/>
  <c r="K236" i="56"/>
  <c r="K235" i="56"/>
  <c r="K234" i="56"/>
  <c r="K233" i="56"/>
  <c r="K232" i="56"/>
  <c r="K231" i="56"/>
  <c r="K230" i="56"/>
  <c r="K229" i="56"/>
  <c r="K228" i="56"/>
  <c r="K227" i="56"/>
  <c r="K226" i="56"/>
  <c r="K225" i="56"/>
  <c r="K189" i="56"/>
  <c r="K188" i="56"/>
  <c r="K187" i="56"/>
  <c r="K186" i="56"/>
  <c r="K185" i="56"/>
  <c r="K184" i="56"/>
  <c r="K183" i="56"/>
  <c r="K182" i="56"/>
  <c r="K181" i="56"/>
  <c r="K180" i="56"/>
  <c r="K179" i="56"/>
  <c r="K178" i="56"/>
  <c r="K177" i="56"/>
  <c r="K176" i="56"/>
  <c r="K175" i="56"/>
  <c r="K174" i="56"/>
  <c r="K173" i="56"/>
  <c r="K172" i="56"/>
  <c r="K171" i="56"/>
  <c r="K170" i="56"/>
  <c r="K169" i="56"/>
  <c r="K168" i="56"/>
  <c r="K167" i="56"/>
  <c r="K166" i="56"/>
  <c r="K165" i="56"/>
  <c r="K91" i="56"/>
  <c r="K90" i="56"/>
  <c r="K89" i="56"/>
  <c r="K88" i="56"/>
  <c r="K87" i="56"/>
  <c r="K86" i="56"/>
  <c r="K85" i="56"/>
  <c r="K84" i="56"/>
  <c r="K83" i="56"/>
  <c r="K82" i="56"/>
  <c r="K80" i="56"/>
  <c r="K79" i="56"/>
  <c r="K78" i="56"/>
  <c r="K77" i="56"/>
  <c r="K76" i="56"/>
  <c r="K75" i="56"/>
  <c r="K74" i="56"/>
  <c r="K73" i="56"/>
  <c r="K72" i="56"/>
  <c r="K71" i="56"/>
  <c r="K70" i="56"/>
  <c r="K69" i="56"/>
  <c r="K68" i="56"/>
  <c r="K67" i="56"/>
  <c r="K60" i="56"/>
  <c r="K59" i="56"/>
  <c r="K58" i="56"/>
  <c r="K57" i="56"/>
  <c r="K56" i="56"/>
  <c r="K55" i="56"/>
  <c r="K54" i="56"/>
  <c r="K53" i="56"/>
  <c r="K52" i="56"/>
  <c r="K51" i="56"/>
  <c r="K50" i="56"/>
  <c r="K49" i="56"/>
  <c r="K48" i="56"/>
  <c r="K47" i="56"/>
  <c r="K46" i="56"/>
  <c r="K45" i="56"/>
  <c r="K44" i="56"/>
  <c r="K43" i="56"/>
  <c r="K42" i="56"/>
  <c r="K41" i="56"/>
  <c r="K40" i="56"/>
  <c r="K39" i="56"/>
  <c r="K38" i="56"/>
  <c r="K37" i="56"/>
  <c r="K36" i="56"/>
  <c r="K30" i="56"/>
  <c r="K29" i="56"/>
  <c r="K28" i="56"/>
  <c r="K27" i="56"/>
  <c r="C267" i="56"/>
  <c r="C266" i="56"/>
  <c r="C265" i="56"/>
  <c r="C264" i="56"/>
  <c r="C258" i="56"/>
  <c r="C257" i="56"/>
  <c r="C256" i="56"/>
  <c r="C255" i="56"/>
  <c r="C249" i="56"/>
  <c r="C248" i="56"/>
  <c r="C247" i="56"/>
  <c r="C246" i="56"/>
  <c r="C245" i="56"/>
  <c r="C244" i="56"/>
  <c r="C243" i="56"/>
  <c r="C242" i="56"/>
  <c r="C241" i="56"/>
  <c r="C240" i="56"/>
  <c r="C239" i="56"/>
  <c r="C238" i="56"/>
  <c r="C237" i="56"/>
  <c r="C236" i="56"/>
  <c r="C235" i="56"/>
  <c r="C234" i="56"/>
  <c r="C233" i="56"/>
  <c r="C232" i="56"/>
  <c r="C231" i="56"/>
  <c r="C230" i="56"/>
  <c r="C229" i="56"/>
  <c r="C228" i="56"/>
  <c r="C227" i="56"/>
  <c r="C226" i="56"/>
  <c r="C225" i="56"/>
  <c r="C219" i="56"/>
  <c r="C218" i="56"/>
  <c r="C217" i="56"/>
  <c r="C216" i="56"/>
  <c r="C215" i="56"/>
  <c r="C214" i="56"/>
  <c r="C213" i="56"/>
  <c r="C212" i="56"/>
  <c r="C211" i="56"/>
  <c r="C210" i="56"/>
  <c r="C209" i="56"/>
  <c r="C208" i="56"/>
  <c r="C207" i="56"/>
  <c r="C206" i="56"/>
  <c r="C205" i="56"/>
  <c r="C204" i="56"/>
  <c r="C203" i="56"/>
  <c r="C202" i="56"/>
  <c r="C201" i="56"/>
  <c r="C200" i="56"/>
  <c r="C199" i="56"/>
  <c r="C198" i="56"/>
  <c r="C197" i="56"/>
  <c r="C196" i="56"/>
  <c r="C195" i="56"/>
  <c r="C189" i="56"/>
  <c r="C188" i="56"/>
  <c r="C187" i="56"/>
  <c r="C186" i="56"/>
  <c r="C185" i="56"/>
  <c r="C184" i="56"/>
  <c r="C183" i="56"/>
  <c r="C182" i="56"/>
  <c r="C181" i="56"/>
  <c r="C180" i="56"/>
  <c r="C179" i="56"/>
  <c r="C178" i="56"/>
  <c r="C177" i="56"/>
  <c r="C176" i="56"/>
  <c r="C175" i="56"/>
  <c r="C174" i="56"/>
  <c r="C173" i="56"/>
  <c r="C172" i="56"/>
  <c r="C171" i="56"/>
  <c r="C170" i="56"/>
  <c r="C169" i="56"/>
  <c r="C168" i="56"/>
  <c r="C167" i="56"/>
  <c r="C166" i="56"/>
  <c r="C165" i="56"/>
  <c r="C91" i="56"/>
  <c r="C90" i="56"/>
  <c r="C89" i="56"/>
  <c r="C88" i="56"/>
  <c r="C87" i="56"/>
  <c r="C86" i="56"/>
  <c r="C85" i="56"/>
  <c r="C84" i="56"/>
  <c r="C83" i="56"/>
  <c r="C82" i="56"/>
  <c r="C81" i="56"/>
  <c r="C80" i="56"/>
  <c r="C79" i="56"/>
  <c r="C78" i="56"/>
  <c r="C77" i="56"/>
  <c r="C76" i="56"/>
  <c r="C75" i="56"/>
  <c r="C74" i="56"/>
  <c r="C73" i="56"/>
  <c r="C72" i="56"/>
  <c r="C71" i="56"/>
  <c r="C70" i="56"/>
  <c r="C69" i="56"/>
  <c r="C68" i="56"/>
  <c r="C67" i="56"/>
  <c r="C60" i="56"/>
  <c r="C59" i="56"/>
  <c r="C58" i="56"/>
  <c r="C57" i="56"/>
  <c r="C56" i="56"/>
  <c r="C55" i="56"/>
  <c r="C54" i="56"/>
  <c r="C53" i="56"/>
  <c r="C52" i="56"/>
  <c r="C51" i="56"/>
  <c r="C50" i="56"/>
  <c r="C49" i="56"/>
  <c r="C48" i="56"/>
  <c r="C47" i="56"/>
  <c r="C46" i="56"/>
  <c r="C45" i="56"/>
  <c r="C44" i="56"/>
  <c r="C43" i="56"/>
  <c r="C42" i="56"/>
  <c r="C41" i="56"/>
  <c r="C40" i="56"/>
  <c r="C39" i="56"/>
  <c r="C38" i="56"/>
  <c r="C37" i="56"/>
  <c r="C36" i="56"/>
  <c r="C30" i="56"/>
  <c r="C29" i="56"/>
  <c r="C28" i="56"/>
  <c r="C27" i="56"/>
  <c r="K219" i="46"/>
  <c r="K218" i="46"/>
  <c r="K217" i="46"/>
  <c r="K216" i="46"/>
  <c r="K215" i="46"/>
  <c r="K214" i="46"/>
  <c r="K213" i="46"/>
  <c r="K212" i="46"/>
  <c r="K211" i="46"/>
  <c r="K210" i="46"/>
  <c r="K209" i="46"/>
  <c r="K208" i="46"/>
  <c r="K207" i="46"/>
  <c r="K206" i="46"/>
  <c r="K205" i="46"/>
  <c r="K204" i="46"/>
  <c r="K203" i="46"/>
  <c r="K202" i="46"/>
  <c r="K201" i="46"/>
  <c r="K200" i="46"/>
  <c r="K199" i="46"/>
  <c r="K198" i="46"/>
  <c r="K197" i="46"/>
  <c r="K196" i="46"/>
  <c r="K195" i="46"/>
  <c r="C219" i="46"/>
  <c r="C218" i="46"/>
  <c r="C217" i="46"/>
  <c r="C216" i="46"/>
  <c r="C215" i="46"/>
  <c r="C214" i="46"/>
  <c r="C213" i="46"/>
  <c r="C212" i="46"/>
  <c r="C211" i="46"/>
  <c r="C210" i="46"/>
  <c r="C209" i="46"/>
  <c r="C208" i="46"/>
  <c r="C207" i="46"/>
  <c r="C206" i="46"/>
  <c r="C205" i="46"/>
  <c r="C204" i="46"/>
  <c r="C203" i="46"/>
  <c r="C202" i="46"/>
  <c r="C201" i="46"/>
  <c r="C200" i="46"/>
  <c r="C199" i="46"/>
  <c r="C198" i="46"/>
  <c r="C197" i="46"/>
  <c r="C196" i="46"/>
  <c r="C195" i="46"/>
  <c r="C225" i="46"/>
  <c r="K225" i="46"/>
  <c r="C226" i="46"/>
  <c r="K226" i="46"/>
  <c r="C227" i="46"/>
  <c r="K227" i="46"/>
  <c r="C228" i="46"/>
  <c r="K228" i="46"/>
  <c r="C229" i="46"/>
  <c r="K229" i="46"/>
  <c r="C230" i="46"/>
  <c r="K230" i="46"/>
  <c r="C231" i="46"/>
  <c r="K231" i="46"/>
  <c r="C232" i="46"/>
  <c r="K232" i="46"/>
  <c r="C233" i="46"/>
  <c r="K233" i="46"/>
  <c r="C234" i="46"/>
  <c r="K234" i="46"/>
  <c r="C235" i="46"/>
  <c r="K235" i="46"/>
  <c r="C236" i="46"/>
  <c r="K236" i="46"/>
  <c r="C237" i="46"/>
  <c r="K237" i="46"/>
  <c r="C238" i="46"/>
  <c r="K238" i="46"/>
  <c r="C239" i="46"/>
  <c r="K239" i="46"/>
  <c r="C240" i="46"/>
  <c r="K240" i="46"/>
  <c r="C241" i="46"/>
  <c r="K241" i="46"/>
  <c r="C242" i="46"/>
  <c r="K242" i="46"/>
  <c r="C243" i="46"/>
  <c r="K243" i="46"/>
  <c r="C244" i="46"/>
  <c r="K244" i="46"/>
  <c r="C245" i="46"/>
  <c r="K245" i="46"/>
  <c r="C246" i="46"/>
  <c r="K246" i="46"/>
  <c r="C247" i="46"/>
  <c r="K247" i="46"/>
  <c r="C248" i="46"/>
  <c r="K248" i="46"/>
  <c r="C249" i="46"/>
  <c r="K249" i="46"/>
  <c r="K189" i="46"/>
  <c r="K188" i="46"/>
  <c r="K187" i="46"/>
  <c r="K186" i="46"/>
  <c r="K185" i="46"/>
  <c r="K184" i="46"/>
  <c r="K183" i="46"/>
  <c r="K182" i="46"/>
  <c r="K181" i="46"/>
  <c r="K180" i="46"/>
  <c r="K179" i="46"/>
  <c r="K178" i="46"/>
  <c r="K177" i="46"/>
  <c r="K176" i="46"/>
  <c r="K175" i="46"/>
  <c r="K174" i="46"/>
  <c r="K173" i="46"/>
  <c r="K172" i="46"/>
  <c r="K171" i="46"/>
  <c r="K170" i="46"/>
  <c r="K169" i="46"/>
  <c r="K168" i="46"/>
  <c r="K167" i="46"/>
  <c r="K166" i="46"/>
  <c r="K165" i="46"/>
  <c r="E154" i="56" l="1"/>
  <c r="I154" i="56"/>
  <c r="H154" i="56"/>
  <c r="F154" i="56"/>
  <c r="C189" i="46"/>
  <c r="C188" i="46"/>
  <c r="C187" i="46"/>
  <c r="C186" i="46"/>
  <c r="C185" i="46"/>
  <c r="C184" i="46"/>
  <c r="C183" i="46"/>
  <c r="C182" i="46"/>
  <c r="C181" i="46"/>
  <c r="C180" i="46"/>
  <c r="C179" i="46"/>
  <c r="C178" i="46"/>
  <c r="C177" i="46"/>
  <c r="C176" i="46"/>
  <c r="C175" i="46"/>
  <c r="C174" i="46"/>
  <c r="C173" i="46"/>
  <c r="C172" i="46"/>
  <c r="C171" i="46"/>
  <c r="C170" i="46"/>
  <c r="C169" i="46"/>
  <c r="C168" i="46"/>
  <c r="C167" i="46"/>
  <c r="C166" i="46"/>
  <c r="C165" i="46"/>
  <c r="C158" i="46"/>
  <c r="C157" i="46"/>
  <c r="C156" i="46"/>
  <c r="C155" i="46"/>
  <c r="C154" i="46"/>
  <c r="C153" i="46"/>
  <c r="C152" i="46"/>
  <c r="C151" i="46"/>
  <c r="C150" i="46"/>
  <c r="C149" i="46"/>
  <c r="C148" i="46"/>
  <c r="C147" i="46"/>
  <c r="C146" i="46"/>
  <c r="C145" i="46"/>
  <c r="C144" i="46"/>
  <c r="C143" i="46"/>
  <c r="C142" i="46"/>
  <c r="C141" i="46"/>
  <c r="C140" i="46"/>
  <c r="C139" i="46"/>
  <c r="K158" i="46"/>
  <c r="K157" i="46"/>
  <c r="K156" i="46"/>
  <c r="K155" i="46"/>
  <c r="K154" i="46"/>
  <c r="K153" i="46"/>
  <c r="K152" i="46"/>
  <c r="K151" i="46"/>
  <c r="K150" i="46"/>
  <c r="K149" i="46"/>
  <c r="K148" i="46"/>
  <c r="K147" i="46"/>
  <c r="K146" i="46"/>
  <c r="K145" i="46"/>
  <c r="K144" i="46"/>
  <c r="K143" i="46"/>
  <c r="K142" i="46"/>
  <c r="K141" i="46"/>
  <c r="K140" i="46"/>
  <c r="K139" i="46"/>
  <c r="K138" i="46"/>
  <c r="K137" i="46"/>
  <c r="K136" i="46"/>
  <c r="K135" i="46"/>
  <c r="K134" i="46"/>
  <c r="C138" i="46" l="1"/>
  <c r="C137" i="46"/>
  <c r="C136" i="46"/>
  <c r="C135" i="46"/>
  <c r="C134" i="46"/>
  <c r="D134" i="46" s="1"/>
  <c r="C91" i="46" l="1"/>
  <c r="C90" i="46"/>
  <c r="C89" i="46"/>
  <c r="C88" i="46"/>
  <c r="C87" i="46"/>
  <c r="C86" i="46"/>
  <c r="C85" i="46"/>
  <c r="C84" i="46"/>
  <c r="C83" i="46"/>
  <c r="C82" i="46"/>
  <c r="C81" i="46"/>
  <c r="C80" i="46"/>
  <c r="C79" i="46"/>
  <c r="C78" i="46"/>
  <c r="C77" i="46"/>
  <c r="C76" i="46"/>
  <c r="C75" i="46"/>
  <c r="C74" i="46"/>
  <c r="C73" i="46"/>
  <c r="C72" i="46"/>
  <c r="C71" i="46"/>
  <c r="C70" i="46"/>
  <c r="C69" i="46"/>
  <c r="C68" i="46"/>
  <c r="C67" i="46"/>
  <c r="K91" i="46"/>
  <c r="K90" i="46"/>
  <c r="K89" i="46"/>
  <c r="K88" i="46"/>
  <c r="K87" i="46"/>
  <c r="K86" i="46"/>
  <c r="K85" i="46"/>
  <c r="K84" i="46"/>
  <c r="K83" i="46"/>
  <c r="K82" i="46"/>
  <c r="K81" i="46"/>
  <c r="K80" i="46"/>
  <c r="K79" i="46"/>
  <c r="K78" i="46"/>
  <c r="K77" i="46"/>
  <c r="K76" i="46"/>
  <c r="K75" i="46"/>
  <c r="K74" i="46"/>
  <c r="K73" i="46"/>
  <c r="K72" i="46"/>
  <c r="K71" i="46"/>
  <c r="K70" i="46"/>
  <c r="K69" i="46"/>
  <c r="K68" i="46"/>
  <c r="K67" i="46"/>
  <c r="K59" i="46"/>
  <c r="K58" i="46"/>
  <c r="K57" i="46"/>
  <c r="K56" i="46"/>
  <c r="K55" i="46"/>
  <c r="K54" i="46"/>
  <c r="K53" i="46"/>
  <c r="K52" i="46"/>
  <c r="K51" i="46"/>
  <c r="K50" i="46"/>
  <c r="K49" i="46"/>
  <c r="K48" i="46"/>
  <c r="K47" i="46"/>
  <c r="K46" i="46"/>
  <c r="C60" i="46"/>
  <c r="C59" i="46"/>
  <c r="C58" i="46"/>
  <c r="C57" i="46"/>
  <c r="C56" i="46"/>
  <c r="C55" i="46"/>
  <c r="C54" i="46"/>
  <c r="C53" i="46"/>
  <c r="C52" i="46"/>
  <c r="C51" i="46"/>
  <c r="C50" i="46"/>
  <c r="C49" i="46"/>
  <c r="C48" i="46"/>
  <c r="C47" i="46"/>
  <c r="C46" i="46"/>
  <c r="K45" i="46"/>
  <c r="C45" i="46"/>
  <c r="K44" i="46"/>
  <c r="C44" i="46"/>
  <c r="K43" i="46"/>
  <c r="C43" i="46"/>
  <c r="K42" i="46"/>
  <c r="C42" i="46"/>
  <c r="K41" i="46"/>
  <c r="C41" i="46"/>
  <c r="C40" i="46"/>
  <c r="C39" i="46"/>
  <c r="C38" i="46"/>
  <c r="C37" i="46"/>
  <c r="C36" i="46"/>
  <c r="K40" i="46"/>
  <c r="K39" i="46"/>
  <c r="K38" i="46"/>
  <c r="K37" i="46"/>
  <c r="F33" i="50" l="1"/>
  <c r="F31" i="50"/>
  <c r="F32" i="50" s="1"/>
  <c r="C266" i="46"/>
  <c r="C257" i="46"/>
  <c r="K27" i="46"/>
  <c r="L11" i="21"/>
  <c r="W20" i="57" l="1"/>
  <c r="K108" i="50"/>
  <c r="K112" i="50"/>
  <c r="K110" i="50"/>
  <c r="K106" i="50"/>
  <c r="K104" i="50"/>
  <c r="K102" i="50"/>
  <c r="K100" i="50"/>
  <c r="K98" i="50"/>
  <c r="G47" i="57"/>
  <c r="E47" i="57"/>
  <c r="D47" i="57"/>
  <c r="C46" i="57"/>
  <c r="E46" i="57" s="1"/>
  <c r="F45" i="57"/>
  <c r="E45" i="57"/>
  <c r="D45" i="57"/>
  <c r="H44" i="57"/>
  <c r="F44" i="57"/>
  <c r="E44" i="57"/>
  <c r="D44" i="57"/>
  <c r="C43" i="57"/>
  <c r="H43" i="57" s="1"/>
  <c r="H42" i="57"/>
  <c r="G42" i="57"/>
  <c r="E42" i="57"/>
  <c r="D42" i="57"/>
  <c r="C41" i="57"/>
  <c r="E41" i="57" s="1"/>
  <c r="C40" i="57"/>
  <c r="E40" i="57" s="1"/>
  <c r="C39" i="57"/>
  <c r="E39" i="57" s="1"/>
  <c r="C38" i="57"/>
  <c r="E38" i="57" s="1"/>
  <c r="C37" i="57"/>
  <c r="E37" i="57" s="1"/>
  <c r="W36" i="57"/>
  <c r="J42" i="57" s="1"/>
  <c r="D36" i="57"/>
  <c r="C36" i="57"/>
  <c r="E36" i="57" s="1"/>
  <c r="C35" i="57"/>
  <c r="E35" i="57" s="1"/>
  <c r="C34" i="57"/>
  <c r="D34" i="57" s="1"/>
  <c r="C33" i="57"/>
  <c r="E33" i="57" s="1"/>
  <c r="C32" i="57"/>
  <c r="E32" i="57" s="1"/>
  <c r="C31" i="57"/>
  <c r="D31" i="57" s="1"/>
  <c r="C30" i="57"/>
  <c r="E30" i="57" s="1"/>
  <c r="C29" i="57"/>
  <c r="D29" i="57" s="1"/>
  <c r="W28" i="57"/>
  <c r="E28" i="57"/>
  <c r="D28" i="57"/>
  <c r="C28" i="57"/>
  <c r="D27" i="57"/>
  <c r="C27" i="57"/>
  <c r="E27" i="57" s="1"/>
  <c r="D26" i="57"/>
  <c r="C26" i="57"/>
  <c r="E26" i="57" s="1"/>
  <c r="D25" i="57"/>
  <c r="C25" i="57"/>
  <c r="E25" i="57" s="1"/>
  <c r="D24" i="57"/>
  <c r="C24" i="57"/>
  <c r="E24" i="57" s="1"/>
  <c r="D23" i="57"/>
  <c r="C23" i="57"/>
  <c r="E23" i="57" s="1"/>
  <c r="D22" i="57"/>
  <c r="C22" i="57"/>
  <c r="E22" i="57" s="1"/>
  <c r="D21" i="57"/>
  <c r="C21" i="57"/>
  <c r="E21" i="57" s="1"/>
  <c r="D20" i="57"/>
  <c r="C20" i="57"/>
  <c r="E20" i="57" s="1"/>
  <c r="E19" i="57"/>
  <c r="D19" i="57"/>
  <c r="C19" i="57"/>
  <c r="E18" i="57"/>
  <c r="D18" i="57"/>
  <c r="C18" i="57"/>
  <c r="E17" i="57"/>
  <c r="D17" i="57"/>
  <c r="C17" i="57"/>
  <c r="E16" i="57"/>
  <c r="D16" i="57"/>
  <c r="C16" i="57"/>
  <c r="E15" i="57"/>
  <c r="D15" i="57"/>
  <c r="C15" i="57"/>
  <c r="E14" i="57"/>
  <c r="D14" i="57"/>
  <c r="C14" i="57"/>
  <c r="E13" i="57"/>
  <c r="D13" i="57"/>
  <c r="C13" i="57"/>
  <c r="E12" i="57"/>
  <c r="D12" i="57"/>
  <c r="C12" i="57"/>
  <c r="H22" i="57" l="1"/>
  <c r="G22" i="57"/>
  <c r="F22" i="57"/>
  <c r="I22" i="57" s="1"/>
  <c r="K22" i="57" s="1"/>
  <c r="H37" i="57"/>
  <c r="I37" i="57" s="1"/>
  <c r="K37" i="57" s="1"/>
  <c r="G37" i="57"/>
  <c r="F37" i="57"/>
  <c r="H36" i="57"/>
  <c r="G36" i="57"/>
  <c r="F36" i="57"/>
  <c r="I36" i="57" s="1"/>
  <c r="K36" i="57" s="1"/>
  <c r="H26" i="57"/>
  <c r="I26" i="57" s="1"/>
  <c r="K26" i="57" s="1"/>
  <c r="G26" i="57"/>
  <c r="F26" i="57"/>
  <c r="H30" i="57"/>
  <c r="G30" i="57"/>
  <c r="F30" i="57"/>
  <c r="I30" i="57" s="1"/>
  <c r="K30" i="57" s="1"/>
  <c r="I20" i="57"/>
  <c r="K20" i="57" s="1"/>
  <c r="H20" i="57"/>
  <c r="G20" i="57"/>
  <c r="F20" i="57"/>
  <c r="H24" i="57"/>
  <c r="G24" i="57"/>
  <c r="F24" i="57"/>
  <c r="I24" i="57" s="1"/>
  <c r="K24" i="57" s="1"/>
  <c r="I33" i="57"/>
  <c r="K33" i="57" s="1"/>
  <c r="H33" i="57"/>
  <c r="G33" i="57"/>
  <c r="F33" i="57"/>
  <c r="H39" i="57"/>
  <c r="G39" i="57"/>
  <c r="F39" i="57"/>
  <c r="I39" i="57" s="1"/>
  <c r="K39" i="57" s="1"/>
  <c r="I13" i="57"/>
  <c r="K13" i="57" s="1"/>
  <c r="H23" i="57"/>
  <c r="G23" i="57"/>
  <c r="F23" i="57"/>
  <c r="I23" i="57" s="1"/>
  <c r="K23" i="57" s="1"/>
  <c r="H32" i="57"/>
  <c r="I32" i="57" s="1"/>
  <c r="K32" i="57" s="1"/>
  <c r="G32" i="57"/>
  <c r="F32" i="57"/>
  <c r="H40" i="57"/>
  <c r="G40" i="57"/>
  <c r="F40" i="57"/>
  <c r="I40" i="57" s="1"/>
  <c r="K40" i="57" s="1"/>
  <c r="H27" i="57"/>
  <c r="G27" i="57"/>
  <c r="F27" i="57"/>
  <c r="I27" i="57" s="1"/>
  <c r="K27" i="57" s="1"/>
  <c r="I38" i="57"/>
  <c r="K38" i="57" s="1"/>
  <c r="H38" i="57"/>
  <c r="G38" i="57"/>
  <c r="F38" i="57"/>
  <c r="H46" i="57"/>
  <c r="G46" i="57"/>
  <c r="F46" i="57"/>
  <c r="I46" i="57" s="1"/>
  <c r="K46" i="57" s="1"/>
  <c r="H21" i="57"/>
  <c r="G21" i="57"/>
  <c r="F21" i="57"/>
  <c r="I21" i="57" s="1"/>
  <c r="K21" i="57" s="1"/>
  <c r="H25" i="57"/>
  <c r="G25" i="57"/>
  <c r="F25" i="57"/>
  <c r="I25" i="57" s="1"/>
  <c r="K25" i="57" s="1"/>
  <c r="H35" i="57"/>
  <c r="G35" i="57"/>
  <c r="F35" i="57"/>
  <c r="I35" i="57" s="1"/>
  <c r="K35" i="57" s="1"/>
  <c r="H41" i="57"/>
  <c r="G41" i="57"/>
  <c r="I41" i="57" s="1"/>
  <c r="K41" i="57" s="1"/>
  <c r="F41" i="57"/>
  <c r="J43" i="57"/>
  <c r="J44" i="57"/>
  <c r="F13" i="57"/>
  <c r="F17" i="57"/>
  <c r="D32" i="57"/>
  <c r="D35" i="57"/>
  <c r="F14" i="57"/>
  <c r="I14" i="57" s="1"/>
  <c r="K14" i="57" s="1"/>
  <c r="F16" i="57"/>
  <c r="I16" i="57" s="1"/>
  <c r="K16" i="57" s="1"/>
  <c r="F18" i="57"/>
  <c r="I18" i="57" s="1"/>
  <c r="K18" i="57" s="1"/>
  <c r="D30" i="57"/>
  <c r="D33" i="57"/>
  <c r="G12" i="57"/>
  <c r="G13" i="57"/>
  <c r="G14" i="57"/>
  <c r="G15" i="57"/>
  <c r="I15" i="57" s="1"/>
  <c r="K15" i="57" s="1"/>
  <c r="G16" i="57"/>
  <c r="G17" i="57"/>
  <c r="G18" i="57"/>
  <c r="G19" i="57"/>
  <c r="F28" i="57"/>
  <c r="I28" i="57" s="1"/>
  <c r="K28" i="57" s="1"/>
  <c r="E29" i="57"/>
  <c r="E31" i="57"/>
  <c r="E34" i="57"/>
  <c r="D37" i="57"/>
  <c r="D38" i="57"/>
  <c r="D39" i="57"/>
  <c r="D40" i="57"/>
  <c r="D41" i="57"/>
  <c r="D43" i="57"/>
  <c r="D46" i="57"/>
  <c r="F12" i="57"/>
  <c r="I12" i="57" s="1"/>
  <c r="K12" i="57" s="1"/>
  <c r="F15" i="57"/>
  <c r="F19" i="57"/>
  <c r="I19" i="57" s="1"/>
  <c r="K19" i="57" s="1"/>
  <c r="H12" i="57"/>
  <c r="H13" i="57"/>
  <c r="H14" i="57"/>
  <c r="H15" i="57"/>
  <c r="H16" i="57"/>
  <c r="H17" i="57"/>
  <c r="I17" i="57" s="1"/>
  <c r="K17" i="57" s="1"/>
  <c r="H18" i="57"/>
  <c r="H19" i="57"/>
  <c r="G28" i="57"/>
  <c r="F42" i="57"/>
  <c r="I42" i="57" s="1"/>
  <c r="K42" i="57" s="1"/>
  <c r="E43" i="57"/>
  <c r="F47" i="57"/>
  <c r="I47" i="57" s="1"/>
  <c r="K47" i="57" s="1"/>
  <c r="H28" i="57"/>
  <c r="G44" i="57"/>
  <c r="I44" i="57" s="1"/>
  <c r="K44" i="57" s="1"/>
  <c r="G45" i="57"/>
  <c r="I45" i="57" s="1"/>
  <c r="K45" i="57" s="1"/>
  <c r="H47" i="57"/>
  <c r="H45" i="57"/>
  <c r="H29" i="57" l="1"/>
  <c r="G29" i="57"/>
  <c r="F29" i="57"/>
  <c r="I29" i="57" s="1"/>
  <c r="K29" i="57" s="1"/>
  <c r="H34" i="57"/>
  <c r="G34" i="57"/>
  <c r="F34" i="57"/>
  <c r="I34" i="57" s="1"/>
  <c r="K34" i="57" s="1"/>
  <c r="G43" i="57"/>
  <c r="F43" i="57"/>
  <c r="I43" i="57" s="1"/>
  <c r="K43" i="57" s="1"/>
  <c r="H31" i="57"/>
  <c r="G31" i="57"/>
  <c r="F31" i="57"/>
  <c r="I31" i="57" s="1"/>
  <c r="K31" i="57" s="1"/>
  <c r="M32" i="21" l="1"/>
  <c r="M31" i="21"/>
  <c r="M20" i="21"/>
  <c r="L20" i="21" l="1"/>
  <c r="B19" i="56" l="1"/>
  <c r="B11" i="46"/>
  <c r="B11" i="56" s="1"/>
  <c r="C267" i="46"/>
  <c r="C265" i="46"/>
  <c r="C264" i="46"/>
  <c r="C258" i="46"/>
  <c r="C256" i="46"/>
  <c r="C255" i="46"/>
  <c r="C28" i="46" l="1"/>
  <c r="N10" i="21"/>
  <c r="N11" i="21"/>
  <c r="H9" i="47" l="1"/>
  <c r="G9" i="47"/>
  <c r="F9" i="47"/>
  <c r="E9" i="47"/>
  <c r="D9" i="47"/>
  <c r="C9" i="47"/>
  <c r="H8" i="47"/>
  <c r="G8" i="47"/>
  <c r="F8" i="47"/>
  <c r="E8" i="47"/>
  <c r="D8" i="47"/>
  <c r="C8" i="47"/>
  <c r="K265" i="46" l="1"/>
  <c r="K264" i="46"/>
  <c r="K266" i="46"/>
  <c r="K267" i="46"/>
  <c r="I107" i="50"/>
  <c r="H107" i="50"/>
  <c r="G107" i="50"/>
  <c r="F107" i="50"/>
  <c r="C49" i="50" l="1"/>
  <c r="G41" i="50"/>
  <c r="C41" i="50"/>
  <c r="C39" i="50"/>
  <c r="O109" i="21" l="1"/>
  <c r="R109" i="21" s="1"/>
  <c r="O108" i="21"/>
  <c r="Q108" i="21" s="1"/>
  <c r="O107" i="21"/>
  <c r="Q107" i="21" s="1"/>
  <c r="O106" i="21"/>
  <c r="R106" i="21" s="1"/>
  <c r="O105" i="21"/>
  <c r="S105" i="21" s="1"/>
  <c r="O104" i="21"/>
  <c r="R104" i="21" s="1"/>
  <c r="O103" i="21"/>
  <c r="R103" i="21" s="1"/>
  <c r="O102" i="21"/>
  <c r="R102" i="21" s="1"/>
  <c r="O101" i="21"/>
  <c r="Q101" i="21" s="1"/>
  <c r="O100" i="21"/>
  <c r="P100" i="21" s="1"/>
  <c r="O99" i="21"/>
  <c r="R99" i="21" s="1"/>
  <c r="O98" i="21"/>
  <c r="R98" i="21" s="1"/>
  <c r="O97" i="21"/>
  <c r="S97" i="21" s="1"/>
  <c r="O96" i="21"/>
  <c r="R96" i="21" s="1"/>
  <c r="O95" i="21"/>
  <c r="Q95" i="21" s="1"/>
  <c r="O94" i="21"/>
  <c r="R94" i="21" s="1"/>
  <c r="O93" i="21"/>
  <c r="Q93" i="21" s="1"/>
  <c r="O92" i="21"/>
  <c r="Q92" i="21" s="1"/>
  <c r="O91" i="21"/>
  <c r="Q91" i="21" s="1"/>
  <c r="O90" i="21"/>
  <c r="R90" i="21" s="1"/>
  <c r="O89" i="21"/>
  <c r="R89" i="21" s="1"/>
  <c r="J97" i="21"/>
  <c r="M97" i="21"/>
  <c r="L97" i="21"/>
  <c r="K109" i="21"/>
  <c r="K108" i="21"/>
  <c r="K107" i="21"/>
  <c r="K106" i="21"/>
  <c r="K105" i="21"/>
  <c r="K104" i="21"/>
  <c r="K103" i="21"/>
  <c r="K102" i="21"/>
  <c r="K101" i="21"/>
  <c r="K100" i="21"/>
  <c r="K99" i="21"/>
  <c r="K98" i="21"/>
  <c r="K97" i="21"/>
  <c r="K96" i="21"/>
  <c r="K95" i="21"/>
  <c r="K94" i="21"/>
  <c r="K93" i="21"/>
  <c r="K92" i="21"/>
  <c r="K91" i="21"/>
  <c r="K90" i="21"/>
  <c r="K89" i="21"/>
  <c r="M109" i="21"/>
  <c r="L109" i="21"/>
  <c r="J109" i="21"/>
  <c r="M108" i="21"/>
  <c r="L108" i="21"/>
  <c r="J108" i="21"/>
  <c r="M107" i="21"/>
  <c r="L107" i="21"/>
  <c r="J107" i="21"/>
  <c r="M106" i="21"/>
  <c r="L106" i="21"/>
  <c r="J106" i="21"/>
  <c r="M105" i="21"/>
  <c r="L105" i="21"/>
  <c r="J105" i="21"/>
  <c r="M104" i="21"/>
  <c r="L104" i="21"/>
  <c r="J104" i="21"/>
  <c r="M103" i="21"/>
  <c r="L103" i="21"/>
  <c r="J103" i="21"/>
  <c r="M102" i="21"/>
  <c r="L102" i="21"/>
  <c r="J102" i="21"/>
  <c r="M101" i="21"/>
  <c r="L101" i="21"/>
  <c r="J101" i="21"/>
  <c r="M100" i="21"/>
  <c r="L100" i="21"/>
  <c r="J100" i="21"/>
  <c r="M99" i="21"/>
  <c r="L99" i="21"/>
  <c r="J99" i="21"/>
  <c r="M98" i="21"/>
  <c r="L98" i="21"/>
  <c r="J98" i="21"/>
  <c r="M96" i="21"/>
  <c r="L96" i="21"/>
  <c r="J96" i="21"/>
  <c r="P105" i="21" l="1"/>
  <c r="S103" i="21"/>
  <c r="P108" i="21"/>
  <c r="P109" i="21"/>
  <c r="S106" i="21"/>
  <c r="S109" i="21"/>
  <c r="P98" i="21"/>
  <c r="S98" i="21"/>
  <c r="S101" i="21"/>
  <c r="S100" i="21"/>
  <c r="P102" i="21"/>
  <c r="P96" i="21"/>
  <c r="P99" i="21"/>
  <c r="S99" i="21"/>
  <c r="S102" i="21"/>
  <c r="P106" i="21"/>
  <c r="S96" i="21"/>
  <c r="P103" i="21"/>
  <c r="Q98" i="21"/>
  <c r="Q99" i="21"/>
  <c r="R91" i="21"/>
  <c r="S107" i="21"/>
  <c r="R92" i="21"/>
  <c r="Q102" i="21"/>
  <c r="P97" i="21"/>
  <c r="Q103" i="21"/>
  <c r="K110" i="21"/>
  <c r="Q90" i="21"/>
  <c r="Q105" i="21"/>
  <c r="R100" i="21"/>
  <c r="Q106" i="21"/>
  <c r="S108" i="21"/>
  <c r="Q94" i="21"/>
  <c r="Q109" i="21"/>
  <c r="Q96" i="21"/>
  <c r="R105" i="21"/>
  <c r="Q89" i="21"/>
  <c r="Q97" i="21"/>
  <c r="Q104" i="21"/>
  <c r="R107" i="21"/>
  <c r="R93" i="21"/>
  <c r="R101" i="21"/>
  <c r="R108" i="21"/>
  <c r="P101" i="21"/>
  <c r="P107" i="21"/>
  <c r="Q100" i="21"/>
  <c r="R95" i="21"/>
  <c r="P104" i="21"/>
  <c r="S104" i="21"/>
  <c r="R97" i="21"/>
  <c r="R110" i="21" l="1"/>
  <c r="O38" i="21" l="1"/>
  <c r="N38" i="21"/>
  <c r="I38" i="21"/>
  <c r="L38" i="21" s="1"/>
  <c r="M38" i="21" s="1"/>
  <c r="N31" i="21"/>
  <c r="N32" i="21"/>
  <c r="I32" i="21"/>
  <c r="L32" i="21" s="1"/>
  <c r="I31" i="21"/>
  <c r="L31" i="21" s="1"/>
  <c r="H32" i="21"/>
  <c r="O31" i="21"/>
  <c r="N20" i="21"/>
  <c r="P32" i="21" l="1"/>
  <c r="I21" i="21" l="1"/>
  <c r="L21" i="21" s="1"/>
  <c r="I11" i="21"/>
  <c r="I10" i="21"/>
  <c r="L10" i="21" s="1"/>
  <c r="J62" i="50"/>
  <c r="J61" i="50"/>
  <c r="K38" i="21" l="1"/>
  <c r="O11" i="21"/>
  <c r="H21" i="21"/>
  <c r="J86" i="50" l="1"/>
  <c r="I86" i="50"/>
  <c r="H86" i="50"/>
  <c r="G86" i="50"/>
  <c r="F86" i="50"/>
  <c r="E86" i="50"/>
  <c r="H11" i="21" l="1"/>
  <c r="M11" i="21" s="1"/>
  <c r="P11" i="21" s="1"/>
  <c r="H38" i="21" l="1"/>
  <c r="P38" i="21" l="1"/>
  <c r="P40" i="21" s="1"/>
  <c r="C50" i="42" l="1"/>
  <c r="C49" i="42"/>
  <c r="C48" i="42"/>
  <c r="C47" i="42"/>
  <c r="C46" i="42"/>
  <c r="L27" i="32"/>
  <c r="L26" i="32"/>
  <c r="L25" i="32"/>
  <c r="K27" i="32"/>
  <c r="K26" i="32"/>
  <c r="K25" i="32"/>
  <c r="K23" i="32"/>
  <c r="O20" i="21" l="1"/>
  <c r="O10" i="21"/>
  <c r="K29" i="46" l="1"/>
  <c r="K30" i="46"/>
  <c r="K28" i="46"/>
  <c r="K60" i="46"/>
  <c r="K36" i="46"/>
  <c r="H31" i="21" l="1"/>
  <c r="H20" i="21"/>
  <c r="H10" i="21"/>
  <c r="M10" i="21" s="1"/>
  <c r="F20" i="50"/>
  <c r="G14" i="50"/>
  <c r="G44" i="50"/>
  <c r="P10" i="21" l="1"/>
  <c r="P31" i="21"/>
  <c r="G39" i="50"/>
  <c r="L4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P20" i="21" l="1"/>
  <c r="P23" i="21" s="1"/>
  <c r="B1" i="56"/>
  <c r="B1" i="46"/>
  <c r="B1" i="42"/>
  <c r="B1" i="47"/>
  <c r="B1" i="21"/>
  <c r="C31" i="42" l="1"/>
  <c r="C28" i="42"/>
  <c r="C32" i="42"/>
  <c r="C30" i="42"/>
  <c r="C29" i="42"/>
  <c r="F17" i="50"/>
  <c r="F19" i="50"/>
  <c r="C30" i="46"/>
  <c r="C29" i="46"/>
  <c r="C27" i="46"/>
  <c r="B10" i="46"/>
  <c r="B10" i="56" s="1"/>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S89" i="21" l="1"/>
  <c r="S90" i="21"/>
  <c r="S91" i="21"/>
  <c r="S92" i="21"/>
  <c r="S93" i="21"/>
  <c r="S94" i="21"/>
  <c r="S95" i="21"/>
  <c r="P90" i="21"/>
  <c r="P91" i="21"/>
  <c r="P92" i="21"/>
  <c r="P93" i="21"/>
  <c r="P94" i="21"/>
  <c r="P95" i="21"/>
  <c r="P89" i="21"/>
  <c r="J90" i="21"/>
  <c r="L90" i="21"/>
  <c r="M90" i="21"/>
  <c r="J91" i="21"/>
  <c r="L91" i="21"/>
  <c r="M91" i="21"/>
  <c r="J92" i="21"/>
  <c r="L92" i="21"/>
  <c r="M92" i="21"/>
  <c r="J93" i="21"/>
  <c r="L93" i="21"/>
  <c r="M93" i="21"/>
  <c r="J94" i="21"/>
  <c r="L94" i="21"/>
  <c r="M94" i="21"/>
  <c r="J95" i="21"/>
  <c r="L95" i="21"/>
  <c r="M95" i="21"/>
  <c r="L89" i="21"/>
  <c r="M89" i="21"/>
  <c r="J89" i="21"/>
  <c r="B20" i="46"/>
  <c r="B19" i="46"/>
  <c r="B18" i="46"/>
  <c r="B18" i="56" s="1"/>
  <c r="B17" i="46"/>
  <c r="B17" i="56" s="1"/>
  <c r="B15" i="46"/>
  <c r="B15" i="56" s="1"/>
  <c r="B14" i="46"/>
  <c r="B12" i="46"/>
  <c r="B12" i="56" s="1"/>
  <c r="Q110" i="21" l="1"/>
  <c r="S110" i="21"/>
  <c r="P110" i="21"/>
  <c r="L110" i="21"/>
  <c r="J110" i="21"/>
  <c r="M110" i="21"/>
  <c r="C46" i="50"/>
  <c r="G42" i="50"/>
  <c r="F18" i="50" l="1"/>
  <c r="C18" i="50"/>
  <c r="F16" i="50"/>
  <c r="G110" i="21"/>
  <c r="F21" i="50" l="1"/>
  <c r="H44" i="50" l="1"/>
  <c r="I44" i="50" s="1"/>
  <c r="J44" i="50" s="1"/>
  <c r="K44" i="50" s="1"/>
  <c r="D110" i="21" l="1"/>
  <c r="F110" i="21"/>
  <c r="G45" i="50" l="1"/>
  <c r="H45" i="50" l="1"/>
  <c r="I45" i="50" s="1"/>
  <c r="J45" i="50" s="1"/>
  <c r="K45"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80" i="50"/>
  <c r="I80" i="50"/>
  <c r="H80" i="50"/>
  <c r="G80" i="50"/>
  <c r="F80" i="50"/>
  <c r="E80" i="50"/>
  <c r="J60" i="50"/>
  <c r="J63" i="50"/>
  <c r="J59"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F105" i="32" s="1"/>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F490" i="32" s="1"/>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F429" i="32" s="1"/>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6" i="32"/>
  <c r="F530" i="32" l="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H149" i="32"/>
  <c r="G157" i="32"/>
  <c r="F150" i="32"/>
  <c r="H497" i="32"/>
  <c r="I157" i="32"/>
  <c r="F205" i="32"/>
  <c r="G497" i="32"/>
  <c r="K143" i="32"/>
  <c r="I497" i="32"/>
  <c r="L143" i="32"/>
  <c r="E201" i="32"/>
  <c r="E497" i="32" s="1"/>
  <c r="J497" i="32"/>
  <c r="F238" i="32"/>
  <c r="E159" i="32"/>
  <c r="E200" i="32" s="1"/>
  <c r="J200" i="32"/>
  <c r="F158" i="32"/>
  <c r="G200" i="32"/>
  <c r="L135" i="32"/>
  <c r="I25" i="32"/>
  <c r="G25" i="32"/>
  <c r="F196" i="32"/>
  <c r="J26" i="32"/>
  <c r="E26" i="32" s="1"/>
  <c r="F29" i="32"/>
  <c r="G135" i="32"/>
  <c r="H135" i="32"/>
  <c r="F31" i="32"/>
  <c r="F181" i="32"/>
  <c r="D37" i="32"/>
  <c r="D135" i="32" s="1"/>
  <c r="I135" i="32"/>
  <c r="H200" i="32"/>
  <c r="J27" i="32"/>
  <c r="E27" i="32" s="1"/>
  <c r="E35" i="32"/>
  <c r="E135" i="32" s="1"/>
  <c r="J135" i="32"/>
  <c r="F186" i="32"/>
  <c r="F182" i="32"/>
  <c r="F178" i="32"/>
  <c r="D187" i="32"/>
  <c r="D200" i="32" s="1"/>
  <c r="I200" i="32"/>
  <c r="K135" i="32"/>
  <c r="E532" i="32"/>
  <c r="F188" i="32"/>
  <c r="F183" i="32"/>
  <c r="F175" i="32"/>
  <c r="G26" i="32"/>
  <c r="I26" i="32"/>
  <c r="D26" i="32" s="1"/>
  <c r="F521" i="32"/>
  <c r="P16" i="32"/>
  <c r="P13" i="21" l="1"/>
  <c r="F532" i="32"/>
  <c r="F143" i="32"/>
  <c r="F26" i="32"/>
  <c r="F157" i="32"/>
  <c r="F27" i="32"/>
  <c r="F497" i="32"/>
  <c r="F520" i="32"/>
  <c r="F149" i="32"/>
  <c r="D25" i="32"/>
  <c r="E25" i="32"/>
  <c r="F135" i="32"/>
  <c r="F200" i="32"/>
  <c r="F25" i="32"/>
  <c r="C37" i="42" l="1"/>
  <c r="C27" i="42"/>
  <c r="C36" i="42"/>
  <c r="C25" i="42"/>
  <c r="C24" i="42"/>
  <c r="C38" i="42"/>
  <c r="C23" i="42"/>
  <c r="C39" i="42"/>
  <c r="C40" i="42"/>
  <c r="C26" i="42"/>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J9" i="32" s="1"/>
  <c r="E23" i="32"/>
  <c r="E15" i="32" s="1"/>
  <c r="J23" i="32"/>
  <c r="L23" i="32"/>
  <c r="H23" i="32"/>
  <c r="I23" i="32"/>
  <c r="D14" i="32" l="1"/>
  <c r="E14" i="32" s="1"/>
  <c r="H14" i="32"/>
  <c r="G14" i="32"/>
  <c r="F23" i="32"/>
  <c r="C16" i="32"/>
  <c r="I14" i="32" l="1"/>
  <c r="I16" i="32" s="1"/>
  <c r="P34" i="21"/>
  <c r="E16" i="32"/>
  <c r="D16" i="32"/>
  <c r="C42" i="42" l="1"/>
  <c r="C44" i="42"/>
  <c r="C41" i="42"/>
  <c r="C43" i="42"/>
  <c r="C45" i="42"/>
  <c r="F14" i="32"/>
  <c r="F15" i="32" l="1"/>
  <c r="F16" i="32" l="1"/>
  <c r="H15" i="32"/>
  <c r="H16" i="32" s="1"/>
  <c r="G15" i="32"/>
  <c r="G16" i="32" s="1"/>
  <c r="J10" i="32" l="1"/>
  <c r="J11" i="32" s="1"/>
  <c r="J12" i="32" s="1"/>
  <c r="G12" i="50"/>
  <c r="G15" i="50" s="1"/>
  <c r="F26" i="50" l="1"/>
  <c r="F28" i="50" s="1"/>
  <c r="F29" i="50" s="1"/>
  <c r="F46" i="50"/>
  <c r="F30" i="50" l="1"/>
  <c r="G46" i="50"/>
  <c r="K46" i="50"/>
  <c r="G27" i="50" s="1"/>
  <c r="G28" i="50" s="1"/>
  <c r="G29" i="50" s="1"/>
  <c r="J46" i="50"/>
  <c r="I46" i="50"/>
  <c r="H46" i="50"/>
  <c r="F47" i="50"/>
  <c r="C5" i="47" s="1"/>
  <c r="L78" i="50" l="1"/>
  <c r="D13" i="42" s="1"/>
  <c r="L79" i="50"/>
  <c r="D15" i="42" s="1"/>
  <c r="F34" i="50"/>
  <c r="F49" i="50" s="1"/>
  <c r="D7" i="56" s="1"/>
  <c r="G33" i="50"/>
  <c r="G34" i="50" s="1"/>
  <c r="G30" i="50"/>
  <c r="G31" i="50" s="1"/>
  <c r="G32" i="50" s="1"/>
  <c r="E137" i="56" l="1"/>
  <c r="E135" i="56"/>
  <c r="D196" i="56"/>
  <c r="L196" i="56" s="1"/>
  <c r="D36" i="56"/>
  <c r="F138" i="56"/>
  <c r="E136" i="56"/>
  <c r="D135" i="56"/>
  <c r="E198" i="56"/>
  <c r="M198" i="56" s="1"/>
  <c r="E197" i="56"/>
  <c r="M197" i="56" s="1"/>
  <c r="D198" i="56"/>
  <c r="L198" i="56" s="1"/>
  <c r="D197" i="56"/>
  <c r="L197" i="56" s="1"/>
  <c r="D195" i="56"/>
  <c r="D134" i="56"/>
  <c r="F137" i="56"/>
  <c r="G138" i="56"/>
  <c r="F136" i="56"/>
  <c r="E199" i="56"/>
  <c r="M199" i="56" s="1"/>
  <c r="H138" i="56"/>
  <c r="D138" i="56"/>
  <c r="D199" i="56"/>
  <c r="L199" i="56" s="1"/>
  <c r="D137" i="56"/>
  <c r="E196" i="56"/>
  <c r="M196" i="56" s="1"/>
  <c r="D37" i="56"/>
  <c r="L37" i="56" s="1"/>
  <c r="G137" i="56"/>
  <c r="D139" i="56"/>
  <c r="E138" i="56"/>
  <c r="D136" i="56"/>
  <c r="F229" i="56"/>
  <c r="N229" i="56" s="1"/>
  <c r="E228" i="56"/>
  <c r="M228" i="56" s="1"/>
  <c r="D227" i="56"/>
  <c r="L227" i="56" s="1"/>
  <c r="G198" i="56"/>
  <c r="O198" i="56" s="1"/>
  <c r="F197" i="56"/>
  <c r="N197" i="56" s="1"/>
  <c r="F169" i="56"/>
  <c r="N169" i="56" s="1"/>
  <c r="E168" i="56"/>
  <c r="M168" i="56" s="1"/>
  <c r="E167" i="56"/>
  <c r="M167" i="56" s="1"/>
  <c r="D166" i="56"/>
  <c r="L166" i="56" s="1"/>
  <c r="E71" i="56"/>
  <c r="M71" i="56" s="1"/>
  <c r="D70" i="56"/>
  <c r="L70" i="56" s="1"/>
  <c r="F199" i="46"/>
  <c r="N199" i="46" s="1"/>
  <c r="G198" i="46"/>
  <c r="O198" i="46" s="1"/>
  <c r="H199" i="46"/>
  <c r="P199" i="46" s="1"/>
  <c r="F198" i="46"/>
  <c r="N198" i="46" s="1"/>
  <c r="E229" i="56"/>
  <c r="M229" i="56" s="1"/>
  <c r="D228" i="56"/>
  <c r="L228" i="56" s="1"/>
  <c r="F198" i="56"/>
  <c r="N198" i="56" s="1"/>
  <c r="E169" i="56"/>
  <c r="M169" i="56" s="1"/>
  <c r="D168" i="56"/>
  <c r="L168" i="56" s="1"/>
  <c r="D167" i="56"/>
  <c r="L167" i="56" s="1"/>
  <c r="D71" i="56"/>
  <c r="L71" i="56" s="1"/>
  <c r="D229" i="56"/>
  <c r="L229" i="56" s="1"/>
  <c r="H199" i="56"/>
  <c r="P199" i="56" s="1"/>
  <c r="D169" i="56"/>
  <c r="L169" i="56" s="1"/>
  <c r="H40" i="56"/>
  <c r="P40" i="56" s="1"/>
  <c r="G39" i="56"/>
  <c r="O39" i="56" s="1"/>
  <c r="F38" i="56"/>
  <c r="N38" i="56" s="1"/>
  <c r="E37" i="56"/>
  <c r="M37" i="56" s="1"/>
  <c r="F197" i="46"/>
  <c r="N197" i="46" s="1"/>
  <c r="D227" i="46"/>
  <c r="L227" i="46" s="1"/>
  <c r="F228" i="56"/>
  <c r="N228" i="56" s="1"/>
  <c r="E166" i="56"/>
  <c r="M166" i="56" s="1"/>
  <c r="F227" i="46"/>
  <c r="N227" i="46" s="1"/>
  <c r="G199" i="56"/>
  <c r="O199" i="56" s="1"/>
  <c r="G40" i="56"/>
  <c r="O40" i="56" s="1"/>
  <c r="F39" i="56"/>
  <c r="N39" i="56" s="1"/>
  <c r="E38" i="56"/>
  <c r="M38" i="56" s="1"/>
  <c r="H71" i="56"/>
  <c r="P71" i="56" s="1"/>
  <c r="E68" i="56"/>
  <c r="M68" i="56" s="1"/>
  <c r="D39" i="56"/>
  <c r="L39" i="56" s="1"/>
  <c r="G229" i="56"/>
  <c r="O229" i="56" s="1"/>
  <c r="E70" i="56"/>
  <c r="M70" i="56" s="1"/>
  <c r="D229" i="46"/>
  <c r="L229" i="46" s="1"/>
  <c r="F199" i="56"/>
  <c r="N199" i="56" s="1"/>
  <c r="F40" i="56"/>
  <c r="N40" i="56" s="1"/>
  <c r="E39" i="56"/>
  <c r="M39" i="56" s="1"/>
  <c r="D38" i="56"/>
  <c r="L38" i="56" s="1"/>
  <c r="G70" i="56"/>
  <c r="O70" i="56" s="1"/>
  <c r="F69" i="56"/>
  <c r="N69" i="56" s="1"/>
  <c r="E40" i="56"/>
  <c r="M40" i="56" s="1"/>
  <c r="E227" i="56"/>
  <c r="M227" i="56" s="1"/>
  <c r="F168" i="56"/>
  <c r="N168" i="56" s="1"/>
  <c r="D165" i="56"/>
  <c r="F71" i="56"/>
  <c r="N71" i="56" s="1"/>
  <c r="H229" i="56"/>
  <c r="P229" i="56" s="1"/>
  <c r="G228" i="56"/>
  <c r="O228" i="56" s="1"/>
  <c r="F227" i="56"/>
  <c r="N227" i="56" s="1"/>
  <c r="E226" i="56"/>
  <c r="M226" i="56" s="1"/>
  <c r="D225" i="56"/>
  <c r="H169" i="56"/>
  <c r="P169" i="56" s="1"/>
  <c r="G168" i="56"/>
  <c r="O168" i="56" s="1"/>
  <c r="G71" i="56"/>
  <c r="O71" i="56" s="1"/>
  <c r="F70" i="56"/>
  <c r="N70" i="56" s="1"/>
  <c r="E69" i="56"/>
  <c r="M69" i="56" s="1"/>
  <c r="D68" i="56"/>
  <c r="L68" i="56" s="1"/>
  <c r="D40" i="56"/>
  <c r="L40" i="56" s="1"/>
  <c r="G199" i="46"/>
  <c r="O199" i="46" s="1"/>
  <c r="E227" i="46"/>
  <c r="M227" i="46" s="1"/>
  <c r="D226" i="56"/>
  <c r="L226" i="56" s="1"/>
  <c r="G169" i="56"/>
  <c r="O169" i="56" s="1"/>
  <c r="F167" i="56"/>
  <c r="N167" i="56" s="1"/>
  <c r="D69" i="56"/>
  <c r="L69" i="56" s="1"/>
  <c r="D195" i="46"/>
  <c r="D225" i="46"/>
  <c r="E229" i="46"/>
  <c r="M229" i="46" s="1"/>
  <c r="E226" i="46"/>
  <c r="M226" i="46" s="1"/>
  <c r="G229" i="46"/>
  <c r="O229" i="46" s="1"/>
  <c r="D67" i="56"/>
  <c r="D228" i="46"/>
  <c r="L228" i="46" s="1"/>
  <c r="D226" i="46"/>
  <c r="L226" i="46" s="1"/>
  <c r="G228" i="46"/>
  <c r="O228" i="46" s="1"/>
  <c r="H229" i="46"/>
  <c r="P229" i="46" s="1"/>
  <c r="F229" i="46"/>
  <c r="N229" i="46" s="1"/>
  <c r="F228" i="46"/>
  <c r="N228" i="46" s="1"/>
  <c r="E228" i="46"/>
  <c r="M228" i="46" s="1"/>
  <c r="G169" i="46"/>
  <c r="O169" i="46" s="1"/>
  <c r="D167" i="46"/>
  <c r="L167" i="46" s="1"/>
  <c r="E166" i="46"/>
  <c r="M166" i="46" s="1"/>
  <c r="H169" i="46"/>
  <c r="P169" i="46" s="1"/>
  <c r="E168" i="46"/>
  <c r="M168" i="46" s="1"/>
  <c r="D169" i="46"/>
  <c r="L169" i="46" s="1"/>
  <c r="F168" i="46"/>
  <c r="N168" i="46" s="1"/>
  <c r="D166" i="46"/>
  <c r="L166" i="46" s="1"/>
  <c r="E167" i="46"/>
  <c r="M167" i="46" s="1"/>
  <c r="D168" i="46"/>
  <c r="L168" i="46" s="1"/>
  <c r="G168" i="46"/>
  <c r="O168" i="46" s="1"/>
  <c r="F167" i="46"/>
  <c r="N167" i="46" s="1"/>
  <c r="E169" i="46"/>
  <c r="M169" i="46" s="1"/>
  <c r="F169" i="46"/>
  <c r="N169" i="46" s="1"/>
  <c r="D165" i="46"/>
  <c r="F136" i="46"/>
  <c r="F137" i="46"/>
  <c r="D138" i="46"/>
  <c r="L138" i="46" s="1"/>
  <c r="D135" i="46"/>
  <c r="D136" i="46"/>
  <c r="E137" i="46"/>
  <c r="F138" i="46"/>
  <c r="N138" i="46" s="1"/>
  <c r="G137" i="46"/>
  <c r="H138" i="46"/>
  <c r="P138" i="46" s="1"/>
  <c r="E136" i="46"/>
  <c r="D137" i="46"/>
  <c r="G138" i="46"/>
  <c r="O138" i="46" s="1"/>
  <c r="E135" i="46"/>
  <c r="E138" i="46"/>
  <c r="M138" i="46" s="1"/>
  <c r="D198" i="46"/>
  <c r="L198" i="46" s="1"/>
  <c r="E70" i="46"/>
  <c r="H71" i="46"/>
  <c r="P71" i="46" s="1"/>
  <c r="D39" i="46"/>
  <c r="L39" i="46" s="1"/>
  <c r="D36" i="46"/>
  <c r="E68" i="46"/>
  <c r="D70" i="46"/>
  <c r="E39" i="46"/>
  <c r="M39" i="46" s="1"/>
  <c r="E38" i="46"/>
  <c r="M38" i="46" s="1"/>
  <c r="F38" i="46"/>
  <c r="N38" i="46" s="1"/>
  <c r="F71" i="46"/>
  <c r="N71" i="46" s="1"/>
  <c r="F40" i="46"/>
  <c r="N40" i="46" s="1"/>
  <c r="D38" i="46"/>
  <c r="L38" i="46" s="1"/>
  <c r="E40" i="46"/>
  <c r="M40" i="46" s="1"/>
  <c r="F39" i="46"/>
  <c r="N39" i="46" s="1"/>
  <c r="D68" i="46"/>
  <c r="E69" i="46"/>
  <c r="G40" i="46"/>
  <c r="O40" i="46" s="1"/>
  <c r="D69" i="46"/>
  <c r="E197" i="46"/>
  <c r="M197" i="46" s="1"/>
  <c r="D199" i="46"/>
  <c r="L199" i="46" s="1"/>
  <c r="D67" i="46"/>
  <c r="F70" i="46"/>
  <c r="H40" i="46"/>
  <c r="P40" i="46" s="1"/>
  <c r="G39" i="46"/>
  <c r="O39" i="46" s="1"/>
  <c r="D40" i="46"/>
  <c r="L40" i="46" s="1"/>
  <c r="D37" i="46"/>
  <c r="L37" i="46" s="1"/>
  <c r="G71" i="46"/>
  <c r="O71" i="46" s="1"/>
  <c r="G70" i="46"/>
  <c r="E196" i="46"/>
  <c r="M196" i="46" s="1"/>
  <c r="D197" i="46"/>
  <c r="L197" i="46" s="1"/>
  <c r="E199" i="46"/>
  <c r="M199" i="46" s="1"/>
  <c r="F69" i="46"/>
  <c r="D196" i="46"/>
  <c r="L196" i="46" s="1"/>
  <c r="D71" i="46"/>
  <c r="L71" i="46" s="1"/>
  <c r="E37" i="46"/>
  <c r="M37" i="46" s="1"/>
  <c r="E198" i="46"/>
  <c r="M198" i="46" s="1"/>
  <c r="E71" i="46"/>
  <c r="M71" i="46" s="1"/>
  <c r="E147" i="56"/>
  <c r="E146" i="56"/>
  <c r="E209" i="56"/>
  <c r="M209" i="56" s="1"/>
  <c r="G147" i="56"/>
  <c r="D146" i="56"/>
  <c r="D144" i="56"/>
  <c r="F146" i="56"/>
  <c r="D205" i="56"/>
  <c r="L205" i="56" s="1"/>
  <c r="F148" i="56"/>
  <c r="E145" i="56"/>
  <c r="F147" i="56"/>
  <c r="D148" i="56"/>
  <c r="E208" i="56"/>
  <c r="M208" i="56" s="1"/>
  <c r="D209" i="56"/>
  <c r="L209" i="56" s="1"/>
  <c r="E207" i="56"/>
  <c r="M207" i="56" s="1"/>
  <c r="E148" i="56"/>
  <c r="H148" i="56"/>
  <c r="G148" i="56"/>
  <c r="D147" i="56"/>
  <c r="D208" i="56"/>
  <c r="L208" i="56" s="1"/>
  <c r="E206" i="56"/>
  <c r="M206" i="56" s="1"/>
  <c r="D207" i="56"/>
  <c r="L207" i="56" s="1"/>
  <c r="D145" i="56"/>
  <c r="D206" i="56"/>
  <c r="L206" i="56" s="1"/>
  <c r="G239" i="56"/>
  <c r="O239" i="56" s="1"/>
  <c r="E81" i="56"/>
  <c r="M81" i="56" s="1"/>
  <c r="D80" i="56"/>
  <c r="L80" i="56" s="1"/>
  <c r="E208" i="46"/>
  <c r="M208" i="46" s="1"/>
  <c r="H209" i="46"/>
  <c r="P209" i="46" s="1"/>
  <c r="F209" i="46"/>
  <c r="N209" i="46" s="1"/>
  <c r="E207" i="46"/>
  <c r="M207" i="46" s="1"/>
  <c r="D235" i="46"/>
  <c r="L235" i="46" s="1"/>
  <c r="F239" i="56"/>
  <c r="N239" i="56" s="1"/>
  <c r="G238" i="56"/>
  <c r="O238" i="56" s="1"/>
  <c r="F237" i="56"/>
  <c r="N237" i="56" s="1"/>
  <c r="E236" i="56"/>
  <c r="M236" i="56" s="1"/>
  <c r="H209" i="56"/>
  <c r="P209" i="56" s="1"/>
  <c r="G208" i="56"/>
  <c r="O208" i="56" s="1"/>
  <c r="D81" i="56"/>
  <c r="L81" i="56" s="1"/>
  <c r="E239" i="56"/>
  <c r="M239" i="56" s="1"/>
  <c r="F238" i="56"/>
  <c r="N238" i="56" s="1"/>
  <c r="E237" i="56"/>
  <c r="M237" i="56" s="1"/>
  <c r="D236" i="56"/>
  <c r="L236" i="56" s="1"/>
  <c r="G209" i="56"/>
  <c r="O209" i="56" s="1"/>
  <c r="F208" i="56"/>
  <c r="N208" i="56" s="1"/>
  <c r="H179" i="56"/>
  <c r="P179" i="56" s="1"/>
  <c r="G178" i="56"/>
  <c r="O178" i="56" s="1"/>
  <c r="F177" i="56"/>
  <c r="N177" i="56" s="1"/>
  <c r="E176" i="56"/>
  <c r="M176" i="56" s="1"/>
  <c r="H50" i="56"/>
  <c r="P50" i="56" s="1"/>
  <c r="G49" i="56"/>
  <c r="O49" i="56" s="1"/>
  <c r="F208" i="46"/>
  <c r="N208" i="46" s="1"/>
  <c r="E206" i="46"/>
  <c r="M206" i="46" s="1"/>
  <c r="E179" i="56"/>
  <c r="M179" i="56" s="1"/>
  <c r="E80" i="56"/>
  <c r="M80" i="56" s="1"/>
  <c r="D239" i="56"/>
  <c r="L239" i="56" s="1"/>
  <c r="E238" i="56"/>
  <c r="M238" i="56" s="1"/>
  <c r="D237" i="56"/>
  <c r="L237" i="56" s="1"/>
  <c r="F209" i="56"/>
  <c r="N209" i="56" s="1"/>
  <c r="G179" i="56"/>
  <c r="O179" i="56" s="1"/>
  <c r="F178" i="56"/>
  <c r="N178" i="56" s="1"/>
  <c r="E177" i="56"/>
  <c r="M177" i="56" s="1"/>
  <c r="D176" i="56"/>
  <c r="L176" i="56" s="1"/>
  <c r="G50" i="56"/>
  <c r="O50" i="56" s="1"/>
  <c r="F49" i="56"/>
  <c r="N49" i="56" s="1"/>
  <c r="F48" i="56"/>
  <c r="N48" i="56" s="1"/>
  <c r="E47" i="56"/>
  <c r="M47" i="56" s="1"/>
  <c r="D46" i="56"/>
  <c r="L46" i="56" s="1"/>
  <c r="F207" i="46"/>
  <c r="N207" i="46" s="1"/>
  <c r="D178" i="56"/>
  <c r="L178" i="56" s="1"/>
  <c r="G80" i="56"/>
  <c r="O80" i="56" s="1"/>
  <c r="F79" i="56"/>
  <c r="N79" i="56" s="1"/>
  <c r="D77" i="56"/>
  <c r="L77" i="56" s="1"/>
  <c r="D49" i="56"/>
  <c r="L49" i="56" s="1"/>
  <c r="D48" i="56"/>
  <c r="L48" i="56" s="1"/>
  <c r="G209" i="46"/>
  <c r="O209" i="46" s="1"/>
  <c r="H239" i="56"/>
  <c r="P239" i="56" s="1"/>
  <c r="F207" i="56"/>
  <c r="N207" i="56" s="1"/>
  <c r="D238" i="56"/>
  <c r="L238" i="56" s="1"/>
  <c r="F179" i="56"/>
  <c r="N179" i="56" s="1"/>
  <c r="E178" i="56"/>
  <c r="M178" i="56" s="1"/>
  <c r="D177" i="56"/>
  <c r="L177" i="56" s="1"/>
  <c r="F50" i="56"/>
  <c r="N50" i="56" s="1"/>
  <c r="E49" i="56"/>
  <c r="M49" i="56" s="1"/>
  <c r="E48" i="56"/>
  <c r="M48" i="56" s="1"/>
  <c r="D47" i="56"/>
  <c r="L47" i="56" s="1"/>
  <c r="D28" i="56"/>
  <c r="L28" i="56" s="1"/>
  <c r="H81" i="56"/>
  <c r="P81" i="56" s="1"/>
  <c r="E78" i="56"/>
  <c r="M78" i="56" s="1"/>
  <c r="E50" i="56"/>
  <c r="M50" i="56" s="1"/>
  <c r="D79" i="56"/>
  <c r="L79" i="56" s="1"/>
  <c r="E209" i="46"/>
  <c r="M209" i="46" s="1"/>
  <c r="E238" i="46"/>
  <c r="M238" i="46" s="1"/>
  <c r="D179" i="56"/>
  <c r="L179" i="56" s="1"/>
  <c r="G81" i="56"/>
  <c r="O81" i="56" s="1"/>
  <c r="F80" i="56"/>
  <c r="N80" i="56" s="1"/>
  <c r="E79" i="56"/>
  <c r="M79" i="56" s="1"/>
  <c r="D78" i="56"/>
  <c r="L78" i="56" s="1"/>
  <c r="D50" i="56"/>
  <c r="L50" i="56" s="1"/>
  <c r="G208" i="46"/>
  <c r="O208" i="46" s="1"/>
  <c r="F81" i="56"/>
  <c r="N81" i="56" s="1"/>
  <c r="F238" i="46"/>
  <c r="N238" i="46" s="1"/>
  <c r="G239" i="46"/>
  <c r="O239" i="46" s="1"/>
  <c r="F239" i="46"/>
  <c r="N239" i="46" s="1"/>
  <c r="E236" i="46"/>
  <c r="M236" i="46" s="1"/>
  <c r="H239" i="46"/>
  <c r="P239" i="46" s="1"/>
  <c r="D256" i="56"/>
  <c r="D237" i="46"/>
  <c r="L237" i="46" s="1"/>
  <c r="F237" i="46"/>
  <c r="N237" i="46" s="1"/>
  <c r="D175" i="56"/>
  <c r="L175" i="56" s="1"/>
  <c r="D235" i="56"/>
  <c r="L235" i="56" s="1"/>
  <c r="E237" i="46"/>
  <c r="M237" i="46" s="1"/>
  <c r="E239" i="46"/>
  <c r="M239" i="46" s="1"/>
  <c r="D239" i="46"/>
  <c r="L239" i="46" s="1"/>
  <c r="D238" i="46"/>
  <c r="L238" i="46" s="1"/>
  <c r="D205" i="46"/>
  <c r="L205" i="46" s="1"/>
  <c r="D236" i="46"/>
  <c r="L236" i="46" s="1"/>
  <c r="G238" i="46"/>
  <c r="O238" i="46" s="1"/>
  <c r="F146" i="46"/>
  <c r="N146" i="46" s="1"/>
  <c r="E176" i="46"/>
  <c r="M176" i="46" s="1"/>
  <c r="G147" i="46"/>
  <c r="O147" i="46" s="1"/>
  <c r="E147" i="46"/>
  <c r="M147" i="46" s="1"/>
  <c r="F177" i="46"/>
  <c r="N177" i="46" s="1"/>
  <c r="E145" i="46"/>
  <c r="M145" i="46" s="1"/>
  <c r="H148" i="46"/>
  <c r="P148" i="46" s="1"/>
  <c r="D147" i="46"/>
  <c r="L147" i="46" s="1"/>
  <c r="H179" i="46"/>
  <c r="P179" i="46" s="1"/>
  <c r="D144" i="46"/>
  <c r="L144" i="46" s="1"/>
  <c r="G148" i="46"/>
  <c r="O148" i="46" s="1"/>
  <c r="F147" i="46"/>
  <c r="N147" i="46" s="1"/>
  <c r="D179" i="46"/>
  <c r="L179" i="46" s="1"/>
  <c r="E179" i="46"/>
  <c r="M179" i="46" s="1"/>
  <c r="D175" i="46"/>
  <c r="L175" i="46" s="1"/>
  <c r="D178" i="46"/>
  <c r="L178" i="46" s="1"/>
  <c r="D177" i="46"/>
  <c r="L177" i="46" s="1"/>
  <c r="D146" i="46"/>
  <c r="L146" i="46" s="1"/>
  <c r="D176" i="46"/>
  <c r="L176" i="46" s="1"/>
  <c r="F179" i="46"/>
  <c r="N179" i="46" s="1"/>
  <c r="G178" i="46"/>
  <c r="O178" i="46" s="1"/>
  <c r="E146" i="46"/>
  <c r="M146" i="46" s="1"/>
  <c r="F178" i="46"/>
  <c r="N178" i="46" s="1"/>
  <c r="E178" i="46"/>
  <c r="M178" i="46" s="1"/>
  <c r="E148" i="46"/>
  <c r="M148" i="46" s="1"/>
  <c r="D145" i="46"/>
  <c r="L145" i="46" s="1"/>
  <c r="G179" i="46"/>
  <c r="O179" i="46" s="1"/>
  <c r="F148" i="46"/>
  <c r="N148" i="46" s="1"/>
  <c r="D148" i="46"/>
  <c r="L148" i="46" s="1"/>
  <c r="E177" i="46"/>
  <c r="M177" i="46" s="1"/>
  <c r="D80" i="46"/>
  <c r="L80" i="46" s="1"/>
  <c r="D77" i="46"/>
  <c r="L77" i="46" s="1"/>
  <c r="E47" i="46"/>
  <c r="M47" i="46" s="1"/>
  <c r="G80" i="46"/>
  <c r="O80" i="46" s="1"/>
  <c r="F81" i="46"/>
  <c r="N81" i="46" s="1"/>
  <c r="E78" i="46"/>
  <c r="M78" i="46" s="1"/>
  <c r="F49" i="46"/>
  <c r="N49" i="46" s="1"/>
  <c r="D206" i="46"/>
  <c r="L206" i="46" s="1"/>
  <c r="H81" i="46"/>
  <c r="P81" i="46" s="1"/>
  <c r="D48" i="46"/>
  <c r="L48" i="46" s="1"/>
  <c r="F48" i="46"/>
  <c r="N48" i="46" s="1"/>
  <c r="F50" i="46"/>
  <c r="N50" i="46" s="1"/>
  <c r="D50" i="46"/>
  <c r="L50" i="46" s="1"/>
  <c r="D207" i="46"/>
  <c r="L207" i="46" s="1"/>
  <c r="F80" i="46"/>
  <c r="N80" i="46" s="1"/>
  <c r="E81" i="46"/>
  <c r="M81" i="46" s="1"/>
  <c r="D79" i="46"/>
  <c r="L79" i="46" s="1"/>
  <c r="G50" i="46"/>
  <c r="O50" i="46" s="1"/>
  <c r="D47" i="46"/>
  <c r="L47" i="46" s="1"/>
  <c r="E48" i="46"/>
  <c r="M48" i="46" s="1"/>
  <c r="D81" i="46"/>
  <c r="L81" i="46" s="1"/>
  <c r="E79" i="46"/>
  <c r="M79" i="46" s="1"/>
  <c r="D209" i="46"/>
  <c r="L209" i="46" s="1"/>
  <c r="F79" i="46"/>
  <c r="N79" i="46" s="1"/>
  <c r="D49" i="46"/>
  <c r="L49" i="46" s="1"/>
  <c r="E80" i="46"/>
  <c r="M80" i="46" s="1"/>
  <c r="G81" i="46"/>
  <c r="O81" i="46" s="1"/>
  <c r="D78" i="46"/>
  <c r="L78" i="46" s="1"/>
  <c r="H50" i="46"/>
  <c r="P50" i="46" s="1"/>
  <c r="D46" i="46"/>
  <c r="L46" i="46" s="1"/>
  <c r="D208" i="46"/>
  <c r="L208" i="46" s="1"/>
  <c r="G49" i="46"/>
  <c r="O49" i="46" s="1"/>
  <c r="E50" i="46"/>
  <c r="M50" i="46" s="1"/>
  <c r="E49" i="46"/>
  <c r="M49" i="46" s="1"/>
  <c r="D28" i="46"/>
  <c r="L28" i="46" s="1"/>
  <c r="D256" i="46"/>
  <c r="D265" i="46" s="1"/>
  <c r="L265" i="46" s="1"/>
  <c r="E27" i="42"/>
  <c r="E26" i="42"/>
  <c r="D25" i="42"/>
  <c r="G27" i="42"/>
  <c r="F27" i="42"/>
  <c r="F26" i="42"/>
  <c r="D27" i="42"/>
  <c r="D26" i="42"/>
  <c r="E25" i="42"/>
  <c r="D23" i="42"/>
  <c r="G26" i="42"/>
  <c r="F25" i="42"/>
  <c r="E24" i="42"/>
  <c r="D24" i="42"/>
  <c r="H27" i="42"/>
  <c r="C14" i="47"/>
  <c r="D29" i="42"/>
  <c r="D31" i="42"/>
  <c r="F30" i="42"/>
  <c r="H32" i="42"/>
  <c r="G31" i="42"/>
  <c r="D30" i="42"/>
  <c r="F32" i="42"/>
  <c r="E32" i="42"/>
  <c r="E29" i="42"/>
  <c r="F31" i="42"/>
  <c r="G32" i="42"/>
  <c r="D28" i="42"/>
  <c r="E30" i="42"/>
  <c r="E31" i="42"/>
  <c r="D32" i="42"/>
  <c r="J49" i="50"/>
  <c r="D7" i="46"/>
  <c r="F35" i="50"/>
  <c r="F48" i="50"/>
  <c r="C6" i="47" s="1"/>
  <c r="C7" i="47" s="1"/>
  <c r="G35" i="50"/>
  <c r="G49" i="50"/>
  <c r="E7" i="56" s="1"/>
  <c r="H49" i="50"/>
  <c r="F7" i="56" s="1"/>
  <c r="I49" i="50"/>
  <c r="G7" i="56" s="1"/>
  <c r="I47" i="50"/>
  <c r="F5" i="47" s="1"/>
  <c r="H47" i="50"/>
  <c r="E5" i="47" s="1"/>
  <c r="G47" i="50"/>
  <c r="D5" i="47" s="1"/>
  <c r="K47" i="50"/>
  <c r="H5" i="47" s="1"/>
  <c r="J47" i="50"/>
  <c r="G5" i="47" s="1"/>
  <c r="K49" i="50"/>
  <c r="D8" i="42"/>
  <c r="M135" i="46" l="1"/>
  <c r="M137" i="46"/>
  <c r="L136" i="46"/>
  <c r="L137" i="46"/>
  <c r="L135" i="46"/>
  <c r="M136" i="46"/>
  <c r="N137" i="46"/>
  <c r="O137" i="46"/>
  <c r="N136" i="46"/>
  <c r="L68" i="46"/>
  <c r="N70" i="46"/>
  <c r="L70" i="46"/>
  <c r="M68" i="46"/>
  <c r="M69" i="46"/>
  <c r="O70" i="46"/>
  <c r="L69" i="46"/>
  <c r="N69" i="46"/>
  <c r="M70" i="46"/>
  <c r="L225" i="46"/>
  <c r="L225" i="56"/>
  <c r="L67" i="46"/>
  <c r="L195" i="46"/>
  <c r="L134" i="46"/>
  <c r="L67" i="56"/>
  <c r="L195" i="56"/>
  <c r="L36" i="56"/>
  <c r="D265" i="56"/>
  <c r="L256" i="56"/>
  <c r="L165" i="46"/>
  <c r="L165" i="56"/>
  <c r="E7" i="46"/>
  <c r="H8" i="42"/>
  <c r="H7" i="56"/>
  <c r="I8" i="42"/>
  <c r="I7" i="56"/>
  <c r="H7" i="46"/>
  <c r="N78" i="50"/>
  <c r="F13" i="42" s="1"/>
  <c r="N79" i="50"/>
  <c r="F15" i="42" s="1"/>
  <c r="O78" i="50"/>
  <c r="G13" i="42" s="1"/>
  <c r="O79" i="50"/>
  <c r="G15" i="42" s="1"/>
  <c r="P78" i="50"/>
  <c r="H13" i="42" s="1"/>
  <c r="P79" i="50"/>
  <c r="H15" i="42" s="1"/>
  <c r="J48" i="50"/>
  <c r="L83" i="50"/>
  <c r="D14" i="42" s="1"/>
  <c r="I48" i="50"/>
  <c r="F6" i="47" s="1"/>
  <c r="F7" i="47" s="1"/>
  <c r="H48" i="50"/>
  <c r="E6" i="47" s="1"/>
  <c r="E7" i="47" s="1"/>
  <c r="L84" i="50"/>
  <c r="D16" i="42" s="1"/>
  <c r="G48" i="50"/>
  <c r="L85" i="50"/>
  <c r="D17" i="42" s="1"/>
  <c r="K48" i="50"/>
  <c r="H6" i="47" s="1"/>
  <c r="H7" i="47" s="1"/>
  <c r="M78" i="50"/>
  <c r="E13" i="42" s="1"/>
  <c r="M79" i="50"/>
  <c r="E15" i="42" s="1"/>
  <c r="Q78" i="50"/>
  <c r="I13" i="42" s="1"/>
  <c r="Q79" i="50"/>
  <c r="I15" i="42" s="1"/>
  <c r="F8" i="42"/>
  <c r="F7" i="46"/>
  <c r="G8" i="42"/>
  <c r="G7" i="46"/>
  <c r="E8" i="42"/>
  <c r="I7" i="46"/>
  <c r="L80" i="50"/>
  <c r="G153" i="56" l="1"/>
  <c r="E153" i="56"/>
  <c r="D213" i="56"/>
  <c r="L213" i="56" s="1"/>
  <c r="E152" i="56"/>
  <c r="D212" i="56"/>
  <c r="L212" i="56" s="1"/>
  <c r="E151" i="56"/>
  <c r="D151" i="56"/>
  <c r="D214" i="56"/>
  <c r="L214" i="56" s="1"/>
  <c r="F153" i="56"/>
  <c r="E212" i="56"/>
  <c r="M212" i="56" s="1"/>
  <c r="D211" i="56"/>
  <c r="L211" i="56" s="1"/>
  <c r="D153" i="56"/>
  <c r="F152" i="56"/>
  <c r="E211" i="56"/>
  <c r="M211" i="56" s="1"/>
  <c r="D210" i="56"/>
  <c r="L210" i="56" s="1"/>
  <c r="G152" i="56"/>
  <c r="D152" i="56"/>
  <c r="F151" i="56"/>
  <c r="H153" i="56"/>
  <c r="E150" i="56"/>
  <c r="D149" i="56"/>
  <c r="D150" i="56"/>
  <c r="G244" i="56"/>
  <c r="O244" i="56" s="1"/>
  <c r="F243" i="56"/>
  <c r="N243" i="56" s="1"/>
  <c r="E242" i="56"/>
  <c r="M242" i="56" s="1"/>
  <c r="D241" i="56"/>
  <c r="L241" i="56" s="1"/>
  <c r="H214" i="56"/>
  <c r="P214" i="56" s="1"/>
  <c r="G213" i="56"/>
  <c r="O213" i="56" s="1"/>
  <c r="H86" i="56"/>
  <c r="P86" i="56" s="1"/>
  <c r="G85" i="56"/>
  <c r="O85" i="56" s="1"/>
  <c r="F84" i="56"/>
  <c r="N84" i="56" s="1"/>
  <c r="E83" i="56"/>
  <c r="M83" i="56" s="1"/>
  <c r="G55" i="56"/>
  <c r="O55" i="56" s="1"/>
  <c r="F54" i="56"/>
  <c r="N54" i="56" s="1"/>
  <c r="E53" i="56"/>
  <c r="M53" i="56" s="1"/>
  <c r="D52" i="56"/>
  <c r="L52" i="56" s="1"/>
  <c r="F243" i="46"/>
  <c r="N243" i="46" s="1"/>
  <c r="F214" i="56"/>
  <c r="N214" i="56" s="1"/>
  <c r="E213" i="56"/>
  <c r="M213" i="56" s="1"/>
  <c r="F244" i="56"/>
  <c r="N244" i="56" s="1"/>
  <c r="E243" i="56"/>
  <c r="M243" i="56" s="1"/>
  <c r="D242" i="56"/>
  <c r="L242" i="56" s="1"/>
  <c r="G214" i="56"/>
  <c r="O214" i="56" s="1"/>
  <c r="F213" i="56"/>
  <c r="N213" i="56" s="1"/>
  <c r="H184" i="56"/>
  <c r="P184" i="56" s="1"/>
  <c r="G183" i="56"/>
  <c r="O183" i="56" s="1"/>
  <c r="F182" i="56"/>
  <c r="N182" i="56" s="1"/>
  <c r="E181" i="56"/>
  <c r="M181" i="56" s="1"/>
  <c r="G86" i="56"/>
  <c r="O86" i="56" s="1"/>
  <c r="F85" i="56"/>
  <c r="N85" i="56" s="1"/>
  <c r="E84" i="56"/>
  <c r="M84" i="56" s="1"/>
  <c r="D83" i="56"/>
  <c r="L83" i="56" s="1"/>
  <c r="F55" i="56"/>
  <c r="N55" i="56" s="1"/>
  <c r="E54" i="56"/>
  <c r="M54" i="56" s="1"/>
  <c r="D53" i="56"/>
  <c r="L53" i="56" s="1"/>
  <c r="D51" i="56"/>
  <c r="L51" i="56" s="1"/>
  <c r="E214" i="46"/>
  <c r="M214" i="46" s="1"/>
  <c r="E244" i="56"/>
  <c r="M244" i="56" s="1"/>
  <c r="D243" i="56"/>
  <c r="L243" i="56" s="1"/>
  <c r="G184" i="56"/>
  <c r="O184" i="56" s="1"/>
  <c r="F183" i="56"/>
  <c r="N183" i="56" s="1"/>
  <c r="E182" i="56"/>
  <c r="M182" i="56" s="1"/>
  <c r="D181" i="56"/>
  <c r="L181" i="56" s="1"/>
  <c r="F86" i="56"/>
  <c r="N86" i="56" s="1"/>
  <c r="E85" i="56"/>
  <c r="M85" i="56" s="1"/>
  <c r="D84" i="56"/>
  <c r="L84" i="56" s="1"/>
  <c r="E55" i="56"/>
  <c r="M55" i="56" s="1"/>
  <c r="D54" i="56"/>
  <c r="L54" i="56" s="1"/>
  <c r="E213" i="46"/>
  <c r="M213" i="46" s="1"/>
  <c r="D244" i="56"/>
  <c r="L244" i="56" s="1"/>
  <c r="E214" i="56"/>
  <c r="M214" i="56" s="1"/>
  <c r="F184" i="56"/>
  <c r="N184" i="56" s="1"/>
  <c r="E183" i="56"/>
  <c r="M183" i="56" s="1"/>
  <c r="D182" i="56"/>
  <c r="L182" i="56" s="1"/>
  <c r="E86" i="56"/>
  <c r="M86" i="56" s="1"/>
  <c r="D85" i="56"/>
  <c r="L85" i="56" s="1"/>
  <c r="D55" i="56"/>
  <c r="L55" i="56" s="1"/>
  <c r="G213" i="46"/>
  <c r="O213" i="46" s="1"/>
  <c r="F214" i="46"/>
  <c r="N214" i="46" s="1"/>
  <c r="E212" i="46"/>
  <c r="M212" i="46" s="1"/>
  <c r="E184" i="56"/>
  <c r="M184" i="56" s="1"/>
  <c r="D183" i="56"/>
  <c r="L183" i="56" s="1"/>
  <c r="D86" i="56"/>
  <c r="L86" i="56" s="1"/>
  <c r="G214" i="46"/>
  <c r="O214" i="46" s="1"/>
  <c r="F213" i="46"/>
  <c r="N213" i="46" s="1"/>
  <c r="E211" i="46"/>
  <c r="M211" i="46" s="1"/>
  <c r="D184" i="56"/>
  <c r="L184" i="56" s="1"/>
  <c r="F212" i="46"/>
  <c r="N212" i="46" s="1"/>
  <c r="H244" i="56"/>
  <c r="P244" i="56" s="1"/>
  <c r="G243" i="56"/>
  <c r="O243" i="56" s="1"/>
  <c r="F242" i="56"/>
  <c r="N242" i="56" s="1"/>
  <c r="E241" i="56"/>
  <c r="M241" i="56" s="1"/>
  <c r="D240" i="56"/>
  <c r="L240" i="56" s="1"/>
  <c r="F212" i="56"/>
  <c r="N212" i="56" s="1"/>
  <c r="H55" i="56"/>
  <c r="P55" i="56" s="1"/>
  <c r="G54" i="56"/>
  <c r="O54" i="56" s="1"/>
  <c r="F53" i="56"/>
  <c r="N53" i="56" s="1"/>
  <c r="E52" i="56"/>
  <c r="M52" i="56" s="1"/>
  <c r="H214" i="46"/>
  <c r="P214" i="46" s="1"/>
  <c r="E241" i="46"/>
  <c r="M241" i="46" s="1"/>
  <c r="D240" i="46"/>
  <c r="L240" i="46" s="1"/>
  <c r="D29" i="56"/>
  <c r="L29" i="56" s="1"/>
  <c r="F244" i="46"/>
  <c r="N244" i="46" s="1"/>
  <c r="D241" i="46"/>
  <c r="L241" i="46" s="1"/>
  <c r="D242" i="46"/>
  <c r="L242" i="46" s="1"/>
  <c r="D257" i="56"/>
  <c r="D243" i="46"/>
  <c r="L243" i="46" s="1"/>
  <c r="D82" i="56"/>
  <c r="L82" i="56" s="1"/>
  <c r="E244" i="46"/>
  <c r="M244" i="46" s="1"/>
  <c r="D180" i="56"/>
  <c r="L180" i="56" s="1"/>
  <c r="E242" i="46"/>
  <c r="M242" i="46" s="1"/>
  <c r="G243" i="46"/>
  <c r="O243" i="46" s="1"/>
  <c r="G244" i="46"/>
  <c r="O244" i="46" s="1"/>
  <c r="E243" i="46"/>
  <c r="M243" i="46" s="1"/>
  <c r="D244" i="46"/>
  <c r="L244" i="46" s="1"/>
  <c r="H244" i="46"/>
  <c r="P244" i="46" s="1"/>
  <c r="D210" i="46"/>
  <c r="L210" i="46" s="1"/>
  <c r="E181" i="46"/>
  <c r="M181" i="46" s="1"/>
  <c r="F242" i="46"/>
  <c r="N242" i="46" s="1"/>
  <c r="E153" i="46"/>
  <c r="M153" i="46" s="1"/>
  <c r="F184" i="46"/>
  <c r="N184" i="46" s="1"/>
  <c r="D150" i="46"/>
  <c r="L150" i="46" s="1"/>
  <c r="E182" i="46"/>
  <c r="M182" i="46" s="1"/>
  <c r="E184" i="46"/>
  <c r="M184" i="46" s="1"/>
  <c r="D149" i="46"/>
  <c r="L149" i="46" s="1"/>
  <c r="D151" i="46"/>
  <c r="L151" i="46" s="1"/>
  <c r="D183" i="46"/>
  <c r="L183" i="46" s="1"/>
  <c r="F152" i="46"/>
  <c r="N152" i="46" s="1"/>
  <c r="F151" i="46"/>
  <c r="N151" i="46" s="1"/>
  <c r="E150" i="46"/>
  <c r="M150" i="46" s="1"/>
  <c r="G184" i="46"/>
  <c r="O184" i="46" s="1"/>
  <c r="D182" i="46"/>
  <c r="L182" i="46" s="1"/>
  <c r="G183" i="46"/>
  <c r="O183" i="46" s="1"/>
  <c r="F153" i="46"/>
  <c r="N153" i="46" s="1"/>
  <c r="G152" i="46"/>
  <c r="O152" i="46" s="1"/>
  <c r="E151" i="46"/>
  <c r="M151" i="46" s="1"/>
  <c r="G153" i="46"/>
  <c r="O153" i="46" s="1"/>
  <c r="D184" i="46"/>
  <c r="L184" i="46" s="1"/>
  <c r="E183" i="46"/>
  <c r="M183" i="46" s="1"/>
  <c r="F183" i="46"/>
  <c r="N183" i="46" s="1"/>
  <c r="D181" i="46"/>
  <c r="L181" i="46" s="1"/>
  <c r="H153" i="46"/>
  <c r="P153" i="46" s="1"/>
  <c r="D180" i="46"/>
  <c r="L180" i="46" s="1"/>
  <c r="F182" i="46"/>
  <c r="N182" i="46" s="1"/>
  <c r="D153" i="46"/>
  <c r="L153" i="46" s="1"/>
  <c r="D152" i="46"/>
  <c r="L152" i="46" s="1"/>
  <c r="E152" i="46"/>
  <c r="M152" i="46" s="1"/>
  <c r="H184" i="46"/>
  <c r="P184" i="46" s="1"/>
  <c r="D51" i="46"/>
  <c r="L51" i="46" s="1"/>
  <c r="D82" i="46"/>
  <c r="L82" i="46" s="1"/>
  <c r="G86" i="46"/>
  <c r="O86" i="46" s="1"/>
  <c r="G55" i="46"/>
  <c r="O55" i="46" s="1"/>
  <c r="F55" i="46"/>
  <c r="N55" i="46" s="1"/>
  <c r="F85" i="46"/>
  <c r="N85" i="46" s="1"/>
  <c r="F86" i="46"/>
  <c r="N86" i="46" s="1"/>
  <c r="E55" i="46"/>
  <c r="M55" i="46" s="1"/>
  <c r="D54" i="46"/>
  <c r="L54" i="46" s="1"/>
  <c r="F84" i="46"/>
  <c r="N84" i="46" s="1"/>
  <c r="D85" i="46"/>
  <c r="L85" i="46" s="1"/>
  <c r="D86" i="46"/>
  <c r="L86" i="46" s="1"/>
  <c r="D55" i="46"/>
  <c r="L55" i="46" s="1"/>
  <c r="D53" i="46"/>
  <c r="L53" i="46" s="1"/>
  <c r="F54" i="46"/>
  <c r="N54" i="46" s="1"/>
  <c r="F53" i="46"/>
  <c r="N53" i="46" s="1"/>
  <c r="D83" i="46"/>
  <c r="L83" i="46" s="1"/>
  <c r="D214" i="46"/>
  <c r="L214" i="46" s="1"/>
  <c r="E52" i="46"/>
  <c r="M52" i="46" s="1"/>
  <c r="E86" i="46"/>
  <c r="M86" i="46" s="1"/>
  <c r="D84" i="46"/>
  <c r="L84" i="46" s="1"/>
  <c r="E85" i="46"/>
  <c r="M85" i="46" s="1"/>
  <c r="E83" i="46"/>
  <c r="M83" i="46" s="1"/>
  <c r="H86" i="46"/>
  <c r="P86" i="46" s="1"/>
  <c r="E84" i="46"/>
  <c r="M84" i="46" s="1"/>
  <c r="D52" i="46"/>
  <c r="L52" i="46" s="1"/>
  <c r="E53" i="46"/>
  <c r="M53" i="46" s="1"/>
  <c r="D212" i="46"/>
  <c r="L212" i="46" s="1"/>
  <c r="G85" i="46"/>
  <c r="O85" i="46" s="1"/>
  <c r="G54" i="46"/>
  <c r="O54" i="46" s="1"/>
  <c r="D213" i="46"/>
  <c r="L213" i="46" s="1"/>
  <c r="D211" i="46"/>
  <c r="L211" i="46" s="1"/>
  <c r="H55" i="46"/>
  <c r="P55" i="46" s="1"/>
  <c r="E54" i="46"/>
  <c r="M54" i="46" s="1"/>
  <c r="D29" i="46"/>
  <c r="L29" i="46" s="1"/>
  <c r="G143" i="56"/>
  <c r="E143" i="56"/>
  <c r="E142" i="56"/>
  <c r="D142" i="56"/>
  <c r="E201" i="56"/>
  <c r="M201" i="56" s="1"/>
  <c r="D200" i="56"/>
  <c r="D201" i="56"/>
  <c r="L201" i="56" s="1"/>
  <c r="G142" i="56"/>
  <c r="F143" i="56"/>
  <c r="E141" i="56"/>
  <c r="D141" i="56"/>
  <c r="H143" i="56"/>
  <c r="F142" i="56"/>
  <c r="E140" i="56"/>
  <c r="D140" i="56"/>
  <c r="E204" i="56"/>
  <c r="M204" i="56" s="1"/>
  <c r="F141" i="56"/>
  <c r="D203" i="56"/>
  <c r="L203" i="56" s="1"/>
  <c r="E202" i="56"/>
  <c r="M202" i="56" s="1"/>
  <c r="D204" i="56"/>
  <c r="L204" i="56" s="1"/>
  <c r="E203" i="56"/>
  <c r="M203" i="56" s="1"/>
  <c r="D202" i="56"/>
  <c r="L202" i="56" s="1"/>
  <c r="D143" i="56"/>
  <c r="G234" i="56"/>
  <c r="O234" i="56" s="1"/>
  <c r="F233" i="56"/>
  <c r="N233" i="56" s="1"/>
  <c r="E232" i="56"/>
  <c r="M232" i="56" s="1"/>
  <c r="E231" i="56"/>
  <c r="M231" i="56" s="1"/>
  <c r="F202" i="56"/>
  <c r="N202" i="56" s="1"/>
  <c r="H174" i="56"/>
  <c r="P174" i="56" s="1"/>
  <c r="G173" i="56"/>
  <c r="O173" i="56" s="1"/>
  <c r="F172" i="56"/>
  <c r="N172" i="56" s="1"/>
  <c r="E171" i="56"/>
  <c r="M171" i="56" s="1"/>
  <c r="G203" i="46"/>
  <c r="O203" i="46" s="1"/>
  <c r="F203" i="46"/>
  <c r="N203" i="46" s="1"/>
  <c r="F234" i="56"/>
  <c r="N234" i="56" s="1"/>
  <c r="E233" i="56"/>
  <c r="M233" i="56" s="1"/>
  <c r="D232" i="56"/>
  <c r="L232" i="56" s="1"/>
  <c r="D231" i="56"/>
  <c r="L231" i="56" s="1"/>
  <c r="G174" i="56"/>
  <c r="O174" i="56" s="1"/>
  <c r="F173" i="56"/>
  <c r="N173" i="56" s="1"/>
  <c r="E172" i="56"/>
  <c r="M172" i="56" s="1"/>
  <c r="D171" i="56"/>
  <c r="L171" i="56" s="1"/>
  <c r="H76" i="56"/>
  <c r="P76" i="56" s="1"/>
  <c r="H45" i="56"/>
  <c r="P45" i="56" s="1"/>
  <c r="G44" i="56"/>
  <c r="O44" i="56" s="1"/>
  <c r="F43" i="56"/>
  <c r="N43" i="56" s="1"/>
  <c r="D230" i="46"/>
  <c r="E234" i="56"/>
  <c r="M234" i="56" s="1"/>
  <c r="D233" i="56"/>
  <c r="L233" i="56" s="1"/>
  <c r="G203" i="56"/>
  <c r="O203" i="56" s="1"/>
  <c r="F174" i="56"/>
  <c r="N174" i="56" s="1"/>
  <c r="E173" i="56"/>
  <c r="M173" i="56" s="1"/>
  <c r="D172" i="56"/>
  <c r="L172" i="56" s="1"/>
  <c r="G76" i="56"/>
  <c r="O76" i="56" s="1"/>
  <c r="G75" i="56"/>
  <c r="O75" i="56" s="1"/>
  <c r="F74" i="56"/>
  <c r="N74" i="56" s="1"/>
  <c r="E73" i="56"/>
  <c r="M73" i="56" s="1"/>
  <c r="D72" i="56"/>
  <c r="G45" i="56"/>
  <c r="O45" i="56" s="1"/>
  <c r="F44" i="56"/>
  <c r="N44" i="56" s="1"/>
  <c r="E43" i="56"/>
  <c r="M43" i="56" s="1"/>
  <c r="E42" i="56"/>
  <c r="M42" i="56" s="1"/>
  <c r="D41" i="56"/>
  <c r="E234" i="46"/>
  <c r="M234" i="46" s="1"/>
  <c r="E203" i="46"/>
  <c r="M203" i="46" s="1"/>
  <c r="H234" i="46"/>
  <c r="P234" i="46" s="1"/>
  <c r="D234" i="56"/>
  <c r="L234" i="56" s="1"/>
  <c r="F203" i="56"/>
  <c r="N203" i="56" s="1"/>
  <c r="E174" i="56"/>
  <c r="M174" i="56" s="1"/>
  <c r="D173" i="56"/>
  <c r="L173" i="56" s="1"/>
  <c r="F76" i="56"/>
  <c r="N76" i="56" s="1"/>
  <c r="F75" i="56"/>
  <c r="N75" i="56" s="1"/>
  <c r="E74" i="56"/>
  <c r="M74" i="56" s="1"/>
  <c r="D73" i="56"/>
  <c r="L73" i="56" s="1"/>
  <c r="F45" i="56"/>
  <c r="N45" i="56" s="1"/>
  <c r="E44" i="56"/>
  <c r="M44" i="56" s="1"/>
  <c r="D43" i="56"/>
  <c r="L43" i="56" s="1"/>
  <c r="D42" i="56"/>
  <c r="L42" i="56" s="1"/>
  <c r="H204" i="46"/>
  <c r="P204" i="46" s="1"/>
  <c r="F234" i="46"/>
  <c r="N234" i="46" s="1"/>
  <c r="G204" i="56"/>
  <c r="O204" i="56" s="1"/>
  <c r="H204" i="56"/>
  <c r="P204" i="56" s="1"/>
  <c r="D174" i="56"/>
  <c r="L174" i="56" s="1"/>
  <c r="E76" i="56"/>
  <c r="M76" i="56" s="1"/>
  <c r="E75" i="56"/>
  <c r="M75" i="56" s="1"/>
  <c r="D74" i="56"/>
  <c r="L74" i="56" s="1"/>
  <c r="E45" i="56"/>
  <c r="M45" i="56" s="1"/>
  <c r="D44" i="56"/>
  <c r="L44" i="56" s="1"/>
  <c r="G234" i="46"/>
  <c r="O234" i="46" s="1"/>
  <c r="D76" i="56"/>
  <c r="L76" i="56" s="1"/>
  <c r="D75" i="56"/>
  <c r="L75" i="56" s="1"/>
  <c r="D45" i="56"/>
  <c r="L45" i="56" s="1"/>
  <c r="F204" i="56"/>
  <c r="N204" i="56" s="1"/>
  <c r="E202" i="46"/>
  <c r="M202" i="46" s="1"/>
  <c r="G233" i="56"/>
  <c r="O233" i="56" s="1"/>
  <c r="F232" i="56"/>
  <c r="N232" i="56" s="1"/>
  <c r="G204" i="46"/>
  <c r="O204" i="46" s="1"/>
  <c r="F204" i="46"/>
  <c r="N204" i="46" s="1"/>
  <c r="E201" i="46"/>
  <c r="M201" i="46" s="1"/>
  <c r="H234" i="56"/>
  <c r="P234" i="56" s="1"/>
  <c r="F202" i="46"/>
  <c r="N202" i="46" s="1"/>
  <c r="E231" i="46"/>
  <c r="M231" i="46" s="1"/>
  <c r="D234" i="46"/>
  <c r="L234" i="46" s="1"/>
  <c r="D170" i="56"/>
  <c r="D233" i="46"/>
  <c r="L233" i="46" s="1"/>
  <c r="D232" i="46"/>
  <c r="L232" i="46" s="1"/>
  <c r="E233" i="46"/>
  <c r="M233" i="46" s="1"/>
  <c r="D200" i="46"/>
  <c r="D231" i="46"/>
  <c r="L231" i="46" s="1"/>
  <c r="F233" i="46"/>
  <c r="N233" i="46" s="1"/>
  <c r="D230" i="56"/>
  <c r="F232" i="46"/>
  <c r="N232" i="46" s="1"/>
  <c r="G233" i="46"/>
  <c r="O233" i="46" s="1"/>
  <c r="D172" i="46"/>
  <c r="L172" i="46" s="1"/>
  <c r="E232" i="46"/>
  <c r="M232" i="46" s="1"/>
  <c r="D170" i="46"/>
  <c r="E141" i="46"/>
  <c r="E171" i="46"/>
  <c r="M171" i="46" s="1"/>
  <c r="E174" i="46"/>
  <c r="M174" i="46" s="1"/>
  <c r="D173" i="46"/>
  <c r="L173" i="46" s="1"/>
  <c r="F141" i="46"/>
  <c r="D142" i="46"/>
  <c r="L142" i="46" s="1"/>
  <c r="E172" i="46"/>
  <c r="M172" i="46" s="1"/>
  <c r="G173" i="46"/>
  <c r="O173" i="46" s="1"/>
  <c r="D171" i="46"/>
  <c r="L171" i="46" s="1"/>
  <c r="D174" i="46"/>
  <c r="L174" i="46" s="1"/>
  <c r="D139" i="46"/>
  <c r="E143" i="46"/>
  <c r="M143" i="46" s="1"/>
  <c r="D140" i="46"/>
  <c r="F142" i="46"/>
  <c r="N142" i="46" s="1"/>
  <c r="D141" i="46"/>
  <c r="G143" i="46"/>
  <c r="O143" i="46" s="1"/>
  <c r="E173" i="46"/>
  <c r="M173" i="46" s="1"/>
  <c r="F173" i="46"/>
  <c r="N173" i="46" s="1"/>
  <c r="H143" i="46"/>
  <c r="P143" i="46" s="1"/>
  <c r="E142" i="46"/>
  <c r="M142" i="46" s="1"/>
  <c r="F143" i="46"/>
  <c r="N143" i="46" s="1"/>
  <c r="F174" i="46"/>
  <c r="N174" i="46" s="1"/>
  <c r="F172" i="46"/>
  <c r="N172" i="46" s="1"/>
  <c r="G142" i="46"/>
  <c r="O142" i="46" s="1"/>
  <c r="G174" i="46"/>
  <c r="O174" i="46" s="1"/>
  <c r="E140" i="46"/>
  <c r="D143" i="46"/>
  <c r="L143" i="46" s="1"/>
  <c r="H174" i="46"/>
  <c r="P174" i="46" s="1"/>
  <c r="E76" i="46"/>
  <c r="M76" i="46" s="1"/>
  <c r="D74" i="46"/>
  <c r="D75" i="46"/>
  <c r="L75" i="46" s="1"/>
  <c r="F44" i="46"/>
  <c r="N44" i="46" s="1"/>
  <c r="D203" i="46"/>
  <c r="L203" i="46" s="1"/>
  <c r="G76" i="46"/>
  <c r="O76" i="46" s="1"/>
  <c r="F74" i="46"/>
  <c r="F75" i="46"/>
  <c r="N75" i="46" s="1"/>
  <c r="E45" i="46"/>
  <c r="M45" i="46" s="1"/>
  <c r="H76" i="46"/>
  <c r="P76" i="46" s="1"/>
  <c r="D72" i="46"/>
  <c r="G44" i="46"/>
  <c r="O44" i="46" s="1"/>
  <c r="D45" i="46"/>
  <c r="L45" i="46" s="1"/>
  <c r="D42" i="46"/>
  <c r="L42" i="46" s="1"/>
  <c r="D41" i="46"/>
  <c r="L41" i="46" s="1"/>
  <c r="E74" i="46"/>
  <c r="D202" i="46"/>
  <c r="L202" i="46" s="1"/>
  <c r="E75" i="46"/>
  <c r="M75" i="46" s="1"/>
  <c r="D44" i="46"/>
  <c r="L44" i="46" s="1"/>
  <c r="D201" i="46"/>
  <c r="L201" i="46" s="1"/>
  <c r="E204" i="46"/>
  <c r="M204" i="46" s="1"/>
  <c r="D76" i="46"/>
  <c r="L76" i="46" s="1"/>
  <c r="D73" i="46"/>
  <c r="G75" i="46"/>
  <c r="O75" i="46" s="1"/>
  <c r="F45" i="46"/>
  <c r="N45" i="46" s="1"/>
  <c r="G45" i="46"/>
  <c r="O45" i="46" s="1"/>
  <c r="E44" i="46"/>
  <c r="M44" i="46" s="1"/>
  <c r="E42" i="46"/>
  <c r="M42" i="46" s="1"/>
  <c r="E43" i="46"/>
  <c r="M43" i="46" s="1"/>
  <c r="D204" i="46"/>
  <c r="L204" i="46" s="1"/>
  <c r="D43" i="46"/>
  <c r="L43" i="46" s="1"/>
  <c r="F43" i="46"/>
  <c r="N43" i="46" s="1"/>
  <c r="H45" i="46"/>
  <c r="P45" i="46" s="1"/>
  <c r="E73" i="46"/>
  <c r="F76" i="46"/>
  <c r="N76" i="46" s="1"/>
  <c r="D27" i="56"/>
  <c r="D255" i="56"/>
  <c r="D157" i="56"/>
  <c r="E155" i="56"/>
  <c r="H158" i="56"/>
  <c r="G158" i="56"/>
  <c r="D156" i="56"/>
  <c r="D216" i="56"/>
  <c r="L216" i="56" s="1"/>
  <c r="G157" i="56"/>
  <c r="E158" i="56"/>
  <c r="D219" i="56"/>
  <c r="L219" i="56" s="1"/>
  <c r="D158" i="56"/>
  <c r="E157" i="56"/>
  <c r="D218" i="56"/>
  <c r="L218" i="56" s="1"/>
  <c r="D154" i="56"/>
  <c r="F158" i="56"/>
  <c r="D155" i="56"/>
  <c r="E156" i="56"/>
  <c r="D217" i="56"/>
  <c r="L217" i="56" s="1"/>
  <c r="F157" i="56"/>
  <c r="F156" i="56"/>
  <c r="D215" i="56"/>
  <c r="L215" i="56" s="1"/>
  <c r="E249" i="56"/>
  <c r="M249" i="56" s="1"/>
  <c r="D248" i="56"/>
  <c r="L248" i="56" s="1"/>
  <c r="G219" i="56"/>
  <c r="O219" i="56" s="1"/>
  <c r="E218" i="56"/>
  <c r="M218" i="56" s="1"/>
  <c r="F189" i="56"/>
  <c r="N189" i="56" s="1"/>
  <c r="E188" i="56"/>
  <c r="M188" i="56" s="1"/>
  <c r="D187" i="56"/>
  <c r="L187" i="56" s="1"/>
  <c r="E91" i="56"/>
  <c r="M91" i="56" s="1"/>
  <c r="D90" i="56"/>
  <c r="L90" i="56" s="1"/>
  <c r="G218" i="46"/>
  <c r="O218" i="46" s="1"/>
  <c r="E216" i="46"/>
  <c r="M216" i="46" s="1"/>
  <c r="E246" i="46"/>
  <c r="M246" i="46" s="1"/>
  <c r="E219" i="56"/>
  <c r="M219" i="56" s="1"/>
  <c r="D249" i="56"/>
  <c r="L249" i="56" s="1"/>
  <c r="F219" i="56"/>
  <c r="N219" i="56" s="1"/>
  <c r="E189" i="56"/>
  <c r="M189" i="56" s="1"/>
  <c r="D188" i="56"/>
  <c r="L188" i="56" s="1"/>
  <c r="D91" i="56"/>
  <c r="L91" i="56" s="1"/>
  <c r="D189" i="56"/>
  <c r="L189" i="56" s="1"/>
  <c r="H60" i="56"/>
  <c r="P60" i="56" s="1"/>
  <c r="D30" i="56"/>
  <c r="L30" i="56" s="1"/>
  <c r="H219" i="46"/>
  <c r="P219" i="46" s="1"/>
  <c r="F217" i="46"/>
  <c r="N217" i="46" s="1"/>
  <c r="D215" i="46"/>
  <c r="L215" i="46" s="1"/>
  <c r="E217" i="46"/>
  <c r="M217" i="46" s="1"/>
  <c r="G60" i="56"/>
  <c r="O60" i="56" s="1"/>
  <c r="G59" i="56"/>
  <c r="O59" i="56" s="1"/>
  <c r="F58" i="56"/>
  <c r="N58" i="56" s="1"/>
  <c r="F219" i="46"/>
  <c r="N219" i="46" s="1"/>
  <c r="H249" i="56"/>
  <c r="P249" i="56" s="1"/>
  <c r="F247" i="56"/>
  <c r="N247" i="56" s="1"/>
  <c r="E246" i="56"/>
  <c r="M246" i="56" s="1"/>
  <c r="F217" i="56"/>
  <c r="N217" i="56" s="1"/>
  <c r="F60" i="56"/>
  <c r="N60" i="56" s="1"/>
  <c r="F59" i="56"/>
  <c r="N59" i="56" s="1"/>
  <c r="E58" i="56"/>
  <c r="M58" i="56" s="1"/>
  <c r="E57" i="56"/>
  <c r="M57" i="56" s="1"/>
  <c r="D56" i="56"/>
  <c r="L56" i="56" s="1"/>
  <c r="F218" i="46"/>
  <c r="N218" i="46" s="1"/>
  <c r="G248" i="56"/>
  <c r="O248" i="56" s="1"/>
  <c r="E216" i="56"/>
  <c r="M216" i="56" s="1"/>
  <c r="H91" i="56"/>
  <c r="P91" i="56" s="1"/>
  <c r="G90" i="56"/>
  <c r="O90" i="56" s="1"/>
  <c r="F89" i="56"/>
  <c r="N89" i="56" s="1"/>
  <c r="E60" i="56"/>
  <c r="M60" i="56" s="1"/>
  <c r="E59" i="56"/>
  <c r="M59" i="56" s="1"/>
  <c r="D58" i="56"/>
  <c r="L58" i="56" s="1"/>
  <c r="D57" i="56"/>
  <c r="L57" i="56" s="1"/>
  <c r="E219" i="46"/>
  <c r="M219" i="46" s="1"/>
  <c r="G219" i="46"/>
  <c r="O219" i="46" s="1"/>
  <c r="G249" i="56"/>
  <c r="O249" i="56" s="1"/>
  <c r="F248" i="56"/>
  <c r="N248" i="56" s="1"/>
  <c r="E247" i="56"/>
  <c r="M247" i="56" s="1"/>
  <c r="D246" i="56"/>
  <c r="L246" i="56" s="1"/>
  <c r="G218" i="56"/>
  <c r="O218" i="56" s="1"/>
  <c r="E217" i="56"/>
  <c r="M217" i="56" s="1"/>
  <c r="H189" i="56"/>
  <c r="P189" i="56" s="1"/>
  <c r="G188" i="56"/>
  <c r="O188" i="56" s="1"/>
  <c r="F187" i="56"/>
  <c r="N187" i="56" s="1"/>
  <c r="E186" i="56"/>
  <c r="M186" i="56" s="1"/>
  <c r="G91" i="56"/>
  <c r="O91" i="56" s="1"/>
  <c r="F90" i="56"/>
  <c r="N90" i="56" s="1"/>
  <c r="E89" i="56"/>
  <c r="M89" i="56" s="1"/>
  <c r="E88" i="56"/>
  <c r="M88" i="56" s="1"/>
  <c r="D60" i="56"/>
  <c r="L60" i="56" s="1"/>
  <c r="D59" i="56"/>
  <c r="L59" i="56" s="1"/>
  <c r="E218" i="46"/>
  <c r="M218" i="46" s="1"/>
  <c r="F249" i="56"/>
  <c r="N249" i="56" s="1"/>
  <c r="E248" i="56"/>
  <c r="M248" i="56" s="1"/>
  <c r="D247" i="56"/>
  <c r="L247" i="56" s="1"/>
  <c r="H219" i="56"/>
  <c r="P219" i="56" s="1"/>
  <c r="F218" i="56"/>
  <c r="N218" i="56" s="1"/>
  <c r="G189" i="56"/>
  <c r="O189" i="56" s="1"/>
  <c r="F188" i="56"/>
  <c r="N188" i="56" s="1"/>
  <c r="E187" i="56"/>
  <c r="M187" i="56" s="1"/>
  <c r="D186" i="56"/>
  <c r="L186" i="56" s="1"/>
  <c r="F91" i="56"/>
  <c r="N91" i="56" s="1"/>
  <c r="E90" i="56"/>
  <c r="M90" i="56" s="1"/>
  <c r="D89" i="56"/>
  <c r="L89" i="56" s="1"/>
  <c r="D88" i="56"/>
  <c r="L88" i="56" s="1"/>
  <c r="D185" i="56"/>
  <c r="L185" i="56" s="1"/>
  <c r="D258" i="56"/>
  <c r="D245" i="46"/>
  <c r="L245" i="46" s="1"/>
  <c r="E248" i="46"/>
  <c r="M248" i="46" s="1"/>
  <c r="F249" i="46"/>
  <c r="N249" i="46" s="1"/>
  <c r="D87" i="56"/>
  <c r="L87" i="56" s="1"/>
  <c r="D248" i="46"/>
  <c r="L248" i="46" s="1"/>
  <c r="F247" i="46"/>
  <c r="N247" i="46" s="1"/>
  <c r="G248" i="46"/>
  <c r="O248" i="46" s="1"/>
  <c r="D247" i="46"/>
  <c r="L247" i="46" s="1"/>
  <c r="D245" i="56"/>
  <c r="L245" i="56" s="1"/>
  <c r="H249" i="46"/>
  <c r="P249" i="46" s="1"/>
  <c r="E249" i="46"/>
  <c r="M249" i="46" s="1"/>
  <c r="D249" i="46"/>
  <c r="L249" i="46" s="1"/>
  <c r="F248" i="46"/>
  <c r="N248" i="46" s="1"/>
  <c r="E247" i="46"/>
  <c r="M247" i="46" s="1"/>
  <c r="G249" i="46"/>
  <c r="O249" i="46" s="1"/>
  <c r="D246" i="46"/>
  <c r="L246" i="46" s="1"/>
  <c r="H189" i="46"/>
  <c r="P189" i="46" s="1"/>
  <c r="G157" i="46"/>
  <c r="O157" i="46" s="1"/>
  <c r="D185" i="46"/>
  <c r="L185" i="46" s="1"/>
  <c r="H158" i="46"/>
  <c r="P158" i="46" s="1"/>
  <c r="E156" i="46"/>
  <c r="M156" i="46" s="1"/>
  <c r="G188" i="46"/>
  <c r="O188" i="46" s="1"/>
  <c r="G189" i="46"/>
  <c r="O189" i="46" s="1"/>
  <c r="D155" i="46"/>
  <c r="L155" i="46" s="1"/>
  <c r="G158" i="46"/>
  <c r="O158" i="46" s="1"/>
  <c r="F187" i="46"/>
  <c r="N187" i="46" s="1"/>
  <c r="E157" i="46"/>
  <c r="M157" i="46" s="1"/>
  <c r="E189" i="46"/>
  <c r="M189" i="46" s="1"/>
  <c r="F158" i="46"/>
  <c r="N158" i="46" s="1"/>
  <c r="E155" i="46"/>
  <c r="M155" i="46" s="1"/>
  <c r="D158" i="46"/>
  <c r="L158" i="46" s="1"/>
  <c r="D188" i="46"/>
  <c r="L188" i="46" s="1"/>
  <c r="E186" i="46"/>
  <c r="M186" i="46" s="1"/>
  <c r="D189" i="46"/>
  <c r="L189" i="46" s="1"/>
  <c r="E158" i="46"/>
  <c r="M158" i="46" s="1"/>
  <c r="D157" i="46"/>
  <c r="L157" i="46" s="1"/>
  <c r="F189" i="46"/>
  <c r="N189" i="46" s="1"/>
  <c r="D156" i="46"/>
  <c r="L156" i="46" s="1"/>
  <c r="E187" i="46"/>
  <c r="M187" i="46" s="1"/>
  <c r="D186" i="46"/>
  <c r="L186" i="46" s="1"/>
  <c r="F157" i="46"/>
  <c r="N157" i="46" s="1"/>
  <c r="D187" i="46"/>
  <c r="L187" i="46" s="1"/>
  <c r="F188" i="46"/>
  <c r="N188" i="46" s="1"/>
  <c r="E188" i="46"/>
  <c r="M188" i="46" s="1"/>
  <c r="D154" i="46"/>
  <c r="L154" i="46" s="1"/>
  <c r="F156" i="46"/>
  <c r="N156" i="46" s="1"/>
  <c r="E88" i="46"/>
  <c r="M88" i="46" s="1"/>
  <c r="D58" i="46"/>
  <c r="L58" i="46" s="1"/>
  <c r="F59" i="46"/>
  <c r="N59" i="46" s="1"/>
  <c r="D218" i="46"/>
  <c r="L218" i="46" s="1"/>
  <c r="F89" i="46"/>
  <c r="N89" i="46" s="1"/>
  <c r="E89" i="46"/>
  <c r="M89" i="46" s="1"/>
  <c r="D90" i="46"/>
  <c r="L90" i="46" s="1"/>
  <c r="F60" i="46"/>
  <c r="N60" i="46" s="1"/>
  <c r="D216" i="46"/>
  <c r="L216" i="46" s="1"/>
  <c r="H91" i="46"/>
  <c r="P91" i="46" s="1"/>
  <c r="D56" i="46"/>
  <c r="L56" i="46" s="1"/>
  <c r="D89" i="46"/>
  <c r="L89" i="46" s="1"/>
  <c r="E90" i="46"/>
  <c r="M90" i="46" s="1"/>
  <c r="E91" i="46"/>
  <c r="M91" i="46" s="1"/>
  <c r="G59" i="46"/>
  <c r="O59" i="46" s="1"/>
  <c r="E59" i="46"/>
  <c r="M59" i="46" s="1"/>
  <c r="G90" i="46"/>
  <c r="O90" i="46" s="1"/>
  <c r="G91" i="46"/>
  <c r="O91" i="46" s="1"/>
  <c r="D87" i="46"/>
  <c r="L87" i="46" s="1"/>
  <c r="D57" i="46"/>
  <c r="L57" i="46" s="1"/>
  <c r="E60" i="46"/>
  <c r="M60" i="46" s="1"/>
  <c r="F90" i="46"/>
  <c r="N90" i="46" s="1"/>
  <c r="D60" i="46"/>
  <c r="L60" i="46" s="1"/>
  <c r="D59" i="46"/>
  <c r="L59" i="46" s="1"/>
  <c r="D219" i="46"/>
  <c r="L219" i="46" s="1"/>
  <c r="D91" i="46"/>
  <c r="L91" i="46" s="1"/>
  <c r="F58" i="46"/>
  <c r="N58" i="46" s="1"/>
  <c r="H60" i="46"/>
  <c r="P60" i="46" s="1"/>
  <c r="G60" i="46"/>
  <c r="O60" i="46" s="1"/>
  <c r="D217" i="46"/>
  <c r="L217" i="46" s="1"/>
  <c r="D88" i="46"/>
  <c r="L88" i="46" s="1"/>
  <c r="E58" i="46"/>
  <c r="M58" i="46" s="1"/>
  <c r="F91" i="46"/>
  <c r="N91" i="46" s="1"/>
  <c r="E57" i="46"/>
  <c r="M57" i="46" s="1"/>
  <c r="D30" i="46"/>
  <c r="G145" i="56"/>
  <c r="H146" i="56"/>
  <c r="F144" i="56"/>
  <c r="H177" i="56"/>
  <c r="P177" i="56" s="1"/>
  <c r="G176" i="56"/>
  <c r="O176" i="56" s="1"/>
  <c r="F175" i="56"/>
  <c r="N175" i="56" s="1"/>
  <c r="G206" i="46"/>
  <c r="O206" i="46" s="1"/>
  <c r="H48" i="56"/>
  <c r="P48" i="56" s="1"/>
  <c r="G47" i="56"/>
  <c r="O47" i="56" s="1"/>
  <c r="F46" i="56"/>
  <c r="N46" i="56" s="1"/>
  <c r="F256" i="56"/>
  <c r="F205" i="56"/>
  <c r="N205" i="56" s="1"/>
  <c r="F28" i="56"/>
  <c r="N28" i="56" s="1"/>
  <c r="G236" i="56"/>
  <c r="O236" i="56" s="1"/>
  <c r="H79" i="56"/>
  <c r="P79" i="56" s="1"/>
  <c r="G78" i="56"/>
  <c r="O78" i="56" s="1"/>
  <c r="F77" i="56"/>
  <c r="N77" i="56" s="1"/>
  <c r="H207" i="46"/>
  <c r="P207" i="46" s="1"/>
  <c r="F235" i="46"/>
  <c r="N235" i="46" s="1"/>
  <c r="G206" i="56"/>
  <c r="O206" i="56" s="1"/>
  <c r="F205" i="46"/>
  <c r="N205" i="46" s="1"/>
  <c r="H207" i="56"/>
  <c r="P207" i="56" s="1"/>
  <c r="H237" i="56"/>
  <c r="P237" i="56" s="1"/>
  <c r="F235" i="56"/>
  <c r="N235" i="56" s="1"/>
  <c r="G236" i="46"/>
  <c r="O236" i="46" s="1"/>
  <c r="H237" i="46"/>
  <c r="P237" i="46" s="1"/>
  <c r="F175" i="46"/>
  <c r="N175" i="46" s="1"/>
  <c r="F144" i="46"/>
  <c r="N144" i="46" s="1"/>
  <c r="G176" i="46"/>
  <c r="O176" i="46" s="1"/>
  <c r="G145" i="46"/>
  <c r="O145" i="46" s="1"/>
  <c r="H177" i="46"/>
  <c r="P177" i="46" s="1"/>
  <c r="H146" i="46"/>
  <c r="P146" i="46" s="1"/>
  <c r="F46" i="46"/>
  <c r="N46" i="46" s="1"/>
  <c r="F77" i="46"/>
  <c r="N77" i="46" s="1"/>
  <c r="H48" i="46"/>
  <c r="P48" i="46" s="1"/>
  <c r="H79" i="46"/>
  <c r="P79" i="46" s="1"/>
  <c r="G78" i="46"/>
  <c r="O78" i="46" s="1"/>
  <c r="G47" i="46"/>
  <c r="O47" i="46" s="1"/>
  <c r="F28" i="46"/>
  <c r="I134" i="56"/>
  <c r="I67" i="56"/>
  <c r="I225" i="56"/>
  <c r="I165" i="56"/>
  <c r="I36" i="56"/>
  <c r="I195" i="56"/>
  <c r="I195" i="46"/>
  <c r="I225" i="46"/>
  <c r="I165" i="46"/>
  <c r="I134" i="46"/>
  <c r="I36" i="46"/>
  <c r="Q36" i="46" s="1"/>
  <c r="I67" i="46"/>
  <c r="F23" i="42"/>
  <c r="I137" i="56"/>
  <c r="H136" i="56"/>
  <c r="G135" i="56"/>
  <c r="F134" i="56"/>
  <c r="I39" i="56"/>
  <c r="Q39" i="56" s="1"/>
  <c r="H38" i="56"/>
  <c r="P38" i="56" s="1"/>
  <c r="G37" i="56"/>
  <c r="O37" i="56" s="1"/>
  <c r="F195" i="46"/>
  <c r="H227" i="46"/>
  <c r="P227" i="46" s="1"/>
  <c r="F195" i="56"/>
  <c r="G196" i="46"/>
  <c r="O196" i="46" s="1"/>
  <c r="G166" i="56"/>
  <c r="O166" i="56" s="1"/>
  <c r="H69" i="56"/>
  <c r="P69" i="56" s="1"/>
  <c r="G68" i="56"/>
  <c r="O68" i="56" s="1"/>
  <c r="F67" i="56"/>
  <c r="H197" i="46"/>
  <c r="P197" i="46" s="1"/>
  <c r="H167" i="56"/>
  <c r="P167" i="56" s="1"/>
  <c r="F165" i="56"/>
  <c r="F36" i="56"/>
  <c r="H227" i="56"/>
  <c r="P227" i="56" s="1"/>
  <c r="G226" i="56"/>
  <c r="O226" i="56" s="1"/>
  <c r="F225" i="56"/>
  <c r="G196" i="56"/>
  <c r="O196" i="56" s="1"/>
  <c r="I198" i="56"/>
  <c r="Q198" i="56" s="1"/>
  <c r="H197" i="56"/>
  <c r="P197" i="56" s="1"/>
  <c r="G226" i="46"/>
  <c r="O226" i="46" s="1"/>
  <c r="F225" i="46"/>
  <c r="G166" i="46"/>
  <c r="O166" i="46" s="1"/>
  <c r="H167" i="46"/>
  <c r="P167" i="46" s="1"/>
  <c r="F165" i="46"/>
  <c r="G135" i="46"/>
  <c r="H136" i="46"/>
  <c r="F134" i="46"/>
  <c r="F67" i="46"/>
  <c r="H69" i="46"/>
  <c r="H38" i="46"/>
  <c r="P38" i="46" s="1"/>
  <c r="I39" i="46"/>
  <c r="Q39" i="46" s="1"/>
  <c r="I198" i="46"/>
  <c r="Q198" i="46" s="1"/>
  <c r="G68" i="46"/>
  <c r="F36" i="46"/>
  <c r="N36" i="46" s="1"/>
  <c r="G37" i="46"/>
  <c r="O37" i="46" s="1"/>
  <c r="I144" i="56"/>
  <c r="I77" i="56"/>
  <c r="Q77" i="56" s="1"/>
  <c r="I175" i="56"/>
  <c r="Q175" i="56" s="1"/>
  <c r="I235" i="56"/>
  <c r="Q235" i="56" s="1"/>
  <c r="I205" i="46"/>
  <c r="Q205" i="46" s="1"/>
  <c r="I46" i="56"/>
  <c r="Q46" i="56" s="1"/>
  <c r="I235" i="46"/>
  <c r="Q235" i="46" s="1"/>
  <c r="I205" i="56"/>
  <c r="Q205" i="56" s="1"/>
  <c r="I28" i="56"/>
  <c r="Q28" i="56" s="1"/>
  <c r="I256" i="56"/>
  <c r="I175" i="46"/>
  <c r="Q175" i="46" s="1"/>
  <c r="I144" i="46"/>
  <c r="Q144" i="46" s="1"/>
  <c r="I77" i="46"/>
  <c r="Q77" i="46" s="1"/>
  <c r="I46" i="46"/>
  <c r="Q46" i="46" s="1"/>
  <c r="I28" i="46"/>
  <c r="Q28" i="46" s="1"/>
  <c r="G23" i="42"/>
  <c r="I136" i="56"/>
  <c r="H135" i="56"/>
  <c r="G134" i="56"/>
  <c r="G195" i="56"/>
  <c r="I69" i="56"/>
  <c r="Q69" i="56" s="1"/>
  <c r="H68" i="56"/>
  <c r="P68" i="56" s="1"/>
  <c r="G67" i="56"/>
  <c r="I227" i="46"/>
  <c r="Q227" i="46" s="1"/>
  <c r="I227" i="56"/>
  <c r="Q227" i="56" s="1"/>
  <c r="H226" i="56"/>
  <c r="P226" i="56" s="1"/>
  <c r="G225" i="56"/>
  <c r="H196" i="56"/>
  <c r="P196" i="56" s="1"/>
  <c r="I167" i="56"/>
  <c r="Q167" i="56" s="1"/>
  <c r="H166" i="56"/>
  <c r="P166" i="56" s="1"/>
  <c r="G165" i="56"/>
  <c r="H196" i="46"/>
  <c r="P196" i="46" s="1"/>
  <c r="I197" i="56"/>
  <c r="Q197" i="56" s="1"/>
  <c r="H37" i="56"/>
  <c r="P37" i="56" s="1"/>
  <c r="G36" i="56"/>
  <c r="I38" i="56"/>
  <c r="Q38" i="56" s="1"/>
  <c r="H226" i="46"/>
  <c r="P226" i="46" s="1"/>
  <c r="G195" i="46"/>
  <c r="G225" i="46"/>
  <c r="H166" i="46"/>
  <c r="P166" i="46" s="1"/>
  <c r="I167" i="46"/>
  <c r="Q167" i="46" s="1"/>
  <c r="G165" i="46"/>
  <c r="G134" i="46"/>
  <c r="H135" i="46"/>
  <c r="I136" i="46"/>
  <c r="I38" i="46"/>
  <c r="Q38" i="46" s="1"/>
  <c r="G36" i="46"/>
  <c r="O36" i="46" s="1"/>
  <c r="I197" i="46"/>
  <c r="Q197" i="46" s="1"/>
  <c r="G67" i="46"/>
  <c r="I69" i="46"/>
  <c r="H37" i="46"/>
  <c r="P37" i="46" s="1"/>
  <c r="H68" i="46"/>
  <c r="I145" i="56"/>
  <c r="H144" i="56"/>
  <c r="H205" i="56"/>
  <c r="P205" i="56" s="1"/>
  <c r="Q178" i="56"/>
  <c r="H28" i="56"/>
  <c r="P28" i="56" s="1"/>
  <c r="I78" i="56"/>
  <c r="Q78" i="56" s="1"/>
  <c r="H77" i="56"/>
  <c r="P77" i="56" s="1"/>
  <c r="I206" i="56"/>
  <c r="Q206" i="56" s="1"/>
  <c r="I236" i="46"/>
  <c r="Q236" i="46" s="1"/>
  <c r="I236" i="56"/>
  <c r="Q236" i="56" s="1"/>
  <c r="Q80" i="56"/>
  <c r="H205" i="46"/>
  <c r="P205" i="46" s="1"/>
  <c r="H235" i="56"/>
  <c r="P235" i="56" s="1"/>
  <c r="H235" i="46"/>
  <c r="P235" i="46" s="1"/>
  <c r="I47" i="56"/>
  <c r="Q47" i="56" s="1"/>
  <c r="H46" i="56"/>
  <c r="P46" i="56" s="1"/>
  <c r="I176" i="56"/>
  <c r="Q176" i="56" s="1"/>
  <c r="H175" i="56"/>
  <c r="P175" i="56" s="1"/>
  <c r="Q238" i="56"/>
  <c r="Q238" i="46"/>
  <c r="H256" i="56"/>
  <c r="H175" i="46"/>
  <c r="P175" i="46" s="1"/>
  <c r="H144" i="46"/>
  <c r="P144" i="46" s="1"/>
  <c r="Q178" i="46"/>
  <c r="Q147" i="46"/>
  <c r="I145" i="46"/>
  <c r="Q145" i="46" s="1"/>
  <c r="I176" i="46"/>
  <c r="Q176" i="46" s="1"/>
  <c r="I47" i="46"/>
  <c r="Q47" i="46" s="1"/>
  <c r="I206" i="46"/>
  <c r="Q206" i="46" s="1"/>
  <c r="I78" i="46"/>
  <c r="Q78" i="46" s="1"/>
  <c r="H46" i="46"/>
  <c r="P46" i="46" s="1"/>
  <c r="Q80" i="46"/>
  <c r="H77" i="46"/>
  <c r="P77" i="46" s="1"/>
  <c r="H28" i="46"/>
  <c r="P28" i="46" s="1"/>
  <c r="H134" i="56"/>
  <c r="I135" i="56"/>
  <c r="H195" i="56"/>
  <c r="I68" i="56"/>
  <c r="Q68" i="56" s="1"/>
  <c r="H67" i="56"/>
  <c r="I226" i="56"/>
  <c r="Q226" i="56" s="1"/>
  <c r="H225" i="56"/>
  <c r="I196" i="56"/>
  <c r="Q196" i="56" s="1"/>
  <c r="I166" i="56"/>
  <c r="Q166" i="56" s="1"/>
  <c r="H165" i="56"/>
  <c r="Q70" i="56"/>
  <c r="H36" i="56"/>
  <c r="Q228" i="56"/>
  <c r="Q168" i="56"/>
  <c r="I37" i="56"/>
  <c r="Q37" i="56" s="1"/>
  <c r="H225" i="46"/>
  <c r="Q228" i="46"/>
  <c r="H195" i="46"/>
  <c r="I226" i="46"/>
  <c r="Q226" i="46" s="1"/>
  <c r="I166" i="46"/>
  <c r="Q166" i="46" s="1"/>
  <c r="Q168" i="46"/>
  <c r="H165" i="46"/>
  <c r="H134" i="46"/>
  <c r="I135" i="46"/>
  <c r="I68" i="46"/>
  <c r="I37" i="46"/>
  <c r="Q37" i="46" s="1"/>
  <c r="H67" i="46"/>
  <c r="I196" i="46"/>
  <c r="Q196" i="46" s="1"/>
  <c r="H36" i="46"/>
  <c r="P36" i="46" s="1"/>
  <c r="F145" i="56"/>
  <c r="G146" i="56"/>
  <c r="E144" i="56"/>
  <c r="E205" i="56"/>
  <c r="M205" i="56" s="1"/>
  <c r="I148" i="56"/>
  <c r="H147" i="56"/>
  <c r="H238" i="56"/>
  <c r="P238" i="56" s="1"/>
  <c r="G237" i="56"/>
  <c r="O237" i="56" s="1"/>
  <c r="F236" i="56"/>
  <c r="N236" i="56" s="1"/>
  <c r="E235" i="56"/>
  <c r="M235" i="56" s="1"/>
  <c r="I209" i="56"/>
  <c r="Q209" i="56" s="1"/>
  <c r="H208" i="56"/>
  <c r="P208" i="56" s="1"/>
  <c r="I179" i="56"/>
  <c r="Q179" i="56" s="1"/>
  <c r="H178" i="56"/>
  <c r="P178" i="56" s="1"/>
  <c r="G177" i="56"/>
  <c r="O177" i="56" s="1"/>
  <c r="F176" i="56"/>
  <c r="N176" i="56" s="1"/>
  <c r="E175" i="56"/>
  <c r="M175" i="56" s="1"/>
  <c r="I50" i="56"/>
  <c r="Q50" i="56" s="1"/>
  <c r="H49" i="56"/>
  <c r="P49" i="56" s="1"/>
  <c r="G48" i="56"/>
  <c r="O48" i="56" s="1"/>
  <c r="F47" i="56"/>
  <c r="N47" i="56" s="1"/>
  <c r="E46" i="56"/>
  <c r="M46" i="56" s="1"/>
  <c r="H208" i="46"/>
  <c r="P208" i="46" s="1"/>
  <c r="E235" i="46"/>
  <c r="M235" i="46" s="1"/>
  <c r="I239" i="46"/>
  <c r="Q239" i="46" s="1"/>
  <c r="F206" i="56"/>
  <c r="N206" i="56" s="1"/>
  <c r="E28" i="56"/>
  <c r="M28" i="56" s="1"/>
  <c r="I209" i="46"/>
  <c r="Q209" i="46" s="1"/>
  <c r="G207" i="46"/>
  <c r="O207" i="46" s="1"/>
  <c r="I81" i="56"/>
  <c r="Q81" i="56" s="1"/>
  <c r="H80" i="56"/>
  <c r="P80" i="56" s="1"/>
  <c r="G79" i="56"/>
  <c r="O79" i="56" s="1"/>
  <c r="F78" i="56"/>
  <c r="N78" i="56" s="1"/>
  <c r="E77" i="56"/>
  <c r="M77" i="56" s="1"/>
  <c r="F206" i="46"/>
  <c r="N206" i="46" s="1"/>
  <c r="E205" i="46"/>
  <c r="M205" i="46" s="1"/>
  <c r="I239" i="56"/>
  <c r="Q239" i="56" s="1"/>
  <c r="G207" i="56"/>
  <c r="O207" i="56" s="1"/>
  <c r="F236" i="46"/>
  <c r="N236" i="46" s="1"/>
  <c r="I179" i="46"/>
  <c r="Q179" i="46" s="1"/>
  <c r="H238" i="46"/>
  <c r="P238" i="46" s="1"/>
  <c r="E256" i="56"/>
  <c r="G237" i="46"/>
  <c r="O237" i="46" s="1"/>
  <c r="F176" i="46"/>
  <c r="N176" i="46" s="1"/>
  <c r="G177" i="46"/>
  <c r="O177" i="46" s="1"/>
  <c r="E175" i="46"/>
  <c r="M175" i="46" s="1"/>
  <c r="G146" i="46"/>
  <c r="O146" i="46" s="1"/>
  <c r="F145" i="46"/>
  <c r="N145" i="46" s="1"/>
  <c r="H147" i="46"/>
  <c r="P147" i="46" s="1"/>
  <c r="I148" i="46"/>
  <c r="Q148" i="46" s="1"/>
  <c r="H178" i="46"/>
  <c r="P178" i="46" s="1"/>
  <c r="E144" i="46"/>
  <c r="M144" i="46" s="1"/>
  <c r="E46" i="46"/>
  <c r="M46" i="46" s="1"/>
  <c r="F78" i="46"/>
  <c r="N78" i="46" s="1"/>
  <c r="I81" i="46"/>
  <c r="Q81" i="46" s="1"/>
  <c r="G48" i="46"/>
  <c r="O48" i="46" s="1"/>
  <c r="E77" i="46"/>
  <c r="M77" i="46" s="1"/>
  <c r="G79" i="46"/>
  <c r="O79" i="46" s="1"/>
  <c r="F47" i="46"/>
  <c r="N47" i="46" s="1"/>
  <c r="I50" i="46"/>
  <c r="Q50" i="46" s="1"/>
  <c r="H49" i="46"/>
  <c r="P49" i="46" s="1"/>
  <c r="H80" i="46"/>
  <c r="P80" i="46" s="1"/>
  <c r="E28" i="46"/>
  <c r="E195" i="56"/>
  <c r="I138" i="56"/>
  <c r="F135" i="56"/>
  <c r="E134" i="56"/>
  <c r="G136" i="56"/>
  <c r="H137" i="56"/>
  <c r="E36" i="56"/>
  <c r="G227" i="46"/>
  <c r="O227" i="46" s="1"/>
  <c r="G197" i="46"/>
  <c r="O197" i="46" s="1"/>
  <c r="I199" i="56"/>
  <c r="Q199" i="56" s="1"/>
  <c r="I40" i="56"/>
  <c r="Q40" i="56" s="1"/>
  <c r="H39" i="56"/>
  <c r="P39" i="56" s="1"/>
  <c r="G38" i="56"/>
  <c r="O38" i="56" s="1"/>
  <c r="F37" i="56"/>
  <c r="N37" i="56" s="1"/>
  <c r="I199" i="46"/>
  <c r="Q199" i="46" s="1"/>
  <c r="H198" i="46"/>
  <c r="P198" i="46" s="1"/>
  <c r="I229" i="56"/>
  <c r="Q229" i="56" s="1"/>
  <c r="F226" i="56"/>
  <c r="N226" i="56" s="1"/>
  <c r="I169" i="56"/>
  <c r="Q169" i="56" s="1"/>
  <c r="H198" i="56"/>
  <c r="P198" i="56" s="1"/>
  <c r="F196" i="46"/>
  <c r="N196" i="46" s="1"/>
  <c r="G227" i="56"/>
  <c r="O227" i="56" s="1"/>
  <c r="E225" i="56"/>
  <c r="F196" i="56"/>
  <c r="N196" i="56" s="1"/>
  <c r="G197" i="56"/>
  <c r="O197" i="56" s="1"/>
  <c r="I71" i="56"/>
  <c r="Q71" i="56" s="1"/>
  <c r="H70" i="56"/>
  <c r="P70" i="56" s="1"/>
  <c r="G69" i="56"/>
  <c r="O69" i="56" s="1"/>
  <c r="F68" i="56"/>
  <c r="N68" i="56" s="1"/>
  <c r="E67" i="56"/>
  <c r="H228" i="56"/>
  <c r="P228" i="56" s="1"/>
  <c r="H168" i="56"/>
  <c r="P168" i="56" s="1"/>
  <c r="G167" i="56"/>
  <c r="O167" i="56" s="1"/>
  <c r="F166" i="56"/>
  <c r="N166" i="56" s="1"/>
  <c r="E165" i="56"/>
  <c r="E225" i="46"/>
  <c r="H228" i="46"/>
  <c r="P228" i="46" s="1"/>
  <c r="E195" i="46"/>
  <c r="F226" i="46"/>
  <c r="N226" i="46" s="1"/>
  <c r="I229" i="46"/>
  <c r="Q229" i="46" s="1"/>
  <c r="G167" i="46"/>
  <c r="O167" i="46" s="1"/>
  <c r="H168" i="46"/>
  <c r="P168" i="46" s="1"/>
  <c r="I169" i="46"/>
  <c r="Q169" i="46" s="1"/>
  <c r="F166" i="46"/>
  <c r="N166" i="46" s="1"/>
  <c r="E165" i="46"/>
  <c r="E134" i="46"/>
  <c r="H137" i="46"/>
  <c r="F135" i="46"/>
  <c r="G136" i="46"/>
  <c r="I138" i="46"/>
  <c r="Q138" i="46" s="1"/>
  <c r="E67" i="46"/>
  <c r="G69" i="46"/>
  <c r="I71" i="46"/>
  <c r="Q71" i="46" s="1"/>
  <c r="H39" i="46"/>
  <c r="P39" i="46" s="1"/>
  <c r="G38" i="46"/>
  <c r="O38" i="46" s="1"/>
  <c r="E36" i="46"/>
  <c r="M36" i="46" s="1"/>
  <c r="F37" i="46"/>
  <c r="N37" i="46" s="1"/>
  <c r="F68" i="46"/>
  <c r="H70" i="46"/>
  <c r="I40" i="46"/>
  <c r="Q40" i="46" s="1"/>
  <c r="G144" i="56"/>
  <c r="I146" i="56"/>
  <c r="H145" i="56"/>
  <c r="Q49" i="56"/>
  <c r="I48" i="56"/>
  <c r="Q48" i="56" s="1"/>
  <c r="H47" i="56"/>
  <c r="P47" i="56" s="1"/>
  <c r="G46" i="56"/>
  <c r="O46" i="56" s="1"/>
  <c r="G28" i="56"/>
  <c r="O28" i="56" s="1"/>
  <c r="H236" i="46"/>
  <c r="P236" i="46" s="1"/>
  <c r="G205" i="56"/>
  <c r="O205" i="56" s="1"/>
  <c r="I79" i="56"/>
  <c r="Q79" i="56" s="1"/>
  <c r="H78" i="56"/>
  <c r="P78" i="56" s="1"/>
  <c r="G77" i="56"/>
  <c r="O77" i="56" s="1"/>
  <c r="Q208" i="56"/>
  <c r="I177" i="56"/>
  <c r="Q177" i="56" s="1"/>
  <c r="H206" i="56"/>
  <c r="P206" i="56" s="1"/>
  <c r="G205" i="46"/>
  <c r="O205" i="46" s="1"/>
  <c r="G175" i="56"/>
  <c r="O175" i="56" s="1"/>
  <c r="I207" i="56"/>
  <c r="Q207" i="56" s="1"/>
  <c r="H206" i="46"/>
  <c r="P206" i="46" s="1"/>
  <c r="G235" i="46"/>
  <c r="O235" i="46" s="1"/>
  <c r="I237" i="56"/>
  <c r="Q237" i="56" s="1"/>
  <c r="H236" i="56"/>
  <c r="P236" i="56" s="1"/>
  <c r="G235" i="56"/>
  <c r="O235" i="56" s="1"/>
  <c r="H176" i="56"/>
  <c r="P176" i="56" s="1"/>
  <c r="G256" i="56"/>
  <c r="I237" i="46"/>
  <c r="Q237" i="46" s="1"/>
  <c r="I146" i="46"/>
  <c r="Q146" i="46" s="1"/>
  <c r="G144" i="46"/>
  <c r="O144" i="46" s="1"/>
  <c r="H176" i="46"/>
  <c r="P176" i="46" s="1"/>
  <c r="G175" i="46"/>
  <c r="O175" i="46" s="1"/>
  <c r="H145" i="46"/>
  <c r="P145" i="46" s="1"/>
  <c r="I177" i="46"/>
  <c r="Q177" i="46" s="1"/>
  <c r="Q208" i="46"/>
  <c r="H78" i="46"/>
  <c r="P78" i="46" s="1"/>
  <c r="H47" i="46"/>
  <c r="P47" i="46" s="1"/>
  <c r="G46" i="46"/>
  <c r="O46" i="46" s="1"/>
  <c r="I79" i="46"/>
  <c r="Q79" i="46" s="1"/>
  <c r="I207" i="46"/>
  <c r="Q207" i="46" s="1"/>
  <c r="Q49" i="46"/>
  <c r="I48" i="46"/>
  <c r="Q48" i="46" s="1"/>
  <c r="G77" i="46"/>
  <c r="O77" i="46" s="1"/>
  <c r="G28" i="46"/>
  <c r="O28" i="46" s="1"/>
  <c r="F24" i="42"/>
  <c r="E23" i="42"/>
  <c r="D6" i="47"/>
  <c r="D7" i="47" s="1"/>
  <c r="M83" i="50"/>
  <c r="G6" i="47"/>
  <c r="G7" i="47" s="1"/>
  <c r="P83" i="50"/>
  <c r="H14" i="42" s="1"/>
  <c r="E256" i="46"/>
  <c r="E265" i="46" s="1"/>
  <c r="M265" i="46" s="1"/>
  <c r="D255" i="46"/>
  <c r="D264" i="46" s="1"/>
  <c r="L264" i="46" s="1"/>
  <c r="H256" i="46"/>
  <c r="H265" i="46" s="1"/>
  <c r="P265" i="46" s="1"/>
  <c r="G256" i="46"/>
  <c r="G265" i="46" s="1"/>
  <c r="O265" i="46" s="1"/>
  <c r="D257" i="46"/>
  <c r="F256" i="46"/>
  <c r="F265" i="46" s="1"/>
  <c r="N265" i="46" s="1"/>
  <c r="D258" i="46"/>
  <c r="D267" i="46" s="1"/>
  <c r="L267" i="46" s="1"/>
  <c r="I256" i="46"/>
  <c r="I265" i="46" s="1"/>
  <c r="Q265" i="46" s="1"/>
  <c r="N28" i="46"/>
  <c r="M28" i="46"/>
  <c r="D283" i="46"/>
  <c r="D290" i="46"/>
  <c r="D282" i="46"/>
  <c r="D279" i="46"/>
  <c r="D287" i="46"/>
  <c r="D289" i="46"/>
  <c r="D275" i="46"/>
  <c r="D288" i="46"/>
  <c r="D286" i="46"/>
  <c r="D291" i="46"/>
  <c r="D274" i="46"/>
  <c r="D284" i="46"/>
  <c r="D280" i="46"/>
  <c r="D278" i="46"/>
  <c r="D276" i="46"/>
  <c r="D285" i="46"/>
  <c r="D293" i="46"/>
  <c r="D292" i="46"/>
  <c r="D281" i="46"/>
  <c r="D294" i="46"/>
  <c r="D277" i="46"/>
  <c r="I24" i="42"/>
  <c r="C15" i="47"/>
  <c r="E43" i="42"/>
  <c r="F44" i="42"/>
  <c r="F43" i="42"/>
  <c r="G45" i="42"/>
  <c r="E42" i="42"/>
  <c r="F45" i="42"/>
  <c r="H45" i="42"/>
  <c r="D43" i="42"/>
  <c r="D41" i="42"/>
  <c r="E45" i="42"/>
  <c r="E44" i="42"/>
  <c r="D45" i="42"/>
  <c r="D42" i="42"/>
  <c r="G44" i="42"/>
  <c r="D44" i="42"/>
  <c r="H24" i="42"/>
  <c r="I25" i="42"/>
  <c r="F14" i="47"/>
  <c r="G28" i="42"/>
  <c r="H29" i="42"/>
  <c r="I30" i="42"/>
  <c r="H14" i="47"/>
  <c r="I28" i="42"/>
  <c r="E14" i="47"/>
  <c r="H30" i="42"/>
  <c r="I31" i="42"/>
  <c r="G29" i="42"/>
  <c r="F28" i="42"/>
  <c r="I26" i="42"/>
  <c r="G24" i="42"/>
  <c r="H25" i="42"/>
  <c r="D14" i="47"/>
  <c r="G30" i="42"/>
  <c r="I32" i="42"/>
  <c r="F29" i="42"/>
  <c r="H31" i="42"/>
  <c r="E28" i="42"/>
  <c r="G39" i="42"/>
  <c r="F38" i="42"/>
  <c r="D37" i="42"/>
  <c r="G40" i="42"/>
  <c r="D36" i="42"/>
  <c r="E39" i="42"/>
  <c r="D38" i="42"/>
  <c r="D40" i="42"/>
  <c r="D39" i="42"/>
  <c r="E40" i="42"/>
  <c r="H40" i="42"/>
  <c r="E38" i="42"/>
  <c r="F40" i="42"/>
  <c r="F39" i="42"/>
  <c r="E37" i="42"/>
  <c r="C10" i="47"/>
  <c r="C13" i="47" s="1"/>
  <c r="D27" i="46"/>
  <c r="L36" i="46"/>
  <c r="C16" i="47"/>
  <c r="E49" i="42"/>
  <c r="D48" i="42"/>
  <c r="D50" i="42"/>
  <c r="D47" i="42"/>
  <c r="G50" i="42"/>
  <c r="F48" i="42"/>
  <c r="E47" i="42"/>
  <c r="G49" i="42"/>
  <c r="F49" i="42"/>
  <c r="D46" i="42"/>
  <c r="E50" i="42"/>
  <c r="H50" i="42"/>
  <c r="F50" i="42"/>
  <c r="E48" i="42"/>
  <c r="D49" i="42"/>
  <c r="L30" i="46"/>
  <c r="I27" i="42"/>
  <c r="G25" i="42"/>
  <c r="H26" i="42"/>
  <c r="G14" i="47"/>
  <c r="H28" i="42"/>
  <c r="I29" i="42"/>
  <c r="N80" i="50"/>
  <c r="I23" i="42"/>
  <c r="L86" i="50"/>
  <c r="Q80" i="50"/>
  <c r="P80" i="50"/>
  <c r="P85" i="50"/>
  <c r="H17" i="42" s="1"/>
  <c r="P84" i="50"/>
  <c r="H16" i="42" s="1"/>
  <c r="Q85" i="50"/>
  <c r="I17" i="42" s="1"/>
  <c r="Q83" i="50"/>
  <c r="I14" i="42" s="1"/>
  <c r="Q84" i="50"/>
  <c r="I16" i="42" s="1"/>
  <c r="E14" i="42"/>
  <c r="E255" i="56" s="1"/>
  <c r="M84" i="50"/>
  <c r="E16" i="42" s="1"/>
  <c r="M85" i="50"/>
  <c r="E17" i="42" s="1"/>
  <c r="N84" i="50"/>
  <c r="F16" i="42" s="1"/>
  <c r="N85" i="50"/>
  <c r="F17" i="42" s="1"/>
  <c r="N83" i="50"/>
  <c r="F14" i="42" s="1"/>
  <c r="F27" i="56" s="1"/>
  <c r="O84" i="50"/>
  <c r="G16" i="42" s="1"/>
  <c r="O85" i="50"/>
  <c r="G17" i="42" s="1"/>
  <c r="O83" i="50"/>
  <c r="G14" i="42" s="1"/>
  <c r="G255" i="56" s="1"/>
  <c r="O80" i="50"/>
  <c r="M80" i="50"/>
  <c r="D18" i="42"/>
  <c r="L140" i="46" l="1"/>
  <c r="Q135" i="46"/>
  <c r="O135" i="46"/>
  <c r="N141" i="46"/>
  <c r="O136" i="46"/>
  <c r="Q136" i="46"/>
  <c r="M140" i="46"/>
  <c r="N135" i="46"/>
  <c r="P135" i="46"/>
  <c r="M141" i="46"/>
  <c r="P137" i="46"/>
  <c r="L141" i="46"/>
  <c r="Q137" i="46"/>
  <c r="P136" i="46"/>
  <c r="O69" i="46"/>
  <c r="P70" i="46"/>
  <c r="M74" i="46"/>
  <c r="N68" i="46"/>
  <c r="O68" i="46"/>
  <c r="L73" i="46"/>
  <c r="N74" i="46"/>
  <c r="Q70" i="46"/>
  <c r="P68" i="46"/>
  <c r="Q68" i="46"/>
  <c r="Q69" i="46"/>
  <c r="P69" i="46"/>
  <c r="M73" i="46"/>
  <c r="L74" i="46"/>
  <c r="F27" i="46"/>
  <c r="I140" i="56"/>
  <c r="H139" i="56"/>
  <c r="Q75" i="56"/>
  <c r="Q233" i="56"/>
  <c r="I201" i="56"/>
  <c r="Q201" i="56" s="1"/>
  <c r="I231" i="56"/>
  <c r="Q231" i="56" s="1"/>
  <c r="H230" i="56"/>
  <c r="P230" i="56" s="1"/>
  <c r="H200" i="56"/>
  <c r="P200" i="56" s="1"/>
  <c r="I171" i="56"/>
  <c r="Q171" i="56" s="1"/>
  <c r="H170" i="56"/>
  <c r="P170" i="56" s="1"/>
  <c r="H200" i="46"/>
  <c r="P200" i="46" s="1"/>
  <c r="Q173" i="56"/>
  <c r="I73" i="56"/>
  <c r="Q73" i="56" s="1"/>
  <c r="H72" i="56"/>
  <c r="P72" i="56" s="1"/>
  <c r="I42" i="56"/>
  <c r="Q42" i="56" s="1"/>
  <c r="H41" i="56"/>
  <c r="P41" i="56" s="1"/>
  <c r="Q233" i="46"/>
  <c r="I231" i="46"/>
  <c r="Q231" i="46" s="1"/>
  <c r="H230" i="46"/>
  <c r="P230" i="46" s="1"/>
  <c r="I140" i="46"/>
  <c r="Q140" i="46" s="1"/>
  <c r="H170" i="46"/>
  <c r="P170" i="46" s="1"/>
  <c r="Q173" i="46"/>
  <c r="I171" i="46"/>
  <c r="Q171" i="46" s="1"/>
  <c r="Q142" i="46"/>
  <c r="H139" i="46"/>
  <c r="P139" i="46" s="1"/>
  <c r="H41" i="46"/>
  <c r="P41" i="46" s="1"/>
  <c r="I42" i="46"/>
  <c r="Q42" i="46" s="1"/>
  <c r="H72" i="46"/>
  <c r="P72" i="46" s="1"/>
  <c r="I73" i="46"/>
  <c r="Q73" i="46" s="1"/>
  <c r="I201" i="46"/>
  <c r="Q201" i="46" s="1"/>
  <c r="Q75" i="46"/>
  <c r="H255" i="56"/>
  <c r="H27" i="56"/>
  <c r="P27" i="56" s="1"/>
  <c r="H27" i="46"/>
  <c r="G139" i="56"/>
  <c r="H140" i="56"/>
  <c r="I141" i="56"/>
  <c r="G200" i="46"/>
  <c r="O200" i="46" s="1"/>
  <c r="H231" i="56"/>
  <c r="P231" i="56" s="1"/>
  <c r="G230" i="56"/>
  <c r="O230" i="56" s="1"/>
  <c r="G200" i="56"/>
  <c r="O200" i="56" s="1"/>
  <c r="I232" i="56"/>
  <c r="Q232" i="56" s="1"/>
  <c r="I202" i="56"/>
  <c r="Q202" i="56" s="1"/>
  <c r="I172" i="56"/>
  <c r="Q172" i="56" s="1"/>
  <c r="H171" i="56"/>
  <c r="P171" i="56" s="1"/>
  <c r="G170" i="56"/>
  <c r="O170" i="56" s="1"/>
  <c r="H201" i="56"/>
  <c r="P201" i="56" s="1"/>
  <c r="I43" i="56"/>
  <c r="Q43" i="56" s="1"/>
  <c r="H201" i="46"/>
  <c r="P201" i="46" s="1"/>
  <c r="I74" i="56"/>
  <c r="Q74" i="56" s="1"/>
  <c r="H73" i="56"/>
  <c r="P73" i="56" s="1"/>
  <c r="G72" i="56"/>
  <c r="O72" i="56" s="1"/>
  <c r="H42" i="56"/>
  <c r="P42" i="56" s="1"/>
  <c r="G41" i="56"/>
  <c r="O41" i="56" s="1"/>
  <c r="H231" i="46"/>
  <c r="P231" i="46" s="1"/>
  <c r="I232" i="46"/>
  <c r="Q232" i="46" s="1"/>
  <c r="G230" i="46"/>
  <c r="O230" i="46" s="1"/>
  <c r="H171" i="46"/>
  <c r="P171" i="46" s="1"/>
  <c r="G139" i="46"/>
  <c r="H140" i="46"/>
  <c r="P140" i="46" s="1"/>
  <c r="I172" i="46"/>
  <c r="Q172" i="46" s="1"/>
  <c r="I141" i="46"/>
  <c r="Q141" i="46" s="1"/>
  <c r="G170" i="46"/>
  <c r="O170" i="46" s="1"/>
  <c r="I202" i="46"/>
  <c r="Q202" i="46" s="1"/>
  <c r="I43" i="46"/>
  <c r="Q43" i="46" s="1"/>
  <c r="G41" i="46"/>
  <c r="O41" i="46" s="1"/>
  <c r="I74" i="46"/>
  <c r="Q74" i="46" s="1"/>
  <c r="G72" i="46"/>
  <c r="H73" i="46"/>
  <c r="P73" i="46" s="1"/>
  <c r="H42" i="46"/>
  <c r="P42" i="46" s="1"/>
  <c r="H155" i="56"/>
  <c r="I156" i="56"/>
  <c r="G154" i="56"/>
  <c r="I58" i="56"/>
  <c r="Q58" i="56" s="1"/>
  <c r="I217" i="46"/>
  <c r="Q217" i="46" s="1"/>
  <c r="G215" i="56"/>
  <c r="O215" i="56" s="1"/>
  <c r="Q59" i="56"/>
  <c r="H57" i="56"/>
  <c r="P57" i="56" s="1"/>
  <c r="G56" i="56"/>
  <c r="O56" i="56" s="1"/>
  <c r="G30" i="56"/>
  <c r="O30" i="56" s="1"/>
  <c r="I217" i="56"/>
  <c r="Q217" i="56" s="1"/>
  <c r="I247" i="56"/>
  <c r="Q247" i="56" s="1"/>
  <c r="H246" i="56"/>
  <c r="P246" i="56" s="1"/>
  <c r="G245" i="56"/>
  <c r="O245" i="56" s="1"/>
  <c r="I89" i="56"/>
  <c r="Q89" i="56" s="1"/>
  <c r="I187" i="56"/>
  <c r="Q187" i="56" s="1"/>
  <c r="H186" i="56"/>
  <c r="P186" i="56" s="1"/>
  <c r="H88" i="56"/>
  <c r="P88" i="56" s="1"/>
  <c r="G87" i="56"/>
  <c r="O87" i="56" s="1"/>
  <c r="H246" i="46"/>
  <c r="P246" i="46" s="1"/>
  <c r="Q218" i="56"/>
  <c r="G185" i="56"/>
  <c r="O185" i="56" s="1"/>
  <c r="H216" i="46"/>
  <c r="P216" i="46" s="1"/>
  <c r="Q218" i="46"/>
  <c r="H216" i="56"/>
  <c r="P216" i="56" s="1"/>
  <c r="G245" i="46"/>
  <c r="O245" i="46" s="1"/>
  <c r="G258" i="56"/>
  <c r="I247" i="46"/>
  <c r="Q247" i="46" s="1"/>
  <c r="G215" i="46"/>
  <c r="O215" i="46" s="1"/>
  <c r="I156" i="46"/>
  <c r="Q156" i="46" s="1"/>
  <c r="H186" i="46"/>
  <c r="P186" i="46" s="1"/>
  <c r="H155" i="46"/>
  <c r="P155" i="46" s="1"/>
  <c r="I187" i="46"/>
  <c r="Q187" i="46" s="1"/>
  <c r="G154" i="46"/>
  <c r="O154" i="46" s="1"/>
  <c r="G185" i="46"/>
  <c r="O185" i="46" s="1"/>
  <c r="G87" i="46"/>
  <c r="O87" i="46" s="1"/>
  <c r="I58" i="46"/>
  <c r="Q58" i="46" s="1"/>
  <c r="H88" i="46"/>
  <c r="P88" i="46" s="1"/>
  <c r="Q59" i="46"/>
  <c r="H57" i="46"/>
  <c r="P57" i="46" s="1"/>
  <c r="G56" i="46"/>
  <c r="O56" i="46" s="1"/>
  <c r="I89" i="46"/>
  <c r="Q89" i="46" s="1"/>
  <c r="G30" i="46"/>
  <c r="O30" i="46" s="1"/>
  <c r="I149" i="56"/>
  <c r="I210" i="56"/>
  <c r="Q210" i="56" s="1"/>
  <c r="I240" i="56"/>
  <c r="Q240" i="56" s="1"/>
  <c r="I180" i="56"/>
  <c r="Q180" i="56" s="1"/>
  <c r="I82" i="56"/>
  <c r="Q82" i="56" s="1"/>
  <c r="I51" i="56"/>
  <c r="Q51" i="56" s="1"/>
  <c r="I210" i="46"/>
  <c r="Q210" i="46" s="1"/>
  <c r="I240" i="46"/>
  <c r="Q240" i="46" s="1"/>
  <c r="I29" i="56"/>
  <c r="Q29" i="56" s="1"/>
  <c r="I257" i="56"/>
  <c r="I149" i="46"/>
  <c r="Q149" i="46" s="1"/>
  <c r="I180" i="46"/>
  <c r="Q180" i="46" s="1"/>
  <c r="I51" i="46"/>
  <c r="Q51" i="46" s="1"/>
  <c r="I82" i="46"/>
  <c r="Q82" i="46" s="1"/>
  <c r="I29" i="46"/>
  <c r="Q29" i="46" s="1"/>
  <c r="G27" i="56"/>
  <c r="O27" i="56" s="1"/>
  <c r="D259" i="56"/>
  <c r="D18" i="56" s="1"/>
  <c r="D264" i="56"/>
  <c r="L255" i="56"/>
  <c r="I151" i="56"/>
  <c r="H150" i="56"/>
  <c r="G149" i="56"/>
  <c r="G210" i="56"/>
  <c r="O210" i="56" s="1"/>
  <c r="H211" i="46"/>
  <c r="P211" i="46" s="1"/>
  <c r="I242" i="56"/>
  <c r="Q242" i="56" s="1"/>
  <c r="H241" i="56"/>
  <c r="P241" i="56" s="1"/>
  <c r="G240" i="56"/>
  <c r="O240" i="56" s="1"/>
  <c r="I212" i="56"/>
  <c r="Q212" i="56" s="1"/>
  <c r="I53" i="56"/>
  <c r="Q53" i="56" s="1"/>
  <c r="H52" i="56"/>
  <c r="P52" i="56" s="1"/>
  <c r="I212" i="46"/>
  <c r="Q212" i="46" s="1"/>
  <c r="I84" i="56"/>
  <c r="Q84" i="56" s="1"/>
  <c r="H83" i="56"/>
  <c r="P83" i="56" s="1"/>
  <c r="Q54" i="56"/>
  <c r="Q213" i="46"/>
  <c r="Q213" i="56"/>
  <c r="I182" i="56"/>
  <c r="Q182" i="56" s="1"/>
  <c r="H181" i="56"/>
  <c r="P181" i="56" s="1"/>
  <c r="G180" i="56"/>
  <c r="O180" i="56" s="1"/>
  <c r="G82" i="56"/>
  <c r="O82" i="56" s="1"/>
  <c r="G51" i="56"/>
  <c r="O51" i="56" s="1"/>
  <c r="G210" i="46"/>
  <c r="O210" i="46" s="1"/>
  <c r="H211" i="56"/>
  <c r="P211" i="56" s="1"/>
  <c r="G257" i="56"/>
  <c r="G259" i="56" s="1"/>
  <c r="H241" i="46"/>
  <c r="P241" i="46" s="1"/>
  <c r="I242" i="46"/>
  <c r="Q242" i="46" s="1"/>
  <c r="G29" i="56"/>
  <c r="O29" i="56" s="1"/>
  <c r="G240" i="46"/>
  <c r="O240" i="46" s="1"/>
  <c r="I151" i="46"/>
  <c r="Q151" i="46" s="1"/>
  <c r="G149" i="46"/>
  <c r="O149" i="46" s="1"/>
  <c r="H150" i="46"/>
  <c r="P150" i="46" s="1"/>
  <c r="I182" i="46"/>
  <c r="Q182" i="46" s="1"/>
  <c r="G180" i="46"/>
  <c r="O180" i="46" s="1"/>
  <c r="H181" i="46"/>
  <c r="P181" i="46" s="1"/>
  <c r="I53" i="46"/>
  <c r="Q53" i="46" s="1"/>
  <c r="Q54" i="46"/>
  <c r="H83" i="46"/>
  <c r="P83" i="46" s="1"/>
  <c r="G51" i="46"/>
  <c r="O51" i="46" s="1"/>
  <c r="H52" i="46"/>
  <c r="P52" i="46" s="1"/>
  <c r="G82" i="46"/>
  <c r="O82" i="46" s="1"/>
  <c r="I84" i="46"/>
  <c r="Q84" i="46" s="1"/>
  <c r="G29" i="46"/>
  <c r="O29" i="46" s="1"/>
  <c r="I36" i="42"/>
  <c r="I139" i="56"/>
  <c r="I230" i="56"/>
  <c r="Q230" i="56" s="1"/>
  <c r="I200" i="56"/>
  <c r="Q200" i="56" s="1"/>
  <c r="I170" i="56"/>
  <c r="Q170" i="56" s="1"/>
  <c r="I72" i="56"/>
  <c r="Q72" i="56" s="1"/>
  <c r="I41" i="56"/>
  <c r="Q41" i="56" s="1"/>
  <c r="I200" i="46"/>
  <c r="Q200" i="46" s="1"/>
  <c r="I230" i="46"/>
  <c r="Q230" i="46" s="1"/>
  <c r="I139" i="46"/>
  <c r="Q139" i="46" s="1"/>
  <c r="I170" i="46"/>
  <c r="Q170" i="46" s="1"/>
  <c r="I41" i="46"/>
  <c r="Q41" i="46" s="1"/>
  <c r="I72" i="46"/>
  <c r="Q72" i="46" s="1"/>
  <c r="F255" i="56"/>
  <c r="N255" i="56" s="1"/>
  <c r="L27" i="56"/>
  <c r="L31" i="56" s="1"/>
  <c r="L10" i="56" s="1"/>
  <c r="D31" i="56"/>
  <c r="D10" i="56" s="1"/>
  <c r="L170" i="46"/>
  <c r="L190" i="46" s="1"/>
  <c r="L15" i="46" s="1"/>
  <c r="D190" i="46"/>
  <c r="D15" i="46" s="1"/>
  <c r="L200" i="46"/>
  <c r="L220" i="46" s="1"/>
  <c r="L16" i="46" s="1"/>
  <c r="D220" i="46"/>
  <c r="D16" i="46" s="1"/>
  <c r="E149" i="56"/>
  <c r="I153" i="56"/>
  <c r="E210" i="56"/>
  <c r="M210" i="56" s="1"/>
  <c r="F150" i="56"/>
  <c r="G151" i="56"/>
  <c r="H152" i="56"/>
  <c r="E257" i="56"/>
  <c r="I184" i="56"/>
  <c r="Q184" i="56" s="1"/>
  <c r="H183" i="56"/>
  <c r="P183" i="56" s="1"/>
  <c r="G182" i="56"/>
  <c r="O182" i="56" s="1"/>
  <c r="F181" i="56"/>
  <c r="N181" i="56" s="1"/>
  <c r="E180" i="56"/>
  <c r="M180" i="56" s="1"/>
  <c r="E82" i="56"/>
  <c r="M82" i="56" s="1"/>
  <c r="E51" i="56"/>
  <c r="M51" i="56" s="1"/>
  <c r="I214" i="46"/>
  <c r="Q214" i="46" s="1"/>
  <c r="H213" i="46"/>
  <c r="P213" i="46" s="1"/>
  <c r="E210" i="46"/>
  <c r="M210" i="46" s="1"/>
  <c r="F211" i="56"/>
  <c r="N211" i="56" s="1"/>
  <c r="G212" i="46"/>
  <c r="O212" i="46" s="1"/>
  <c r="I244" i="56"/>
  <c r="Q244" i="56" s="1"/>
  <c r="H243" i="56"/>
  <c r="P243" i="56" s="1"/>
  <c r="G242" i="56"/>
  <c r="O242" i="56" s="1"/>
  <c r="F241" i="56"/>
  <c r="N241" i="56" s="1"/>
  <c r="E240" i="56"/>
  <c r="M240" i="56" s="1"/>
  <c r="G212" i="56"/>
  <c r="O212" i="56" s="1"/>
  <c r="I55" i="56"/>
  <c r="Q55" i="56" s="1"/>
  <c r="H54" i="56"/>
  <c r="P54" i="56" s="1"/>
  <c r="G53" i="56"/>
  <c r="O53" i="56" s="1"/>
  <c r="F52" i="56"/>
  <c r="N52" i="56" s="1"/>
  <c r="F211" i="46"/>
  <c r="N211" i="46" s="1"/>
  <c r="I214" i="56"/>
  <c r="Q214" i="56" s="1"/>
  <c r="H213" i="56"/>
  <c r="P213" i="56" s="1"/>
  <c r="I86" i="56"/>
  <c r="Q86" i="56" s="1"/>
  <c r="H85" i="56"/>
  <c r="P85" i="56" s="1"/>
  <c r="G84" i="56"/>
  <c r="O84" i="56" s="1"/>
  <c r="F83" i="56"/>
  <c r="N83" i="56" s="1"/>
  <c r="E29" i="56"/>
  <c r="M29" i="56" s="1"/>
  <c r="I244" i="46"/>
  <c r="Q244" i="46" s="1"/>
  <c r="H243" i="46"/>
  <c r="P243" i="46" s="1"/>
  <c r="F241" i="46"/>
  <c r="N241" i="46" s="1"/>
  <c r="I184" i="46"/>
  <c r="Q184" i="46" s="1"/>
  <c r="G242" i="46"/>
  <c r="O242" i="46" s="1"/>
  <c r="E240" i="46"/>
  <c r="M240" i="46" s="1"/>
  <c r="H152" i="46"/>
  <c r="P152" i="46" s="1"/>
  <c r="F181" i="46"/>
  <c r="N181" i="46" s="1"/>
  <c r="F150" i="46"/>
  <c r="N150" i="46" s="1"/>
  <c r="E149" i="46"/>
  <c r="M149" i="46" s="1"/>
  <c r="H183" i="46"/>
  <c r="P183" i="46" s="1"/>
  <c r="G151" i="46"/>
  <c r="O151" i="46" s="1"/>
  <c r="I153" i="46"/>
  <c r="Q153" i="46" s="1"/>
  <c r="E180" i="46"/>
  <c r="M180" i="46" s="1"/>
  <c r="G182" i="46"/>
  <c r="O182" i="46" s="1"/>
  <c r="H85" i="46"/>
  <c r="P85" i="46" s="1"/>
  <c r="G84" i="46"/>
  <c r="O84" i="46" s="1"/>
  <c r="I55" i="46"/>
  <c r="Q55" i="46" s="1"/>
  <c r="G53" i="46"/>
  <c r="O53" i="46" s="1"/>
  <c r="H54" i="46"/>
  <c r="P54" i="46" s="1"/>
  <c r="E82" i="46"/>
  <c r="M82" i="46" s="1"/>
  <c r="F52" i="46"/>
  <c r="N52" i="46" s="1"/>
  <c r="F83" i="46"/>
  <c r="N83" i="46" s="1"/>
  <c r="E51" i="46"/>
  <c r="M51" i="46" s="1"/>
  <c r="I86" i="46"/>
  <c r="Q86" i="46" s="1"/>
  <c r="E29" i="46"/>
  <c r="M29" i="46" s="1"/>
  <c r="L139" i="46"/>
  <c r="D159" i="46"/>
  <c r="D14" i="46" s="1"/>
  <c r="E27" i="46"/>
  <c r="M27" i="46" s="1"/>
  <c r="E27" i="56"/>
  <c r="M27" i="56" s="1"/>
  <c r="I255" i="56"/>
  <c r="L72" i="46"/>
  <c r="D92" i="46"/>
  <c r="D12" i="46" s="1"/>
  <c r="L230" i="56"/>
  <c r="L250" i="56" s="1"/>
  <c r="L17" i="56" s="1"/>
  <c r="D250" i="56"/>
  <c r="D17" i="56" s="1"/>
  <c r="L41" i="56"/>
  <c r="L61" i="56" s="1"/>
  <c r="L11" i="56" s="1"/>
  <c r="D61" i="56"/>
  <c r="D11" i="56" s="1"/>
  <c r="F139" i="56"/>
  <c r="I142" i="56"/>
  <c r="G140" i="56"/>
  <c r="H141" i="56"/>
  <c r="I203" i="56"/>
  <c r="Q203" i="56" s="1"/>
  <c r="H74" i="56"/>
  <c r="P74" i="56" s="1"/>
  <c r="G73" i="56"/>
  <c r="O73" i="56" s="1"/>
  <c r="F72" i="56"/>
  <c r="N72" i="56" s="1"/>
  <c r="G42" i="56"/>
  <c r="O42" i="56" s="1"/>
  <c r="F41" i="56"/>
  <c r="N41" i="56" s="1"/>
  <c r="G201" i="46"/>
  <c r="O201" i="46" s="1"/>
  <c r="I44" i="46"/>
  <c r="Q44" i="46" s="1"/>
  <c r="I203" i="46"/>
  <c r="Q203" i="46" s="1"/>
  <c r="F200" i="46"/>
  <c r="N200" i="46" s="1"/>
  <c r="H232" i="56"/>
  <c r="P232" i="56" s="1"/>
  <c r="H202" i="46"/>
  <c r="P202" i="46" s="1"/>
  <c r="G231" i="56"/>
  <c r="O231" i="56" s="1"/>
  <c r="F230" i="56"/>
  <c r="N230" i="56" s="1"/>
  <c r="H202" i="56"/>
  <c r="P202" i="56" s="1"/>
  <c r="F200" i="56"/>
  <c r="N200" i="56" s="1"/>
  <c r="H172" i="56"/>
  <c r="P172" i="56" s="1"/>
  <c r="G171" i="56"/>
  <c r="O171" i="56" s="1"/>
  <c r="F170" i="56"/>
  <c r="N170" i="56" s="1"/>
  <c r="G201" i="56"/>
  <c r="O201" i="56" s="1"/>
  <c r="I44" i="56"/>
  <c r="Q44" i="56" s="1"/>
  <c r="H43" i="56"/>
  <c r="P43" i="56" s="1"/>
  <c r="G231" i="46"/>
  <c r="O231" i="46" s="1"/>
  <c r="H232" i="46"/>
  <c r="P232" i="46" s="1"/>
  <c r="F230" i="46"/>
  <c r="N230" i="46" s="1"/>
  <c r="H141" i="46"/>
  <c r="P141" i="46" s="1"/>
  <c r="G171" i="46"/>
  <c r="O171" i="46" s="1"/>
  <c r="G140" i="46"/>
  <c r="O140" i="46" s="1"/>
  <c r="H172" i="46"/>
  <c r="P172" i="46" s="1"/>
  <c r="F170" i="46"/>
  <c r="N170" i="46" s="1"/>
  <c r="F139" i="46"/>
  <c r="G42" i="46"/>
  <c r="O42" i="46" s="1"/>
  <c r="F72" i="46"/>
  <c r="G73" i="46"/>
  <c r="O73" i="46" s="1"/>
  <c r="H74" i="46"/>
  <c r="P74" i="46" s="1"/>
  <c r="H43" i="46"/>
  <c r="P43" i="46" s="1"/>
  <c r="F41" i="46"/>
  <c r="N41" i="46" s="1"/>
  <c r="G155" i="56"/>
  <c r="H156" i="56"/>
  <c r="H58" i="56"/>
  <c r="P58" i="56" s="1"/>
  <c r="G57" i="56"/>
  <c r="O57" i="56" s="1"/>
  <c r="F56" i="56"/>
  <c r="N56" i="56" s="1"/>
  <c r="G216" i="46"/>
  <c r="O216" i="46" s="1"/>
  <c r="G246" i="46"/>
  <c r="O246" i="46" s="1"/>
  <c r="H247" i="56"/>
  <c r="P247" i="56" s="1"/>
  <c r="G246" i="56"/>
  <c r="O246" i="56" s="1"/>
  <c r="F245" i="56"/>
  <c r="N245" i="56" s="1"/>
  <c r="H217" i="56"/>
  <c r="P217" i="56" s="1"/>
  <c r="G216" i="56"/>
  <c r="O216" i="56" s="1"/>
  <c r="F215" i="56"/>
  <c r="N215" i="56" s="1"/>
  <c r="H89" i="56"/>
  <c r="P89" i="56" s="1"/>
  <c r="H187" i="56"/>
  <c r="P187" i="56" s="1"/>
  <c r="G186" i="56"/>
  <c r="O186" i="56" s="1"/>
  <c r="G88" i="56"/>
  <c r="O88" i="56" s="1"/>
  <c r="F87" i="56"/>
  <c r="N87" i="56" s="1"/>
  <c r="H217" i="46"/>
  <c r="P217" i="46" s="1"/>
  <c r="F185" i="56"/>
  <c r="N185" i="56" s="1"/>
  <c r="F215" i="46"/>
  <c r="N215" i="46" s="1"/>
  <c r="H247" i="46"/>
  <c r="P247" i="46" s="1"/>
  <c r="F30" i="56"/>
  <c r="N30" i="56" s="1"/>
  <c r="F245" i="46"/>
  <c r="N245" i="46" s="1"/>
  <c r="F258" i="56"/>
  <c r="G155" i="46"/>
  <c r="O155" i="46" s="1"/>
  <c r="G186" i="46"/>
  <c r="O186" i="46" s="1"/>
  <c r="H187" i="46"/>
  <c r="P187" i="46" s="1"/>
  <c r="H156" i="46"/>
  <c r="P156" i="46" s="1"/>
  <c r="F154" i="46"/>
  <c r="N154" i="46" s="1"/>
  <c r="F185" i="46"/>
  <c r="N185" i="46" s="1"/>
  <c r="H89" i="46"/>
  <c r="P89" i="46" s="1"/>
  <c r="G57" i="46"/>
  <c r="O57" i="46" s="1"/>
  <c r="F56" i="46"/>
  <c r="N56" i="46" s="1"/>
  <c r="F87" i="46"/>
  <c r="N87" i="46" s="1"/>
  <c r="G88" i="46"/>
  <c r="O88" i="46" s="1"/>
  <c r="H58" i="46"/>
  <c r="P58" i="46" s="1"/>
  <c r="F30" i="46"/>
  <c r="N30" i="46" s="1"/>
  <c r="I27" i="46"/>
  <c r="Q27" i="46" s="1"/>
  <c r="I27" i="56"/>
  <c r="Q27" i="56" s="1"/>
  <c r="L72" i="56"/>
  <c r="L92" i="56" s="1"/>
  <c r="L12" i="56" s="1"/>
  <c r="D92" i="56"/>
  <c r="D12" i="56" s="1"/>
  <c r="D266" i="56"/>
  <c r="L257" i="56"/>
  <c r="L230" i="46"/>
  <c r="L250" i="46" s="1"/>
  <c r="L17" i="46" s="1"/>
  <c r="D250" i="46"/>
  <c r="I245" i="56"/>
  <c r="Q245" i="56" s="1"/>
  <c r="I215" i="56"/>
  <c r="Q215" i="56" s="1"/>
  <c r="I87" i="56"/>
  <c r="Q87" i="56" s="1"/>
  <c r="I185" i="56"/>
  <c r="Q185" i="56" s="1"/>
  <c r="I56" i="56"/>
  <c r="Q56" i="56" s="1"/>
  <c r="I215" i="46"/>
  <c r="Q215" i="46" s="1"/>
  <c r="I30" i="56"/>
  <c r="Q30" i="56" s="1"/>
  <c r="I245" i="46"/>
  <c r="Q245" i="46" s="1"/>
  <c r="I258" i="56"/>
  <c r="I185" i="46"/>
  <c r="Q185" i="46" s="1"/>
  <c r="I154" i="46"/>
  <c r="Q154" i="46" s="1"/>
  <c r="I56" i="46"/>
  <c r="Q56" i="46" s="1"/>
  <c r="I87" i="46"/>
  <c r="Q87" i="46" s="1"/>
  <c r="I30" i="46"/>
  <c r="Q30" i="46" s="1"/>
  <c r="I150" i="56"/>
  <c r="H149" i="56"/>
  <c r="I211" i="56"/>
  <c r="Q211" i="56" s="1"/>
  <c r="H210" i="56"/>
  <c r="P210" i="56" s="1"/>
  <c r="H210" i="46"/>
  <c r="P210" i="46" s="1"/>
  <c r="Q243" i="46"/>
  <c r="I241" i="56"/>
  <c r="Q241" i="56" s="1"/>
  <c r="H240" i="56"/>
  <c r="P240" i="56" s="1"/>
  <c r="I52" i="56"/>
  <c r="Q52" i="56" s="1"/>
  <c r="I211" i="46"/>
  <c r="Q211" i="46" s="1"/>
  <c r="Q243" i="56"/>
  <c r="I83" i="56"/>
  <c r="Q83" i="56" s="1"/>
  <c r="I181" i="56"/>
  <c r="Q181" i="56" s="1"/>
  <c r="H180" i="56"/>
  <c r="P180" i="56" s="1"/>
  <c r="H82" i="56"/>
  <c r="P82" i="56" s="1"/>
  <c r="H51" i="56"/>
  <c r="P51" i="56" s="1"/>
  <c r="H257" i="56"/>
  <c r="Q85" i="56"/>
  <c r="Q183" i="56"/>
  <c r="H29" i="56"/>
  <c r="P29" i="56" s="1"/>
  <c r="H240" i="46"/>
  <c r="P240" i="46" s="1"/>
  <c r="I241" i="46"/>
  <c r="Q241" i="46" s="1"/>
  <c r="I181" i="46"/>
  <c r="Q181" i="46" s="1"/>
  <c r="Q152" i="46"/>
  <c r="I150" i="46"/>
  <c r="Q150" i="46" s="1"/>
  <c r="H180" i="46"/>
  <c r="P180" i="46" s="1"/>
  <c r="H149" i="46"/>
  <c r="P149" i="46" s="1"/>
  <c r="Q183" i="46"/>
  <c r="I83" i="46"/>
  <c r="Q83" i="46" s="1"/>
  <c r="H82" i="46"/>
  <c r="P82" i="46" s="1"/>
  <c r="H51" i="46"/>
  <c r="P51" i="46" s="1"/>
  <c r="Q85" i="46"/>
  <c r="I52" i="46"/>
  <c r="Q52" i="46" s="1"/>
  <c r="H29" i="46"/>
  <c r="H151" i="56"/>
  <c r="F149" i="56"/>
  <c r="G150" i="56"/>
  <c r="F210" i="46"/>
  <c r="N210" i="46" s="1"/>
  <c r="H212" i="46"/>
  <c r="P212" i="46" s="1"/>
  <c r="G211" i="56"/>
  <c r="O211" i="56" s="1"/>
  <c r="F210" i="56"/>
  <c r="N210" i="56" s="1"/>
  <c r="G211" i="46"/>
  <c r="O211" i="46" s="1"/>
  <c r="H242" i="56"/>
  <c r="P242" i="56" s="1"/>
  <c r="F240" i="56"/>
  <c r="N240" i="56" s="1"/>
  <c r="H212" i="56"/>
  <c r="P212" i="56" s="1"/>
  <c r="G241" i="56"/>
  <c r="O241" i="56" s="1"/>
  <c r="H53" i="56"/>
  <c r="P53" i="56" s="1"/>
  <c r="G52" i="56"/>
  <c r="O52" i="56" s="1"/>
  <c r="H84" i="56"/>
  <c r="P84" i="56" s="1"/>
  <c r="G83" i="56"/>
  <c r="O83" i="56" s="1"/>
  <c r="F257" i="56"/>
  <c r="H182" i="56"/>
  <c r="P182" i="56" s="1"/>
  <c r="G181" i="56"/>
  <c r="O181" i="56" s="1"/>
  <c r="F180" i="56"/>
  <c r="N180" i="56" s="1"/>
  <c r="F82" i="56"/>
  <c r="N82" i="56" s="1"/>
  <c r="F51" i="56"/>
  <c r="N51" i="56" s="1"/>
  <c r="H242" i="46"/>
  <c r="P242" i="46" s="1"/>
  <c r="F240" i="46"/>
  <c r="N240" i="46" s="1"/>
  <c r="G241" i="46"/>
  <c r="O241" i="46" s="1"/>
  <c r="F29" i="56"/>
  <c r="N29" i="56" s="1"/>
  <c r="H151" i="46"/>
  <c r="P151" i="46" s="1"/>
  <c r="H182" i="46"/>
  <c r="P182" i="46" s="1"/>
  <c r="G181" i="46"/>
  <c r="O181" i="46" s="1"/>
  <c r="F149" i="46"/>
  <c r="N149" i="46" s="1"/>
  <c r="G150" i="46"/>
  <c r="O150" i="46" s="1"/>
  <c r="F180" i="46"/>
  <c r="N180" i="46" s="1"/>
  <c r="H53" i="46"/>
  <c r="P53" i="46" s="1"/>
  <c r="G83" i="46"/>
  <c r="O83" i="46" s="1"/>
  <c r="F51" i="46"/>
  <c r="N51" i="46" s="1"/>
  <c r="H84" i="46"/>
  <c r="P84" i="46" s="1"/>
  <c r="F82" i="46"/>
  <c r="N82" i="46" s="1"/>
  <c r="G52" i="46"/>
  <c r="O52" i="46" s="1"/>
  <c r="F29" i="46"/>
  <c r="N29" i="46" s="1"/>
  <c r="D267" i="56"/>
  <c r="L258" i="56"/>
  <c r="D159" i="56"/>
  <c r="D14" i="56" s="1"/>
  <c r="E200" i="56"/>
  <c r="M200" i="56" s="1"/>
  <c r="I143" i="56"/>
  <c r="G141" i="56"/>
  <c r="H142" i="56"/>
  <c r="E139" i="56"/>
  <c r="F140" i="56"/>
  <c r="F201" i="56"/>
  <c r="N201" i="56" s="1"/>
  <c r="I76" i="56"/>
  <c r="Q76" i="56" s="1"/>
  <c r="I45" i="56"/>
  <c r="Q45" i="56" s="1"/>
  <c r="H44" i="56"/>
  <c r="P44" i="56" s="1"/>
  <c r="G43" i="56"/>
  <c r="O43" i="56" s="1"/>
  <c r="H203" i="56"/>
  <c r="P203" i="56" s="1"/>
  <c r="H75" i="56"/>
  <c r="P75" i="56" s="1"/>
  <c r="G74" i="56"/>
  <c r="O74" i="56" s="1"/>
  <c r="F73" i="56"/>
  <c r="N73" i="56" s="1"/>
  <c r="E72" i="56"/>
  <c r="M72" i="56" s="1"/>
  <c r="F42" i="56"/>
  <c r="N42" i="56" s="1"/>
  <c r="E41" i="56"/>
  <c r="M41" i="56" s="1"/>
  <c r="G202" i="46"/>
  <c r="O202" i="46" s="1"/>
  <c r="F201" i="46"/>
  <c r="N201" i="46" s="1"/>
  <c r="I204" i="56"/>
  <c r="Q204" i="56" s="1"/>
  <c r="H203" i="46"/>
  <c r="P203" i="46" s="1"/>
  <c r="E200" i="46"/>
  <c r="M200" i="46" s="1"/>
  <c r="I234" i="56"/>
  <c r="Q234" i="56" s="1"/>
  <c r="H233" i="56"/>
  <c r="P233" i="56" s="1"/>
  <c r="G232" i="56"/>
  <c r="O232" i="56" s="1"/>
  <c r="F231" i="56"/>
  <c r="N231" i="56" s="1"/>
  <c r="E230" i="56"/>
  <c r="M230" i="56" s="1"/>
  <c r="G202" i="56"/>
  <c r="O202" i="56" s="1"/>
  <c r="I174" i="56"/>
  <c r="Q174" i="56" s="1"/>
  <c r="H173" i="56"/>
  <c r="P173" i="56" s="1"/>
  <c r="G172" i="56"/>
  <c r="O172" i="56" s="1"/>
  <c r="F171" i="56"/>
  <c r="N171" i="56" s="1"/>
  <c r="E170" i="56"/>
  <c r="M170" i="56" s="1"/>
  <c r="I234" i="46"/>
  <c r="Q234" i="46" s="1"/>
  <c r="G232" i="46"/>
  <c r="O232" i="46" s="1"/>
  <c r="E230" i="46"/>
  <c r="M230" i="46" s="1"/>
  <c r="F231" i="46"/>
  <c r="N231" i="46" s="1"/>
  <c r="H233" i="46"/>
  <c r="P233" i="46" s="1"/>
  <c r="E139" i="46"/>
  <c r="I174" i="46"/>
  <c r="Q174" i="46" s="1"/>
  <c r="I143" i="46"/>
  <c r="Q143" i="46" s="1"/>
  <c r="H142" i="46"/>
  <c r="P142" i="46" s="1"/>
  <c r="F171" i="46"/>
  <c r="N171" i="46" s="1"/>
  <c r="G172" i="46"/>
  <c r="O172" i="46" s="1"/>
  <c r="G141" i="46"/>
  <c r="O141" i="46" s="1"/>
  <c r="H173" i="46"/>
  <c r="P173" i="46" s="1"/>
  <c r="E170" i="46"/>
  <c r="M170" i="46" s="1"/>
  <c r="F140" i="46"/>
  <c r="N140" i="46" s="1"/>
  <c r="E72" i="46"/>
  <c r="F42" i="46"/>
  <c r="N42" i="46" s="1"/>
  <c r="I45" i="46"/>
  <c r="Q45" i="46" s="1"/>
  <c r="G43" i="46"/>
  <c r="O43" i="46" s="1"/>
  <c r="E41" i="46"/>
  <c r="M41" i="46" s="1"/>
  <c r="F73" i="46"/>
  <c r="N73" i="46" s="1"/>
  <c r="H44" i="46"/>
  <c r="P44" i="46" s="1"/>
  <c r="G74" i="46"/>
  <c r="O74" i="46" s="1"/>
  <c r="I204" i="46"/>
  <c r="Q204" i="46" s="1"/>
  <c r="I76" i="46"/>
  <c r="Q76" i="46" s="1"/>
  <c r="H75" i="46"/>
  <c r="P75" i="46" s="1"/>
  <c r="L200" i="56"/>
  <c r="L220" i="56" s="1"/>
  <c r="L16" i="56" s="1"/>
  <c r="D220" i="56"/>
  <c r="D16" i="56" s="1"/>
  <c r="I158" i="56"/>
  <c r="H157" i="56"/>
  <c r="G156" i="56"/>
  <c r="F155" i="56"/>
  <c r="I60" i="56"/>
  <c r="Q60" i="56" s="1"/>
  <c r="G217" i="46"/>
  <c r="O217" i="46" s="1"/>
  <c r="F246" i="46"/>
  <c r="N246" i="46" s="1"/>
  <c r="H59" i="56"/>
  <c r="P59" i="56" s="1"/>
  <c r="G58" i="56"/>
  <c r="O58" i="56" s="1"/>
  <c r="F216" i="46"/>
  <c r="N216" i="46" s="1"/>
  <c r="E215" i="46"/>
  <c r="M215" i="46" s="1"/>
  <c r="F57" i="56"/>
  <c r="N57" i="56" s="1"/>
  <c r="E56" i="56"/>
  <c r="M56" i="56" s="1"/>
  <c r="H218" i="46"/>
  <c r="P218" i="46" s="1"/>
  <c r="I249" i="56"/>
  <c r="Q249" i="56" s="1"/>
  <c r="H248" i="56"/>
  <c r="P248" i="56" s="1"/>
  <c r="G247" i="56"/>
  <c r="O247" i="56" s="1"/>
  <c r="F246" i="56"/>
  <c r="N246" i="56" s="1"/>
  <c r="E245" i="56"/>
  <c r="M245" i="56" s="1"/>
  <c r="G217" i="56"/>
  <c r="O217" i="56" s="1"/>
  <c r="F216" i="56"/>
  <c r="N216" i="56" s="1"/>
  <c r="E215" i="56"/>
  <c r="M215" i="56" s="1"/>
  <c r="I91" i="56"/>
  <c r="Q91" i="56" s="1"/>
  <c r="H90" i="56"/>
  <c r="P90" i="56" s="1"/>
  <c r="G89" i="56"/>
  <c r="O89" i="56" s="1"/>
  <c r="H218" i="56"/>
  <c r="P218" i="56" s="1"/>
  <c r="I189" i="56"/>
  <c r="Q189" i="56" s="1"/>
  <c r="G187" i="56"/>
  <c r="O187" i="56" s="1"/>
  <c r="F186" i="56"/>
  <c r="N186" i="56" s="1"/>
  <c r="F88" i="56"/>
  <c r="N88" i="56" s="1"/>
  <c r="E87" i="56"/>
  <c r="M87" i="56" s="1"/>
  <c r="I219" i="56"/>
  <c r="Q219" i="56" s="1"/>
  <c r="E185" i="56"/>
  <c r="M185" i="56" s="1"/>
  <c r="I219" i="46"/>
  <c r="Q219" i="46" s="1"/>
  <c r="H188" i="56"/>
  <c r="P188" i="56" s="1"/>
  <c r="I249" i="46"/>
  <c r="Q249" i="46" s="1"/>
  <c r="E245" i="46"/>
  <c r="M245" i="46" s="1"/>
  <c r="H248" i="46"/>
  <c r="P248" i="46" s="1"/>
  <c r="E30" i="56"/>
  <c r="M30" i="56" s="1"/>
  <c r="G247" i="46"/>
  <c r="O247" i="46" s="1"/>
  <c r="E258" i="56"/>
  <c r="I189" i="46"/>
  <c r="Q189" i="46" s="1"/>
  <c r="H157" i="46"/>
  <c r="P157" i="46" s="1"/>
  <c r="F186" i="46"/>
  <c r="N186" i="46" s="1"/>
  <c r="F155" i="46"/>
  <c r="N155" i="46" s="1"/>
  <c r="G156" i="46"/>
  <c r="O156" i="46" s="1"/>
  <c r="E185" i="46"/>
  <c r="M185" i="46" s="1"/>
  <c r="H188" i="46"/>
  <c r="P188" i="46" s="1"/>
  <c r="E154" i="46"/>
  <c r="M154" i="46" s="1"/>
  <c r="I158" i="46"/>
  <c r="Q158" i="46" s="1"/>
  <c r="G187" i="46"/>
  <c r="O187" i="46" s="1"/>
  <c r="I91" i="46"/>
  <c r="Q91" i="46" s="1"/>
  <c r="H90" i="46"/>
  <c r="P90" i="46" s="1"/>
  <c r="G58" i="46"/>
  <c r="O58" i="46" s="1"/>
  <c r="F57" i="46"/>
  <c r="N57" i="46" s="1"/>
  <c r="F88" i="46"/>
  <c r="N88" i="46" s="1"/>
  <c r="G89" i="46"/>
  <c r="O89" i="46" s="1"/>
  <c r="E87" i="46"/>
  <c r="M87" i="46" s="1"/>
  <c r="H59" i="46"/>
  <c r="P59" i="46" s="1"/>
  <c r="E56" i="46"/>
  <c r="M56" i="46" s="1"/>
  <c r="I60" i="46"/>
  <c r="Q60" i="46" s="1"/>
  <c r="E30" i="46"/>
  <c r="M30" i="46" s="1"/>
  <c r="I155" i="56"/>
  <c r="I57" i="56"/>
  <c r="Q57" i="56" s="1"/>
  <c r="H56" i="56"/>
  <c r="P56" i="56" s="1"/>
  <c r="I246" i="56"/>
  <c r="Q246" i="56" s="1"/>
  <c r="H245" i="56"/>
  <c r="P245" i="56" s="1"/>
  <c r="I216" i="56"/>
  <c r="Q216" i="56" s="1"/>
  <c r="H215" i="56"/>
  <c r="P215" i="56" s="1"/>
  <c r="I216" i="46"/>
  <c r="Q216" i="46" s="1"/>
  <c r="I186" i="56"/>
  <c r="Q186" i="56" s="1"/>
  <c r="I88" i="56"/>
  <c r="Q88" i="56" s="1"/>
  <c r="H87" i="56"/>
  <c r="P87" i="56" s="1"/>
  <c r="Q248" i="56"/>
  <c r="H185" i="56"/>
  <c r="P185" i="56" s="1"/>
  <c r="Q90" i="56"/>
  <c r="Q188" i="56"/>
  <c r="H215" i="46"/>
  <c r="P215" i="46" s="1"/>
  <c r="Q248" i="46"/>
  <c r="H258" i="56"/>
  <c r="H30" i="56"/>
  <c r="P30" i="56" s="1"/>
  <c r="I246" i="46"/>
  <c r="Q246" i="46" s="1"/>
  <c r="H245" i="46"/>
  <c r="P245" i="46" s="1"/>
  <c r="H185" i="46"/>
  <c r="P185" i="46" s="1"/>
  <c r="I186" i="46"/>
  <c r="Q186" i="46" s="1"/>
  <c r="H154" i="46"/>
  <c r="P154" i="46" s="1"/>
  <c r="Q157" i="46"/>
  <c r="Q188" i="46"/>
  <c r="I155" i="46"/>
  <c r="Q155" i="46" s="1"/>
  <c r="H87" i="46"/>
  <c r="P87" i="46" s="1"/>
  <c r="I88" i="46"/>
  <c r="Q88" i="46" s="1"/>
  <c r="Q90" i="46"/>
  <c r="I57" i="46"/>
  <c r="Q57" i="46" s="1"/>
  <c r="H56" i="46"/>
  <c r="P56" i="46" s="1"/>
  <c r="H30" i="46"/>
  <c r="P30" i="46" s="1"/>
  <c r="G27" i="46"/>
  <c r="L170" i="56"/>
  <c r="L190" i="56" s="1"/>
  <c r="L15" i="56" s="1"/>
  <c r="D190" i="56"/>
  <c r="D15" i="56" s="1"/>
  <c r="M67" i="46"/>
  <c r="M165" i="56"/>
  <c r="E264" i="56"/>
  <c r="M255" i="56"/>
  <c r="P165" i="46"/>
  <c r="O225" i="46"/>
  <c r="O165" i="56"/>
  <c r="N27" i="56"/>
  <c r="Q195" i="46"/>
  <c r="O195" i="46"/>
  <c r="O67" i="56"/>
  <c r="N165" i="46"/>
  <c r="N67" i="56"/>
  <c r="N195" i="46"/>
  <c r="Q255" i="56"/>
  <c r="I264" i="56"/>
  <c r="P225" i="56"/>
  <c r="M256" i="56"/>
  <c r="E265" i="56"/>
  <c r="P67" i="46"/>
  <c r="N225" i="56"/>
  <c r="G264" i="56"/>
  <c r="O255" i="56"/>
  <c r="I265" i="56"/>
  <c r="Q256" i="56"/>
  <c r="Q67" i="46"/>
  <c r="Q195" i="56"/>
  <c r="M225" i="46"/>
  <c r="P36" i="56"/>
  <c r="M225" i="56"/>
  <c r="M195" i="56"/>
  <c r="P195" i="46"/>
  <c r="O134" i="46"/>
  <c r="O36" i="56"/>
  <c r="O195" i="56"/>
  <c r="N225" i="46"/>
  <c r="Q36" i="56"/>
  <c r="O256" i="56"/>
  <c r="G265" i="56"/>
  <c r="M134" i="46"/>
  <c r="M195" i="46"/>
  <c r="M67" i="56"/>
  <c r="P165" i="56"/>
  <c r="P195" i="56"/>
  <c r="H265" i="56"/>
  <c r="P256" i="56"/>
  <c r="O165" i="46"/>
  <c r="O225" i="56"/>
  <c r="N67" i="46"/>
  <c r="N36" i="56"/>
  <c r="Q134" i="46"/>
  <c r="Q165" i="56"/>
  <c r="N256" i="56"/>
  <c r="F265" i="56"/>
  <c r="P67" i="56"/>
  <c r="M165" i="46"/>
  <c r="M36" i="56"/>
  <c r="P225" i="46"/>
  <c r="O67" i="46"/>
  <c r="N134" i="46"/>
  <c r="N165" i="56"/>
  <c r="N195" i="56"/>
  <c r="Q165" i="46"/>
  <c r="Q225" i="56"/>
  <c r="P134" i="46"/>
  <c r="Q225" i="46"/>
  <c r="Q67" i="56"/>
  <c r="D266" i="46"/>
  <c r="L266" i="46" s="1"/>
  <c r="L268" i="46" s="1"/>
  <c r="L19" i="46" s="1"/>
  <c r="D10" i="47"/>
  <c r="F257" i="46"/>
  <c r="F266" i="46" s="1"/>
  <c r="N266" i="46" s="1"/>
  <c r="I255" i="46"/>
  <c r="H255" i="46"/>
  <c r="H264" i="46" s="1"/>
  <c r="P264" i="46" s="1"/>
  <c r="H258" i="46"/>
  <c r="H267" i="46" s="1"/>
  <c r="P267" i="46" s="1"/>
  <c r="G255" i="46"/>
  <c r="G264" i="46" s="1"/>
  <c r="O264" i="46" s="1"/>
  <c r="H257" i="46"/>
  <c r="H266" i="46" s="1"/>
  <c r="P266" i="46" s="1"/>
  <c r="E258" i="46"/>
  <c r="E267" i="46" s="1"/>
  <c r="M267" i="46" s="1"/>
  <c r="G258" i="46"/>
  <c r="G267" i="46" s="1"/>
  <c r="O267" i="46" s="1"/>
  <c r="I257" i="46"/>
  <c r="I266" i="46" s="1"/>
  <c r="Q266" i="46" s="1"/>
  <c r="E257" i="46"/>
  <c r="E266" i="46" s="1"/>
  <c r="M266" i="46" s="1"/>
  <c r="G257" i="46"/>
  <c r="G266" i="46" s="1"/>
  <c r="O266" i="46" s="1"/>
  <c r="F258" i="46"/>
  <c r="F267" i="46" s="1"/>
  <c r="N267" i="46" s="1"/>
  <c r="I258" i="46"/>
  <c r="I267" i="46" s="1"/>
  <c r="Q267" i="46" s="1"/>
  <c r="F255" i="46"/>
  <c r="F264" i="46" s="1"/>
  <c r="N264" i="46" s="1"/>
  <c r="E255" i="46"/>
  <c r="E264" i="46" s="1"/>
  <c r="M264" i="46" s="1"/>
  <c r="P29" i="46"/>
  <c r="F282" i="46"/>
  <c r="F282" i="56" s="1"/>
  <c r="N282" i="56" s="1"/>
  <c r="I291" i="46"/>
  <c r="Q291" i="46" s="1"/>
  <c r="G291" i="46"/>
  <c r="O291" i="46" s="1"/>
  <c r="F276" i="46"/>
  <c r="F276" i="56" s="1"/>
  <c r="N276" i="56" s="1"/>
  <c r="F291" i="46"/>
  <c r="F291" i="56" s="1"/>
  <c r="N291" i="56" s="1"/>
  <c r="I290" i="46"/>
  <c r="Q290" i="46" s="1"/>
  <c r="I294" i="46"/>
  <c r="Q294" i="46" s="1"/>
  <c r="H292" i="46"/>
  <c r="H292" i="56" s="1"/>
  <c r="P292" i="56" s="1"/>
  <c r="H280" i="46"/>
  <c r="P280" i="46" s="1"/>
  <c r="H275" i="46"/>
  <c r="H275" i="56" s="1"/>
  <c r="P275" i="56" s="1"/>
  <c r="H278" i="46"/>
  <c r="H278" i="56" s="1"/>
  <c r="P278" i="56" s="1"/>
  <c r="F279" i="46"/>
  <c r="F279" i="56" s="1"/>
  <c r="G277" i="46"/>
  <c r="G277" i="56" s="1"/>
  <c r="O277" i="56" s="1"/>
  <c r="G282" i="46"/>
  <c r="G282" i="56" s="1"/>
  <c r="O282" i="56" s="1"/>
  <c r="I274" i="46"/>
  <c r="Q274" i="46" s="1"/>
  <c r="I277" i="46"/>
  <c r="Q277" i="46" s="1"/>
  <c r="H276" i="46"/>
  <c r="P276" i="46" s="1"/>
  <c r="H279" i="46"/>
  <c r="H279" i="56" s="1"/>
  <c r="H289" i="46"/>
  <c r="H289" i="56" s="1"/>
  <c r="P289" i="56" s="1"/>
  <c r="E274" i="46"/>
  <c r="E274" i="56" s="1"/>
  <c r="M274" i="56" s="1"/>
  <c r="E284" i="46"/>
  <c r="E284" i="56" s="1"/>
  <c r="M284" i="56" s="1"/>
  <c r="E287" i="46"/>
  <c r="E287" i="56" s="1"/>
  <c r="M287" i="56" s="1"/>
  <c r="F287" i="46"/>
  <c r="N287" i="46" s="1"/>
  <c r="F274" i="46"/>
  <c r="F274" i="56" s="1"/>
  <c r="N274" i="56" s="1"/>
  <c r="F280" i="46"/>
  <c r="F280" i="56" s="1"/>
  <c r="N280" i="56" s="1"/>
  <c r="D278" i="56"/>
  <c r="L278" i="56" s="1"/>
  <c r="L278" i="46"/>
  <c r="L275" i="46"/>
  <c r="D275" i="56"/>
  <c r="L275" i="56" s="1"/>
  <c r="G293" i="46"/>
  <c r="G293" i="56" s="1"/>
  <c r="O293" i="56" s="1"/>
  <c r="G287" i="46"/>
  <c r="G287" i="56" s="1"/>
  <c r="O287" i="56" s="1"/>
  <c r="G281" i="46"/>
  <c r="G281" i="56" s="1"/>
  <c r="O281" i="56" s="1"/>
  <c r="G286" i="46"/>
  <c r="G286" i="56" s="1"/>
  <c r="O286" i="56" s="1"/>
  <c r="I280" i="46"/>
  <c r="I280" i="56" s="1"/>
  <c r="Q280" i="56" s="1"/>
  <c r="I278" i="46"/>
  <c r="I278" i="56" s="1"/>
  <c r="Q278" i="56" s="1"/>
  <c r="I281" i="46"/>
  <c r="I281" i="56" s="1"/>
  <c r="Q281" i="56" s="1"/>
  <c r="H291" i="46"/>
  <c r="H291" i="56" s="1"/>
  <c r="P291" i="56" s="1"/>
  <c r="H283" i="46"/>
  <c r="P283" i="46" s="1"/>
  <c r="H277" i="46"/>
  <c r="H277" i="56" s="1"/>
  <c r="P277" i="56" s="1"/>
  <c r="E286" i="46"/>
  <c r="E286" i="56" s="1"/>
  <c r="M286" i="56" s="1"/>
  <c r="E290" i="46"/>
  <c r="E290" i="56" s="1"/>
  <c r="M290" i="56" s="1"/>
  <c r="F289" i="46"/>
  <c r="F289" i="56" s="1"/>
  <c r="N289" i="56" s="1"/>
  <c r="F278" i="46"/>
  <c r="F278" i="56" s="1"/>
  <c r="N278" i="56" s="1"/>
  <c r="D277" i="56"/>
  <c r="L277" i="56" s="1"/>
  <c r="L277" i="46"/>
  <c r="L280" i="46"/>
  <c r="D280" i="56"/>
  <c r="L280" i="56" s="1"/>
  <c r="D289" i="56"/>
  <c r="L289" i="56" s="1"/>
  <c r="L289" i="46"/>
  <c r="D276" i="56"/>
  <c r="L276" i="56" s="1"/>
  <c r="L276" i="46"/>
  <c r="C17" i="47"/>
  <c r="G279" i="46"/>
  <c r="G279" i="56" s="1"/>
  <c r="G285" i="46"/>
  <c r="G285" i="56" s="1"/>
  <c r="O285" i="56" s="1"/>
  <c r="G276" i="46"/>
  <c r="G276" i="56" s="1"/>
  <c r="O276" i="56" s="1"/>
  <c r="I276" i="46"/>
  <c r="Q276" i="46" s="1"/>
  <c r="I282" i="46"/>
  <c r="I285" i="46"/>
  <c r="I285" i="56" s="1"/>
  <c r="Q285" i="56" s="1"/>
  <c r="H287" i="46"/>
  <c r="H287" i="56" s="1"/>
  <c r="P287" i="56" s="1"/>
  <c r="H290" i="46"/>
  <c r="H290" i="56" s="1"/>
  <c r="P290" i="56" s="1"/>
  <c r="H281" i="46"/>
  <c r="P281" i="46" s="1"/>
  <c r="E289" i="46"/>
  <c r="M289" i="46" s="1"/>
  <c r="E291" i="46"/>
  <c r="E291" i="56" s="1"/>
  <c r="M291" i="56" s="1"/>
  <c r="E294" i="46"/>
  <c r="E294" i="56" s="1"/>
  <c r="M294" i="56" s="1"/>
  <c r="F293" i="46"/>
  <c r="F293" i="56" s="1"/>
  <c r="N293" i="56" s="1"/>
  <c r="D294" i="56"/>
  <c r="L294" i="56" s="1"/>
  <c r="L294" i="46"/>
  <c r="D284" i="56"/>
  <c r="L284" i="56" s="1"/>
  <c r="L284" i="46"/>
  <c r="D287" i="56"/>
  <c r="L287" i="56" s="1"/>
  <c r="L287" i="46"/>
  <c r="E293" i="46"/>
  <c r="E293" i="56" s="1"/>
  <c r="M293" i="56" s="1"/>
  <c r="E283" i="46"/>
  <c r="E283" i="56" s="1"/>
  <c r="M283" i="56" s="1"/>
  <c r="D288" i="56"/>
  <c r="L288" i="56" s="1"/>
  <c r="L288" i="46"/>
  <c r="G275" i="46"/>
  <c r="G275" i="56" s="1"/>
  <c r="O275" i="56" s="1"/>
  <c r="G288" i="46"/>
  <c r="G288" i="56" s="1"/>
  <c r="O288" i="56" s="1"/>
  <c r="G280" i="46"/>
  <c r="G280" i="56" s="1"/>
  <c r="O280" i="56" s="1"/>
  <c r="I284" i="46"/>
  <c r="I284" i="56" s="1"/>
  <c r="Q284" i="56" s="1"/>
  <c r="I286" i="46"/>
  <c r="Q286" i="46" s="1"/>
  <c r="I288" i="46"/>
  <c r="I288" i="56" s="1"/>
  <c r="Q288" i="56" s="1"/>
  <c r="H274" i="46"/>
  <c r="H274" i="56" s="1"/>
  <c r="P274" i="56" s="1"/>
  <c r="H294" i="46"/>
  <c r="H294" i="56" s="1"/>
  <c r="P294" i="56" s="1"/>
  <c r="E281" i="46"/>
  <c r="E281" i="56" s="1"/>
  <c r="M281" i="56" s="1"/>
  <c r="E277" i="46"/>
  <c r="E277" i="56" s="1"/>
  <c r="M277" i="56" s="1"/>
  <c r="F294" i="46"/>
  <c r="F294" i="56" s="1"/>
  <c r="N294" i="56" s="1"/>
  <c r="F277" i="46"/>
  <c r="F277" i="56" s="1"/>
  <c r="N277" i="56" s="1"/>
  <c r="F286" i="46"/>
  <c r="F286" i="56" s="1"/>
  <c r="N286" i="56" s="1"/>
  <c r="D281" i="56"/>
  <c r="L281" i="56" s="1"/>
  <c r="L281" i="46"/>
  <c r="D274" i="56"/>
  <c r="L274" i="56" s="1"/>
  <c r="L274" i="46"/>
  <c r="D279" i="56"/>
  <c r="L279" i="46"/>
  <c r="D259" i="46"/>
  <c r="D18" i="46" s="1"/>
  <c r="G290" i="46"/>
  <c r="G290" i="56" s="1"/>
  <c r="O290" i="56" s="1"/>
  <c r="G292" i="46"/>
  <c r="G292" i="56" s="1"/>
  <c r="O292" i="56" s="1"/>
  <c r="G284" i="46"/>
  <c r="G284" i="56" s="1"/>
  <c r="O284" i="56" s="1"/>
  <c r="I275" i="46"/>
  <c r="I275" i="56" s="1"/>
  <c r="Q275" i="56" s="1"/>
  <c r="I289" i="46"/>
  <c r="Q289" i="46" s="1"/>
  <c r="I292" i="46"/>
  <c r="I292" i="56" s="1"/>
  <c r="Q292" i="56" s="1"/>
  <c r="H282" i="46"/>
  <c r="H282" i="56" s="1"/>
  <c r="P282" i="56" s="1"/>
  <c r="H285" i="46"/>
  <c r="H285" i="56" s="1"/>
  <c r="P285" i="56" s="1"/>
  <c r="E285" i="46"/>
  <c r="E285" i="56" s="1"/>
  <c r="M285" i="56" s="1"/>
  <c r="E288" i="46"/>
  <c r="M288" i="46" s="1"/>
  <c r="F283" i="46"/>
  <c r="F283" i="56" s="1"/>
  <c r="N283" i="56" s="1"/>
  <c r="F288" i="46"/>
  <c r="F288" i="56" s="1"/>
  <c r="N288" i="56" s="1"/>
  <c r="F281" i="46"/>
  <c r="F281" i="56" s="1"/>
  <c r="N281" i="56" s="1"/>
  <c r="D292" i="56"/>
  <c r="L292" i="56" s="1"/>
  <c r="L292" i="46"/>
  <c r="L291" i="46"/>
  <c r="D291" i="56"/>
  <c r="L291" i="56" s="1"/>
  <c r="L282" i="46"/>
  <c r="D282" i="56"/>
  <c r="L282" i="56" s="1"/>
  <c r="G283" i="46"/>
  <c r="O283" i="46" s="1"/>
  <c r="G294" i="46"/>
  <c r="G294" i="56" s="1"/>
  <c r="O294" i="56" s="1"/>
  <c r="I279" i="46"/>
  <c r="Q279" i="46" s="1"/>
  <c r="I293" i="46"/>
  <c r="Q293" i="46" s="1"/>
  <c r="H286" i="46"/>
  <c r="H286" i="56" s="1"/>
  <c r="P286" i="56" s="1"/>
  <c r="H288" i="46"/>
  <c r="P288" i="46" s="1"/>
  <c r="E278" i="46"/>
  <c r="E278" i="56" s="1"/>
  <c r="M278" i="56" s="1"/>
  <c r="E292" i="46"/>
  <c r="E292" i="56" s="1"/>
  <c r="M292" i="56" s="1"/>
  <c r="E275" i="46"/>
  <c r="M275" i="46" s="1"/>
  <c r="F275" i="46"/>
  <c r="F275" i="56" s="1"/>
  <c r="N275" i="56" s="1"/>
  <c r="F284" i="46"/>
  <c r="F284" i="56" s="1"/>
  <c r="N284" i="56" s="1"/>
  <c r="F285" i="46"/>
  <c r="N285" i="46" s="1"/>
  <c r="D293" i="56"/>
  <c r="L293" i="56" s="1"/>
  <c r="L293" i="46"/>
  <c r="D290" i="56"/>
  <c r="L290" i="56" s="1"/>
  <c r="L290" i="46"/>
  <c r="G278" i="46"/>
  <c r="O278" i="46" s="1"/>
  <c r="E280" i="46"/>
  <c r="E280" i="56" s="1"/>
  <c r="M280" i="56" s="1"/>
  <c r="G289" i="46"/>
  <c r="G289" i="56" s="1"/>
  <c r="O289" i="56" s="1"/>
  <c r="G274" i="46"/>
  <c r="G274" i="56" s="1"/>
  <c r="O274" i="56" s="1"/>
  <c r="I287" i="46"/>
  <c r="Q287" i="46" s="1"/>
  <c r="I283" i="46"/>
  <c r="Q283" i="46" s="1"/>
  <c r="H284" i="46"/>
  <c r="H284" i="56" s="1"/>
  <c r="P284" i="56" s="1"/>
  <c r="H293" i="46"/>
  <c r="P293" i="46" s="1"/>
  <c r="E282" i="46"/>
  <c r="E282" i="56" s="1"/>
  <c r="M282" i="56" s="1"/>
  <c r="E276" i="46"/>
  <c r="E276" i="56" s="1"/>
  <c r="M276" i="56" s="1"/>
  <c r="E279" i="46"/>
  <c r="E279" i="56" s="1"/>
  <c r="F290" i="46"/>
  <c r="N290" i="46" s="1"/>
  <c r="F292" i="46"/>
  <c r="F292" i="56" s="1"/>
  <c r="N292" i="56" s="1"/>
  <c r="D285" i="56"/>
  <c r="L285" i="56" s="1"/>
  <c r="L285" i="46"/>
  <c r="D286" i="56"/>
  <c r="L286" i="56" s="1"/>
  <c r="L286" i="46"/>
  <c r="D283" i="56"/>
  <c r="L283" i="56" s="1"/>
  <c r="L283" i="46"/>
  <c r="I38" i="42"/>
  <c r="H37" i="42"/>
  <c r="G36" i="42"/>
  <c r="I18" i="42"/>
  <c r="E10" i="47"/>
  <c r="E13" i="47" s="1"/>
  <c r="D15" i="47"/>
  <c r="F42" i="42"/>
  <c r="H44" i="42"/>
  <c r="G43" i="42"/>
  <c r="E41" i="42"/>
  <c r="I45" i="42"/>
  <c r="E15" i="47"/>
  <c r="F41" i="42"/>
  <c r="H43" i="42"/>
  <c r="I44" i="42"/>
  <c r="G42" i="42"/>
  <c r="G15" i="47"/>
  <c r="I42" i="42"/>
  <c r="H41" i="42"/>
  <c r="H10" i="47"/>
  <c r="H13" i="47" s="1"/>
  <c r="E16" i="47"/>
  <c r="H48" i="42"/>
  <c r="G47" i="42"/>
  <c r="F46" i="42"/>
  <c r="I49" i="42"/>
  <c r="H36" i="42"/>
  <c r="I37" i="42"/>
  <c r="I39" i="42"/>
  <c r="F36" i="42"/>
  <c r="H38" i="42"/>
  <c r="G37" i="42"/>
  <c r="H16" i="47"/>
  <c r="I46" i="42"/>
  <c r="D16" i="47"/>
  <c r="E46" i="42"/>
  <c r="I50" i="42"/>
  <c r="H49" i="42"/>
  <c r="F47" i="42"/>
  <c r="G48" i="42"/>
  <c r="G16" i="47"/>
  <c r="I47" i="42"/>
  <c r="H46" i="42"/>
  <c r="F10" i="47"/>
  <c r="F13" i="47" s="1"/>
  <c r="F16" i="47"/>
  <c r="I48" i="42"/>
  <c r="H47" i="42"/>
  <c r="G46" i="42"/>
  <c r="E36" i="42"/>
  <c r="F37" i="42"/>
  <c r="H39" i="42"/>
  <c r="G38" i="42"/>
  <c r="I40" i="42"/>
  <c r="D17" i="46"/>
  <c r="G10" i="47"/>
  <c r="G13" i="47" s="1"/>
  <c r="F15" i="47"/>
  <c r="H42" i="42"/>
  <c r="G41" i="42"/>
  <c r="I43" i="42"/>
  <c r="H15" i="47"/>
  <c r="I41" i="42"/>
  <c r="D13" i="47"/>
  <c r="F18" i="42"/>
  <c r="P86" i="50"/>
  <c r="O86" i="50"/>
  <c r="N86" i="50"/>
  <c r="Q86" i="50"/>
  <c r="H23" i="42"/>
  <c r="H18" i="42"/>
  <c r="M86" i="50"/>
  <c r="D51" i="42"/>
  <c r="C22" i="47" s="1"/>
  <c r="G18" i="42"/>
  <c r="E18" i="42"/>
  <c r="D295" i="46"/>
  <c r="D20" i="46" s="1"/>
  <c r="L61" i="46"/>
  <c r="L11" i="46" s="1"/>
  <c r="D61" i="46"/>
  <c r="L27" i="46"/>
  <c r="L31" i="46" s="1"/>
  <c r="L10" i="46" s="1"/>
  <c r="D31" i="46"/>
  <c r="F264" i="56" l="1"/>
  <c r="O31" i="56"/>
  <c r="P31" i="56"/>
  <c r="E159" i="56"/>
  <c r="E14" i="56" s="1"/>
  <c r="G159" i="56"/>
  <c r="N139" i="46"/>
  <c r="N159" i="46" s="1"/>
  <c r="F98" i="46"/>
  <c r="M139" i="46"/>
  <c r="M159" i="46" s="1"/>
  <c r="E98" i="46"/>
  <c r="O139" i="46"/>
  <c r="O159" i="46" s="1"/>
  <c r="I98" i="46"/>
  <c r="D98" i="46"/>
  <c r="L159" i="46"/>
  <c r="L92" i="46"/>
  <c r="L12" i="46" s="1"/>
  <c r="N220" i="46"/>
  <c r="N16" i="46" s="1"/>
  <c r="G31" i="56"/>
  <c r="E92" i="56"/>
  <c r="E12" i="56" s="1"/>
  <c r="M220" i="46"/>
  <c r="M16" i="46" s="1"/>
  <c r="N72" i="46"/>
  <c r="N92" i="46" s="1"/>
  <c r="O72" i="46"/>
  <c r="O92" i="46" s="1"/>
  <c r="F159" i="46"/>
  <c r="F160" i="46" s="1"/>
  <c r="E190" i="46"/>
  <c r="E191" i="46" s="1"/>
  <c r="D57" i="47" s="1"/>
  <c r="M72" i="46"/>
  <c r="M92" i="46" s="1"/>
  <c r="F61" i="56"/>
  <c r="F62" i="56" s="1"/>
  <c r="H159" i="46"/>
  <c r="H160" i="46" s="1"/>
  <c r="N61" i="56"/>
  <c r="N11" i="56" s="1"/>
  <c r="N250" i="46"/>
  <c r="N251" i="46" s="1"/>
  <c r="F190" i="46"/>
  <c r="F191" i="46" s="1"/>
  <c r="E57" i="47" s="1"/>
  <c r="N220" i="56"/>
  <c r="N16" i="56" s="1"/>
  <c r="M61" i="56"/>
  <c r="M11" i="56" s="1"/>
  <c r="P220" i="46"/>
  <c r="P221" i="46" s="1"/>
  <c r="E61" i="56"/>
  <c r="E11" i="56" s="1"/>
  <c r="I159" i="46"/>
  <c r="I160" i="46" s="1"/>
  <c r="E250" i="46"/>
  <c r="E251" i="46" s="1"/>
  <c r="D59" i="47" s="1"/>
  <c r="H220" i="46"/>
  <c r="H16" i="46" s="1"/>
  <c r="F220" i="46"/>
  <c r="F221" i="46" s="1"/>
  <c r="E58" i="47" s="1"/>
  <c r="M250" i="56"/>
  <c r="M17" i="56" s="1"/>
  <c r="F92" i="56"/>
  <c r="F93" i="56" s="1"/>
  <c r="F92" i="46"/>
  <c r="F12" i="46" s="1"/>
  <c r="E250" i="56"/>
  <c r="E17" i="56" s="1"/>
  <c r="Q31" i="56"/>
  <c r="Q10" i="56" s="1"/>
  <c r="M31" i="56"/>
  <c r="M32" i="56" s="1"/>
  <c r="O220" i="46"/>
  <c r="O221" i="46" s="1"/>
  <c r="Q220" i="46"/>
  <c r="Q16" i="46" s="1"/>
  <c r="H259" i="56"/>
  <c r="P159" i="46"/>
  <c r="H264" i="56"/>
  <c r="I267" i="56"/>
  <c r="Q258" i="56"/>
  <c r="I92" i="56"/>
  <c r="I12" i="56" s="1"/>
  <c r="N190" i="56"/>
  <c r="N191" i="56" s="1"/>
  <c r="P250" i="46"/>
  <c r="P251" i="46" s="1"/>
  <c r="P92" i="56"/>
  <c r="P93" i="56" s="1"/>
  <c r="P220" i="56"/>
  <c r="P221" i="56" s="1"/>
  <c r="G220" i="56"/>
  <c r="G221" i="56" s="1"/>
  <c r="M220" i="56"/>
  <c r="M221" i="56" s="1"/>
  <c r="I220" i="56"/>
  <c r="I16" i="56" s="1"/>
  <c r="H92" i="46"/>
  <c r="H12" i="46" s="1"/>
  <c r="I259" i="56"/>
  <c r="I260" i="56" s="1"/>
  <c r="N190" i="46"/>
  <c r="N191" i="46" s="1"/>
  <c r="I220" i="46"/>
  <c r="I221" i="46" s="1"/>
  <c r="H58" i="47" s="1"/>
  <c r="O190" i="56"/>
  <c r="O191" i="56" s="1"/>
  <c r="E190" i="56"/>
  <c r="E15" i="56" s="1"/>
  <c r="F190" i="56"/>
  <c r="F15" i="56" s="1"/>
  <c r="F250" i="46"/>
  <c r="F251" i="46" s="1"/>
  <c r="E59" i="47" s="1"/>
  <c r="I250" i="46"/>
  <c r="I251" i="46" s="1"/>
  <c r="H59" i="47" s="1"/>
  <c r="Q250" i="56"/>
  <c r="Q17" i="56" s="1"/>
  <c r="H92" i="56"/>
  <c r="H93" i="56" s="1"/>
  <c r="F159" i="56"/>
  <c r="O250" i="56"/>
  <c r="O17" i="56" s="1"/>
  <c r="H190" i="56"/>
  <c r="H15" i="56" s="1"/>
  <c r="O220" i="56"/>
  <c r="O16" i="56" s="1"/>
  <c r="E220" i="56"/>
  <c r="E16" i="56" s="1"/>
  <c r="Q220" i="56"/>
  <c r="Q221" i="56" s="1"/>
  <c r="I31" i="56"/>
  <c r="I10" i="56" s="1"/>
  <c r="P92" i="46"/>
  <c r="P12" i="46" s="1"/>
  <c r="G92" i="56"/>
  <c r="G12" i="56" s="1"/>
  <c r="G250" i="46"/>
  <c r="G251" i="46" s="1"/>
  <c r="F59" i="47" s="1"/>
  <c r="M190" i="56"/>
  <c r="M191" i="56" s="1"/>
  <c r="H266" i="56"/>
  <c r="P257" i="56"/>
  <c r="L259" i="56"/>
  <c r="L18" i="56" s="1"/>
  <c r="I159" i="56"/>
  <c r="I14" i="56" s="1"/>
  <c r="Q250" i="46"/>
  <c r="Q251" i="46" s="1"/>
  <c r="I250" i="56"/>
  <c r="I251" i="56" s="1"/>
  <c r="G250" i="56"/>
  <c r="G17" i="56" s="1"/>
  <c r="P190" i="56"/>
  <c r="P191" i="56" s="1"/>
  <c r="G61" i="56"/>
  <c r="G11" i="56" s="1"/>
  <c r="I92" i="46"/>
  <c r="I12" i="46" s="1"/>
  <c r="O92" i="56"/>
  <c r="O12" i="56" s="1"/>
  <c r="F31" i="56"/>
  <c r="F10" i="56" s="1"/>
  <c r="O250" i="46"/>
  <c r="O251" i="46" s="1"/>
  <c r="E266" i="56"/>
  <c r="M257" i="56"/>
  <c r="D268" i="56"/>
  <c r="I266" i="56"/>
  <c r="Q257" i="56"/>
  <c r="Q92" i="56"/>
  <c r="Q12" i="56" s="1"/>
  <c r="M190" i="46"/>
  <c r="M191" i="46" s="1"/>
  <c r="E159" i="46"/>
  <c r="E160" i="46" s="1"/>
  <c r="P255" i="56"/>
  <c r="F266" i="56"/>
  <c r="N257" i="56"/>
  <c r="G266" i="56"/>
  <c r="O257" i="56"/>
  <c r="Q190" i="46"/>
  <c r="Q191" i="46" s="1"/>
  <c r="E31" i="56"/>
  <c r="E10" i="56" s="1"/>
  <c r="G190" i="46"/>
  <c r="G191" i="46" s="1"/>
  <c r="F57" i="47" s="1"/>
  <c r="O61" i="56"/>
  <c r="O11" i="56" s="1"/>
  <c r="Q92" i="46"/>
  <c r="Q12" i="46" s="1"/>
  <c r="F250" i="56"/>
  <c r="F17" i="56" s="1"/>
  <c r="G220" i="46"/>
  <c r="G221" i="46" s="1"/>
  <c r="F58" i="47" s="1"/>
  <c r="N31" i="56"/>
  <c r="N32" i="56" s="1"/>
  <c r="H190" i="46"/>
  <c r="H191" i="46" s="1"/>
  <c r="G57" i="47" s="1"/>
  <c r="E92" i="46"/>
  <c r="E267" i="56"/>
  <c r="M258" i="56"/>
  <c r="M259" i="56" s="1"/>
  <c r="Q159" i="46"/>
  <c r="H220" i="56"/>
  <c r="H221" i="56" s="1"/>
  <c r="M250" i="46"/>
  <c r="M251" i="46" s="1"/>
  <c r="G190" i="56"/>
  <c r="G191" i="56" s="1"/>
  <c r="H159" i="56"/>
  <c r="I190" i="46"/>
  <c r="I191" i="46" s="1"/>
  <c r="H57" i="47" s="1"/>
  <c r="I190" i="56"/>
  <c r="I15" i="56" s="1"/>
  <c r="O190" i="46"/>
  <c r="O191" i="46" s="1"/>
  <c r="M92" i="56"/>
  <c r="M12" i="56" s="1"/>
  <c r="Q61" i="56"/>
  <c r="Q11" i="56" s="1"/>
  <c r="G159" i="46"/>
  <c r="G160" i="46" s="1"/>
  <c r="P61" i="56"/>
  <c r="P11" i="56" s="1"/>
  <c r="N250" i="56"/>
  <c r="N251" i="56" s="1"/>
  <c r="H250" i="56"/>
  <c r="H251" i="56" s="1"/>
  <c r="F259" i="56"/>
  <c r="F260" i="56" s="1"/>
  <c r="P190" i="46"/>
  <c r="P191" i="46" s="1"/>
  <c r="G267" i="56"/>
  <c r="O258" i="56"/>
  <c r="O259" i="56" s="1"/>
  <c r="O260" i="56" s="1"/>
  <c r="H250" i="46"/>
  <c r="H251" i="46" s="1"/>
  <c r="G59" i="47" s="1"/>
  <c r="H267" i="56"/>
  <c r="P258" i="56"/>
  <c r="D268" i="46"/>
  <c r="D19" i="46" s="1"/>
  <c r="H31" i="56"/>
  <c r="H10" i="56" s="1"/>
  <c r="F220" i="56"/>
  <c r="F221" i="56" s="1"/>
  <c r="G92" i="46"/>
  <c r="Q190" i="56"/>
  <c r="Q15" i="56" s="1"/>
  <c r="E220" i="46"/>
  <c r="E221" i="46" s="1"/>
  <c r="D58" i="47" s="1"/>
  <c r="I61" i="56"/>
  <c r="I11" i="56" s="1"/>
  <c r="H61" i="56"/>
  <c r="H11" i="56" s="1"/>
  <c r="P250" i="56"/>
  <c r="P17" i="56" s="1"/>
  <c r="N92" i="56"/>
  <c r="N12" i="56" s="1"/>
  <c r="E259" i="56"/>
  <c r="E18" i="56" s="1"/>
  <c r="F267" i="56"/>
  <c r="N258" i="56"/>
  <c r="G10" i="56"/>
  <c r="G32" i="56"/>
  <c r="E160" i="56"/>
  <c r="O10" i="56"/>
  <c r="O32" i="56"/>
  <c r="M10" i="56"/>
  <c r="H18" i="56"/>
  <c r="H260" i="56"/>
  <c r="F18" i="56"/>
  <c r="P10" i="56"/>
  <c r="P32" i="56"/>
  <c r="G18" i="56"/>
  <c r="G260" i="56"/>
  <c r="H276" i="56"/>
  <c r="P276" i="56" s="1"/>
  <c r="G291" i="56"/>
  <c r="O291" i="56" s="1"/>
  <c r="N279" i="46"/>
  <c r="I291" i="56"/>
  <c r="Q291" i="56" s="1"/>
  <c r="N280" i="46"/>
  <c r="P278" i="46"/>
  <c r="N276" i="46"/>
  <c r="P275" i="46"/>
  <c r="M291" i="46"/>
  <c r="I294" i="56"/>
  <c r="Q294" i="56" s="1"/>
  <c r="O277" i="46"/>
  <c r="O276" i="46"/>
  <c r="P291" i="46"/>
  <c r="Q281" i="46"/>
  <c r="P284" i="46"/>
  <c r="O290" i="46"/>
  <c r="M274" i="46"/>
  <c r="O282" i="46"/>
  <c r="Q288" i="46"/>
  <c r="N284" i="46"/>
  <c r="G278" i="56"/>
  <c r="O278" i="56" s="1"/>
  <c r="M284" i="46"/>
  <c r="I293" i="56"/>
  <c r="Q293" i="56" s="1"/>
  <c r="P287" i="46"/>
  <c r="P292" i="46"/>
  <c r="I279" i="56"/>
  <c r="Q279" i="56" s="1"/>
  <c r="M285" i="46"/>
  <c r="F287" i="56"/>
  <c r="N287" i="56" s="1"/>
  <c r="P289" i="46"/>
  <c r="N289" i="46"/>
  <c r="O288" i="46"/>
  <c r="H293" i="56"/>
  <c r="P293" i="56" s="1"/>
  <c r="N281" i="46"/>
  <c r="N282" i="46"/>
  <c r="I289" i="56"/>
  <c r="Q289" i="56" s="1"/>
  <c r="F290" i="56"/>
  <c r="N290" i="56" s="1"/>
  <c r="G283" i="56"/>
  <c r="O283" i="56" s="1"/>
  <c r="I287" i="56"/>
  <c r="Q287" i="56" s="1"/>
  <c r="E17" i="47"/>
  <c r="H280" i="56"/>
  <c r="P280" i="56" s="1"/>
  <c r="F259" i="46"/>
  <c r="F18" i="46" s="1"/>
  <c r="M278" i="46"/>
  <c r="P286" i="46"/>
  <c r="H281" i="56"/>
  <c r="P281" i="56" s="1"/>
  <c r="I274" i="56"/>
  <c r="Q274" i="56" s="1"/>
  <c r="E288" i="56"/>
  <c r="M288" i="56" s="1"/>
  <c r="H288" i="56"/>
  <c r="P288" i="56" s="1"/>
  <c r="N288" i="46"/>
  <c r="O274" i="46"/>
  <c r="F285" i="56"/>
  <c r="N285" i="56" s="1"/>
  <c r="M281" i="46"/>
  <c r="I277" i="56"/>
  <c r="Q277" i="56" s="1"/>
  <c r="N291" i="46"/>
  <c r="P294" i="46"/>
  <c r="E289" i="56"/>
  <c r="M289" i="56" s="1"/>
  <c r="N275" i="46"/>
  <c r="I290" i="56"/>
  <c r="Q290" i="56" s="1"/>
  <c r="M279" i="46"/>
  <c r="O284" i="46"/>
  <c r="Q275" i="46"/>
  <c r="I286" i="56"/>
  <c r="Q286" i="56" s="1"/>
  <c r="Q278" i="46"/>
  <c r="M276" i="46"/>
  <c r="I276" i="56"/>
  <c r="Q276" i="56" s="1"/>
  <c r="M286" i="46"/>
  <c r="O275" i="46"/>
  <c r="O285" i="46"/>
  <c r="G17" i="47"/>
  <c r="O293" i="46"/>
  <c r="P274" i="46"/>
  <c r="P290" i="46"/>
  <c r="P277" i="46"/>
  <c r="O281" i="46"/>
  <c r="N274" i="46"/>
  <c r="M280" i="46"/>
  <c r="O279" i="46"/>
  <c r="O289" i="46"/>
  <c r="P285" i="46"/>
  <c r="H283" i="56"/>
  <c r="P283" i="56" s="1"/>
  <c r="O287" i="46"/>
  <c r="N286" i="46"/>
  <c r="Q285" i="46"/>
  <c r="N278" i="46"/>
  <c r="O280" i="46"/>
  <c r="M294" i="46"/>
  <c r="Q280" i="46"/>
  <c r="M290" i="46"/>
  <c r="N294" i="46"/>
  <c r="O286" i="46"/>
  <c r="M293" i="46"/>
  <c r="P279" i="46"/>
  <c r="E275" i="56"/>
  <c r="M275" i="56" s="1"/>
  <c r="O294" i="46"/>
  <c r="N283" i="46"/>
  <c r="Q292" i="46"/>
  <c r="O292" i="46"/>
  <c r="M277" i="46"/>
  <c r="M287" i="46"/>
  <c r="M282" i="46"/>
  <c r="I283" i="56"/>
  <c r="Q283" i="56" s="1"/>
  <c r="M292" i="46"/>
  <c r="H17" i="47"/>
  <c r="L295" i="46"/>
  <c r="L20" i="46" s="1"/>
  <c r="I295" i="46"/>
  <c r="I20" i="46" s="1"/>
  <c r="Q61" i="46"/>
  <c r="Q11" i="46" s="1"/>
  <c r="Q31" i="46"/>
  <c r="Q10" i="46" s="1"/>
  <c r="I61" i="46"/>
  <c r="I11" i="46" s="1"/>
  <c r="P282" i="46"/>
  <c r="N277" i="46"/>
  <c r="Q284" i="46"/>
  <c r="D295" i="56"/>
  <c r="D19" i="56" s="1"/>
  <c r="L279" i="56"/>
  <c r="L295" i="56" s="1"/>
  <c r="L19" i="56" s="1"/>
  <c r="F17" i="47"/>
  <c r="N293" i="46"/>
  <c r="Q282" i="46"/>
  <c r="I51" i="42"/>
  <c r="H22" i="47" s="1"/>
  <c r="H23" i="47" s="1"/>
  <c r="D17" i="47"/>
  <c r="N292" i="46"/>
  <c r="I282" i="56"/>
  <c r="Q282" i="56" s="1"/>
  <c r="M283" i="46"/>
  <c r="M279" i="56"/>
  <c r="N279" i="56"/>
  <c r="O279" i="56"/>
  <c r="P279" i="56"/>
  <c r="I31" i="46"/>
  <c r="I264" i="46"/>
  <c r="I259" i="46"/>
  <c r="O61" i="46"/>
  <c r="O11" i="46" s="1"/>
  <c r="G61" i="46"/>
  <c r="G11" i="46" s="1"/>
  <c r="D11" i="46"/>
  <c r="F268" i="46"/>
  <c r="F19" i="46" s="1"/>
  <c r="F51" i="42"/>
  <c r="E22" i="47" s="1"/>
  <c r="E23" i="47" s="1"/>
  <c r="H51" i="42"/>
  <c r="G22" i="47" s="1"/>
  <c r="G23" i="47" s="1"/>
  <c r="G259" i="46"/>
  <c r="H259" i="46"/>
  <c r="G51" i="42"/>
  <c r="F22" i="47" s="1"/>
  <c r="P61" i="46"/>
  <c r="P11" i="46" s="1"/>
  <c r="H61" i="46"/>
  <c r="N61" i="46"/>
  <c r="N11" i="46" s="1"/>
  <c r="F61" i="46"/>
  <c r="N27" i="46"/>
  <c r="N31" i="46" s="1"/>
  <c r="F31" i="46"/>
  <c r="H295" i="46"/>
  <c r="H268" i="46"/>
  <c r="H19" i="46" s="1"/>
  <c r="P27" i="46"/>
  <c r="P31" i="46" s="1"/>
  <c r="H31" i="46"/>
  <c r="F295" i="46"/>
  <c r="G295" i="46"/>
  <c r="G268" i="46"/>
  <c r="O27" i="46"/>
  <c r="O31" i="46" s="1"/>
  <c r="G31" i="46"/>
  <c r="E295" i="46"/>
  <c r="M61" i="46"/>
  <c r="M11" i="46" s="1"/>
  <c r="E61" i="46"/>
  <c r="M31" i="46"/>
  <c r="E31" i="46"/>
  <c r="E268" i="46"/>
  <c r="M268" i="46"/>
  <c r="E259" i="46"/>
  <c r="E51" i="42"/>
  <c r="Q259" i="56" l="1"/>
  <c r="H160" i="56"/>
  <c r="H14" i="56"/>
  <c r="G160" i="56"/>
  <c r="G14" i="56"/>
  <c r="F268" i="56"/>
  <c r="F269" i="56" s="1"/>
  <c r="E268" i="56"/>
  <c r="F160" i="56"/>
  <c r="F14" i="56"/>
  <c r="M251" i="56"/>
  <c r="I160" i="56"/>
  <c r="M221" i="46"/>
  <c r="Q16" i="56"/>
  <c r="Q93" i="56"/>
  <c r="P16" i="56"/>
  <c r="I14" i="46"/>
  <c r="I16" i="46"/>
  <c r="H221" i="46"/>
  <c r="G58" i="47" s="1"/>
  <c r="F15" i="46"/>
  <c r="I62" i="56"/>
  <c r="F16" i="46"/>
  <c r="Q160" i="46"/>
  <c r="M160" i="46"/>
  <c r="P160" i="46"/>
  <c r="G15" i="46"/>
  <c r="F14" i="46"/>
  <c r="L14" i="46"/>
  <c r="L21" i="46" s="1"/>
  <c r="E251" i="56"/>
  <c r="O160" i="46"/>
  <c r="E99" i="46"/>
  <c r="D47" i="47" s="1"/>
  <c r="O15" i="56"/>
  <c r="N221" i="46"/>
  <c r="E93" i="56"/>
  <c r="H14" i="46"/>
  <c r="N160" i="46"/>
  <c r="P14" i="46"/>
  <c r="H98" i="46"/>
  <c r="H99" i="46" s="1"/>
  <c r="G47" i="47" s="1"/>
  <c r="N62" i="56"/>
  <c r="F17" i="46"/>
  <c r="O14" i="46"/>
  <c r="E32" i="56"/>
  <c r="I99" i="46"/>
  <c r="H47" i="47" s="1"/>
  <c r="G98" i="46"/>
  <c r="G99" i="46" s="1"/>
  <c r="F47" i="47" s="1"/>
  <c r="H12" i="56"/>
  <c r="F99" i="46"/>
  <c r="E47" i="47" s="1"/>
  <c r="Q251" i="56"/>
  <c r="M14" i="46"/>
  <c r="Q32" i="56"/>
  <c r="N221" i="56"/>
  <c r="O251" i="56"/>
  <c r="G251" i="56"/>
  <c r="P12" i="56"/>
  <c r="F11" i="56"/>
  <c r="E62" i="56"/>
  <c r="Q221" i="46"/>
  <c r="Q62" i="56"/>
  <c r="F251" i="56"/>
  <c r="G17" i="46"/>
  <c r="M62" i="56"/>
  <c r="F191" i="56"/>
  <c r="Q191" i="56"/>
  <c r="I191" i="56"/>
  <c r="H32" i="56"/>
  <c r="N10" i="56"/>
  <c r="F32" i="56"/>
  <c r="G15" i="56"/>
  <c r="G16" i="46"/>
  <c r="F12" i="56"/>
  <c r="N14" i="46"/>
  <c r="E191" i="56"/>
  <c r="O16" i="46"/>
  <c r="M15" i="56"/>
  <c r="P16" i="46"/>
  <c r="G16" i="56"/>
  <c r="N17" i="56"/>
  <c r="P15" i="56"/>
  <c r="P251" i="56"/>
  <c r="F16" i="56"/>
  <c r="H16" i="56"/>
  <c r="H62" i="56"/>
  <c r="P62" i="56"/>
  <c r="E269" i="56"/>
  <c r="O221" i="56"/>
  <c r="H268" i="56"/>
  <c r="H269" i="56" s="1"/>
  <c r="G62" i="56"/>
  <c r="O62" i="56"/>
  <c r="H17" i="56"/>
  <c r="G268" i="56"/>
  <c r="G269" i="56" s="1"/>
  <c r="N259" i="56"/>
  <c r="N260" i="56" s="1"/>
  <c r="I268" i="56"/>
  <c r="I269" i="56" s="1"/>
  <c r="E221" i="56"/>
  <c r="I221" i="56"/>
  <c r="N15" i="56"/>
  <c r="E260" i="56"/>
  <c r="E16" i="46"/>
  <c r="M93" i="56"/>
  <c r="O93" i="56"/>
  <c r="I93" i="56"/>
  <c r="M16" i="56"/>
  <c r="O18" i="56"/>
  <c r="Q14" i="46"/>
  <c r="P259" i="56"/>
  <c r="I18" i="56"/>
  <c r="N93" i="56"/>
  <c r="G93" i="56"/>
  <c r="I17" i="56"/>
  <c r="I32" i="56"/>
  <c r="H191" i="56"/>
  <c r="M18" i="56"/>
  <c r="M260" i="56"/>
  <c r="Q18" i="56"/>
  <c r="Q260" i="56"/>
  <c r="N17" i="46"/>
  <c r="Q93" i="46"/>
  <c r="Q62" i="46"/>
  <c r="F260" i="46"/>
  <c r="E60" i="47" s="1"/>
  <c r="I17" i="46"/>
  <c r="E295" i="56"/>
  <c r="E296" i="56" s="1"/>
  <c r="L20" i="56"/>
  <c r="Q17" i="46"/>
  <c r="N15" i="46"/>
  <c r="N295" i="56"/>
  <c r="N296" i="56" s="1"/>
  <c r="F295" i="56"/>
  <c r="F296" i="56" s="1"/>
  <c r="G295" i="56"/>
  <c r="G19" i="56" s="1"/>
  <c r="O295" i="56"/>
  <c r="O296" i="56" s="1"/>
  <c r="N295" i="46"/>
  <c r="N296" i="46" s="1"/>
  <c r="I295" i="56"/>
  <c r="I19" i="56" s="1"/>
  <c r="M295" i="56"/>
  <c r="M296" i="56" s="1"/>
  <c r="I296" i="46"/>
  <c r="H63" i="47" s="1"/>
  <c r="M295" i="46"/>
  <c r="M20" i="46" s="1"/>
  <c r="P295" i="46"/>
  <c r="P20" i="46" s="1"/>
  <c r="O295" i="46"/>
  <c r="O296" i="46" s="1"/>
  <c r="H295" i="56"/>
  <c r="H296" i="56" s="1"/>
  <c r="P295" i="56"/>
  <c r="P296" i="56" s="1"/>
  <c r="Q295" i="46"/>
  <c r="Q20" i="46" s="1"/>
  <c r="I93" i="46"/>
  <c r="H51" i="47" s="1"/>
  <c r="Q32" i="46"/>
  <c r="I62" i="46"/>
  <c r="H46" i="47" s="1"/>
  <c r="Q15" i="46"/>
  <c r="M17" i="46"/>
  <c r="I15" i="46"/>
  <c r="H54" i="47"/>
  <c r="I53" i="42"/>
  <c r="Q295" i="56"/>
  <c r="Q19" i="56" s="1"/>
  <c r="I260" i="46"/>
  <c r="H60" i="47" s="1"/>
  <c r="I18" i="46"/>
  <c r="E15" i="46"/>
  <c r="Q264" i="46"/>
  <c r="Q268" i="46" s="1"/>
  <c r="Q269" i="46" s="1"/>
  <c r="I268" i="46"/>
  <c r="H17" i="46"/>
  <c r="E17" i="46"/>
  <c r="M15" i="46"/>
  <c r="H15" i="46"/>
  <c r="N62" i="46"/>
  <c r="P62" i="46"/>
  <c r="H11" i="46"/>
  <c r="F269" i="46"/>
  <c r="E11" i="46"/>
  <c r="O62" i="46"/>
  <c r="M62" i="46"/>
  <c r="F11" i="46"/>
  <c r="P32" i="46"/>
  <c r="P10" i="46"/>
  <c r="M32" i="46"/>
  <c r="M10" i="46"/>
  <c r="N32" i="46"/>
  <c r="N10" i="46"/>
  <c r="O32" i="46"/>
  <c r="O10" i="46"/>
  <c r="F24" i="47"/>
  <c r="H24" i="47"/>
  <c r="H53" i="42"/>
  <c r="F53" i="42"/>
  <c r="H93" i="46"/>
  <c r="G51" i="47" s="1"/>
  <c r="H62" i="46"/>
  <c r="G46" i="47" s="1"/>
  <c r="P93" i="46"/>
  <c r="H269" i="46"/>
  <c r="G54" i="47"/>
  <c r="F93" i="46"/>
  <c r="E51" i="47" s="1"/>
  <c r="H18" i="46"/>
  <c r="H260" i="46"/>
  <c r="G60" i="47" s="1"/>
  <c r="G24" i="47"/>
  <c r="F23" i="47"/>
  <c r="E54" i="47"/>
  <c r="G53" i="42"/>
  <c r="G260" i="46"/>
  <c r="F60" i="47" s="1"/>
  <c r="G18" i="46"/>
  <c r="F62" i="46"/>
  <c r="E46" i="47" s="1"/>
  <c r="H296" i="46"/>
  <c r="G63" i="47" s="1"/>
  <c r="H20" i="46"/>
  <c r="N12" i="46"/>
  <c r="N93" i="46"/>
  <c r="F20" i="46"/>
  <c r="F296" i="46"/>
  <c r="E63" i="47" s="1"/>
  <c r="N268" i="46"/>
  <c r="O268" i="46"/>
  <c r="O269" i="46" s="1"/>
  <c r="P15" i="46"/>
  <c r="O12" i="46"/>
  <c r="O93" i="46"/>
  <c r="O17" i="46"/>
  <c r="G12" i="46"/>
  <c r="G93" i="46"/>
  <c r="F51" i="47" s="1"/>
  <c r="G62" i="46"/>
  <c r="F46" i="47" s="1"/>
  <c r="P17" i="46"/>
  <c r="G20" i="46"/>
  <c r="G296" i="46"/>
  <c r="F63" i="47" s="1"/>
  <c r="P268" i="46"/>
  <c r="O15" i="46"/>
  <c r="G269" i="46"/>
  <c r="G19" i="46"/>
  <c r="F54" i="47"/>
  <c r="G14" i="46"/>
  <c r="E14" i="46"/>
  <c r="D54" i="47"/>
  <c r="E53" i="42"/>
  <c r="D22" i="47"/>
  <c r="E62" i="46"/>
  <c r="D46" i="47" s="1"/>
  <c r="E19" i="46"/>
  <c r="E269" i="46"/>
  <c r="E18" i="46"/>
  <c r="E260" i="46"/>
  <c r="D60" i="47" s="1"/>
  <c r="M93" i="46"/>
  <c r="M12" i="46"/>
  <c r="E296" i="46"/>
  <c r="D63" i="47" s="1"/>
  <c r="E20" i="46"/>
  <c r="E12" i="46"/>
  <c r="E93" i="46"/>
  <c r="D51" i="47" s="1"/>
  <c r="M269" i="46"/>
  <c r="M19" i="46"/>
  <c r="N18" i="56" l="1"/>
  <c r="P260" i="56"/>
  <c r="P18" i="56"/>
  <c r="G296" i="56"/>
  <c r="O20" i="46"/>
  <c r="O19" i="56"/>
  <c r="C31" i="47"/>
  <c r="C37" i="47" s="1"/>
  <c r="N19" i="56"/>
  <c r="M296" i="46"/>
  <c r="E19" i="56"/>
  <c r="P296" i="46"/>
  <c r="F19" i="56"/>
  <c r="I296" i="56"/>
  <c r="N20" i="46"/>
  <c r="M19" i="56"/>
  <c r="H19" i="56"/>
  <c r="P19" i="56"/>
  <c r="Q296" i="46"/>
  <c r="Q19" i="46"/>
  <c r="Q21" i="46" s="1"/>
  <c r="Q296" i="56"/>
  <c r="I54" i="42"/>
  <c r="I19" i="46"/>
  <c r="I269" i="46"/>
  <c r="Q20" i="56"/>
  <c r="M21" i="46"/>
  <c r="H54" i="42"/>
  <c r="G54" i="42"/>
  <c r="O19" i="46"/>
  <c r="N269" i="46"/>
  <c r="N19" i="46"/>
  <c r="P269" i="46"/>
  <c r="P19" i="46"/>
  <c r="P21" i="46" s="1"/>
  <c r="E24" i="47"/>
  <c r="D23" i="47"/>
  <c r="D24" i="47"/>
  <c r="F54" i="42"/>
  <c r="E54" i="42"/>
  <c r="O21" i="46" l="1"/>
  <c r="O20" i="56"/>
  <c r="F31" i="47" s="1"/>
  <c r="F37" i="47" s="1"/>
  <c r="F38" i="47" s="1"/>
  <c r="N20" i="56"/>
  <c r="E31" i="47" s="1"/>
  <c r="E37" i="47" s="1"/>
  <c r="E38" i="47" s="1"/>
  <c r="N21" i="46"/>
  <c r="P20" i="56"/>
  <c r="G31" i="47" s="1"/>
  <c r="G37" i="47" s="1"/>
  <c r="G38" i="47" s="1"/>
  <c r="H31" i="47"/>
  <c r="H37" i="47" s="1"/>
  <c r="H38" i="47" s="1"/>
  <c r="M20" i="56"/>
  <c r="D31" i="47" s="1"/>
  <c r="D37" i="47" s="1"/>
  <c r="D10" i="46"/>
  <c r="F32" i="46"/>
  <c r="E45" i="47" s="1"/>
  <c r="I10" i="46"/>
  <c r="I32" i="46"/>
  <c r="H45" i="47" s="1"/>
  <c r="H10" i="46"/>
  <c r="E10" i="46"/>
  <c r="E32" i="46"/>
  <c r="D45" i="47" s="1"/>
  <c r="H32" i="46"/>
  <c r="G45" i="47" s="1"/>
  <c r="G10" i="46"/>
  <c r="G32" i="46"/>
  <c r="F45" i="47" s="1"/>
  <c r="F10" i="46"/>
  <c r="G32" i="47" l="1"/>
  <c r="F32" i="47"/>
  <c r="F39" i="47"/>
  <c r="G33" i="47"/>
  <c r="E32" i="47"/>
  <c r="G39" i="47"/>
  <c r="H39" i="47"/>
  <c r="D39" i="47"/>
  <c r="D38" i="47"/>
  <c r="D32" i="47"/>
  <c r="H33" i="47"/>
  <c r="D33" i="47"/>
  <c r="E33" i="47"/>
  <c r="H32" i="47"/>
  <c r="E39" i="47"/>
  <c r="F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8EAF57E0-FAC2-4B5E-AD36-EEA2FDAA1EA1}">
      <text>
        <r>
          <rPr>
            <b/>
            <sz val="9"/>
            <color indexed="81"/>
            <rFont val="Tahoma"/>
            <family val="2"/>
          </rPr>
          <t>Author:</t>
        </r>
        <r>
          <rPr>
            <sz val="9"/>
            <color indexed="81"/>
            <rFont val="Tahoma"/>
            <family val="2"/>
          </rPr>
          <t xml:space="preserve">
0,1 and 2 years completed as a consultant
</t>
        </r>
      </text>
    </comment>
    <comment ref="B46" authorId="0" shapeId="0" xr:uid="{8363A550-FCAD-445C-8FE9-D27417B96AF8}">
      <text>
        <r>
          <rPr>
            <b/>
            <sz val="9"/>
            <color indexed="81"/>
            <rFont val="Tahoma"/>
            <family val="2"/>
          </rPr>
          <t>Author:</t>
        </r>
        <r>
          <rPr>
            <sz val="9"/>
            <color indexed="81"/>
            <rFont val="Tahoma"/>
            <family val="2"/>
          </rPr>
          <t xml:space="preserve">
4 to 13 years completed as a consultant (average pay)
</t>
        </r>
      </text>
    </comment>
    <comment ref="B47" authorId="0" shapeId="0" xr:uid="{A8AAAACB-43A4-4A66-8FC3-8013B2F8D4FF}">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<sst xmlns="http://schemas.openxmlformats.org/spreadsheetml/2006/main" count="2962" uniqueCount="1189">
  <si>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</si>
  <si>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</si>
  <si>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</si>
  <si>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</si>
  <si>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</si>
  <si>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</si>
  <si>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</si>
  <si>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</si>
  <si>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</si>
  <si>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</si>
  <si>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</si>
  <si>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</si>
  <si>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</si>
  <si>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</si>
  <si>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</si>
  <si>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</si>
  <si>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</si>
  <si>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</si>
  <si>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</si>
  <si>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</si>
  <si>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</si>
  <si>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</si>
  <si>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</si>
  <si>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</si>
  <si>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</si>
  <si>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</si>
  <si>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</si>
  <si>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</si>
  <si>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</si>
  <si>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</si>
  <si>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</si>
  <si>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</si>
  <si>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</si>
  <si>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</si>
  <si>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</si>
  <si>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</si>
  <si>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</si>
  <si>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</si>
  <si>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</si>
  <si>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</si>
  <si>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</si>
  <si>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</si>
  <si>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</si>
  <si>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</si>
  <si>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</si>
  <si>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</si>
  <si>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</si>
  <si>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</si>
  <si>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</si>
  <si>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</si>
  <si>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</si>
  <si>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</si>
  <si>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</si>
  <si>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</si>
  <si>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</si>
  <si>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</si>
  <si>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</si>
  <si>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</si>
  <si>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</si>
  <si>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</si>
  <si>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</si>
  <si>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</si>
  <si>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</si>
  <si>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</si>
  <si>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</si>
  <si>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</si>
  <si>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</si>
  <si>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</si>
  <si>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</si>
  <si>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</si>
  <si>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</si>
  <si>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</si>
  <si>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</si>
  <si>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</si>
  <si>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</si>
  <si>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</si>
  <si>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</si>
  <si>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</si>
  <si>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</si>
  <si>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</si>
  <si>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</si>
  <si>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</si>
  <si>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</si>
  <si>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</si>
  <si>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</si>
  <si>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</si>
  <si>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</si>
  <si>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</si>
  <si>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</si>
  <si>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</si>
  <si>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</si>
  <si>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</si>
  <si>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</si>
  <si>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</si>
  <si>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</si>
  <si>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</si>
  <si>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</si>
  <si>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</si>
  <si>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</si>
  <si>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</si>
  <si>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</si>
  <si>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</si>
  <si>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</si>
  <si>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</si>
  <si>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</si>
  <si>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</si>
  <si>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</si>
  <si>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</si>
  <si>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</si>
  <si>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</si>
  <si>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</si>
  <si>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</si>
  <si>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</si>
  <si>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</si>
  <si>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</si>
  <si>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</si>
  <si>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</si>
  <si>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</si>
  <si>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</si>
  <si>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</si>
  <si>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</si>
  <si>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</si>
  <si>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</si>
  <si>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</si>
  <si>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</si>
  <si>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</si>
  <si>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</si>
  <si>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</si>
  <si>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</si>
  <si>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</si>
  <si>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</si>
  <si>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</si>
  <si>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</si>
  <si>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</si>
  <si>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</si>
  <si>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</si>
  <si>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</si>
  <si>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</si>
  <si>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</si>
  <si>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</si>
  <si>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</si>
  <si>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</si>
  <si>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</si>
  <si>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</si>
  <si>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</si>
  <si>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</si>
  <si>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</si>
  <si>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</si>
  <si>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</si>
  <si>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</si>
  <si>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</si>
  <si>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</si>
  <si>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</si>
  <si>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</si>
  <si>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</si>
  <si>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</si>
  <si>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</si>
  <si>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</si>
  <si>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</si>
  <si>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</si>
  <si>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</si>
  <si>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</si>
  <si>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</si>
  <si>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</si>
  <si>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</si>
  <si>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</si>
  <si>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</si>
  <si>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</si>
  <si>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</si>
  <si>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</si>
  <si>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</si>
  <si>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</si>
  <si>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</si>
  <si>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</si>
  <si>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</si>
  <si>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</si>
  <si>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</si>
  <si>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</si>
  <si>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</si>
  <si>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</si>
  <si>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</si>
  <si>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</si>
  <si>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</si>
  <si>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</si>
  <si>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</si>
  <si>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</si>
  <si>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</si>
  <si>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</si>
  <si>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</si>
  <si>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</si>
  <si>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</si>
  <si>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</si>
  <si>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</si>
  <si>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</si>
  <si>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</si>
  <si>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</si>
  <si>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</si>
  <si>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</si>
  <si>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</si>
  <si>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</si>
  <si>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</si>
  <si>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</si>
  <si>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</si>
  <si>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</si>
  <si>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</si>
  <si>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</si>
  <si>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</si>
  <si>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</si>
  <si>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</si>
  <si>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</si>
  <si>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</si>
  <si>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</si>
  <si>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</si>
  <si>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</si>
  <si>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</si>
  <si>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</si>
  <si>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</si>
  <si>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</si>
  <si>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</si>
  <si>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</si>
  <si>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</si>
  <si>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</si>
  <si>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</si>
  <si>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</si>
  <si>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</si>
  <si>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</si>
  <si>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</si>
  <si>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</si>
  <si>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</si>
  <si>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</si>
  <si>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</si>
  <si>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</si>
  <si>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</si>
  <si>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</si>
  <si>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</si>
  <si>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</si>
  <si>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</si>
  <si>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</si>
  <si>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</si>
  <si>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</si>
  <si>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</si>
  <si>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</si>
  <si>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</si>
  <si>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</si>
  <si>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</si>
  <si>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</si>
  <si>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</si>
  <si>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</si>
  <si>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</si>
  <si>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</si>
  <si>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</si>
  <si>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</si>
  <si>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</si>
  <si>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</si>
  <si>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</si>
  <si>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</si>
  <si>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</si>
  <si>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</si>
  <si>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</si>
  <si>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</si>
  <si>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</si>
  <si>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</si>
  <si>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</si>
  <si>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</si>
  <si>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</si>
  <si>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</si>
  <si>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</si>
  <si>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</si>
  <si>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</si>
  <si>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</si>
  <si>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</si>
  <si>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</si>
  <si>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</si>
  <si>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</si>
  <si>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</si>
  <si>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</si>
  <si>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</si>
  <si>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</si>
  <si>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</si>
  <si>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</si>
  <si>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</si>
  <si>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</si>
  <si>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</si>
  <si>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</si>
  <si>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</si>
  <si>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</si>
  <si>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</si>
  <si>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</si>
  <si>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</si>
  <si>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</si>
  <si>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</si>
  <si>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</si>
  <si>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</si>
  <si>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</si>
  <si>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</si>
  <si>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</si>
  <si>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</si>
  <si>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</si>
  <si>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</si>
  <si>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</si>
  <si>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</si>
  <si>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</si>
  <si>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</si>
  <si>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</si>
  <si>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</si>
  <si>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</si>
  <si>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</si>
  <si>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</si>
  <si>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</si>
  <si>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</si>
  <si>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</si>
  <si>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</si>
  <si>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</si>
  <si>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</si>
  <si>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</si>
  <si>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</si>
  <si>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</si>
  <si>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</si>
  <si>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</si>
  <si>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</si>
  <si>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</si>
  <si>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</si>
  <si>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</si>
  <si>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</si>
  <si>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</si>
  <si>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</si>
  <si>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</si>
  <si>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</si>
  <si>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</si>
  <si>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</si>
  <si>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</si>
  <si>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</si>
  <si>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</si>
  <si>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</si>
  <si>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</si>
  <si>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</si>
  <si>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</si>
  <si>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</si>
  <si>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</si>
  <si>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</si>
  <si>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</si>
  <si>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</si>
  <si>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</si>
  <si>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</si>
  <si>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</si>
  <si>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</si>
  <si>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</si>
  <si>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</si>
  <si>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</si>
  <si>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</si>
  <si>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</si>
  <si>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</si>
  <si>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</si>
  <si>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</si>
  <si>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</si>
  <si>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</si>
  <si>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</si>
  <si>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</si>
  <si>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</si>
  <si>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</si>
  <si>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</si>
  <si>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</si>
  <si>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</si>
  <si>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</si>
  <si>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</si>
  <si>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</si>
  <si>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</si>
  <si>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</si>
  <si>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</si>
  <si>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</si>
  <si>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</si>
  <si>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</si>
  <si>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</si>
  <si>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</si>
  <si>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</si>
  <si>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</si>
  <si>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</si>
  <si>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</si>
  <si>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</si>
  <si>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</si>
  <si>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</si>
  <si>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</si>
  <si>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</si>
  <si>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</si>
  <si>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</si>
  <si>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</si>
  <si>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</si>
  <si>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</si>
  <si>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</si>
  <si>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</si>
  <si>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</si>
  <si>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</si>
  <si>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</si>
  <si>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</si>
  <si>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</si>
  <si>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</si>
  <si>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</si>
  <si>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</si>
  <si>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</si>
  <si>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</si>
  <si>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</si>
  <si>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</si>
  <si>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</si>
  <si>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</si>
  <si>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</si>
  <si>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</si>
  <si>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</si>
  <si>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</si>
  <si>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</si>
  <si>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</si>
  <si>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</si>
  <si>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</si>
  <si>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</si>
  <si>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</si>
  <si>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</si>
  <si>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</si>
  <si>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</si>
  <si>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</si>
  <si>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</si>
  <si>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</si>
  <si>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</si>
  <si>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</si>
  <si>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</si>
  <si>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</si>
  <si>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</si>
  <si>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</si>
  <si>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</si>
  <si>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</si>
  <si>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</si>
  <si>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</si>
  <si>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</si>
  <si>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</si>
  <si>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</si>
  <si>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</si>
  <si>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</si>
  <si>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</si>
  <si>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</si>
  <si>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</si>
  <si>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</si>
  <si>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</si>
  <si>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</si>
  <si>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</si>
  <si>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</si>
  <si>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</si>
  <si>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</si>
  <si>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</si>
  <si>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</si>
  <si>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</si>
  <si>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</si>
  <si>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</si>
  <si>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</si>
  <si>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</si>
  <si>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</si>
  <si>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</si>
  <si>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</si>
  <si>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</si>
  <si>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</si>
  <si>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</si>
  <si>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</si>
  <si>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</si>
  <si>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</si>
  <si>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</si>
  <si>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</si>
  <si>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</si>
  <si>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</si>
  <si>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</si>
  <si>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</si>
  <si>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</si>
  <si>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</si>
  <si>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</si>
  <si>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</si>
  <si>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</si>
  <si>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</si>
  <si>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</si>
  <si>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</si>
  <si>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</si>
  <si>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</si>
  <si>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</si>
  <si>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</si>
  <si>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</si>
  <si>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</si>
  <si>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</si>
  <si>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</si>
  <si>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</si>
  <si>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</si>
  <si>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</si>
  <si>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</si>
  <si>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</si>
  <si>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</si>
  <si>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</si>
  <si>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</si>
  <si>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</si>
  <si>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</si>
  <si>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</si>
  <si>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</si>
  <si>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</si>
  <si>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</si>
  <si>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</si>
  <si>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</si>
  <si>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</si>
  <si>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</si>
  <si>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</si>
  <si>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</si>
  <si>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</si>
  <si>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</si>
  <si>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</si>
  <si>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</si>
  <si>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</si>
  <si>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</si>
  <si>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</si>
  <si>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</si>
  <si>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</si>
  <si>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</si>
  <si>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</si>
  <si>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</si>
  <si>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</si>
  <si>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</si>
  <si>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</si>
  <si>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</si>
  <si>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</si>
  <si>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</si>
  <si>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</si>
  <si>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</si>
  <si>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</si>
  <si>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</si>
  <si>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</si>
  <si>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</si>
  <si>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</si>
  <si>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</si>
  <si>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</si>
  <si>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</si>
  <si>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</si>
  <si>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</si>
  <si>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</si>
  <si>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</si>
  <si>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</si>
  <si>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</si>
  <si>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</si>
  <si>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</si>
  <si>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</si>
  <si>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</si>
  <si>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</si>
  <si>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</si>
  <si>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</si>
  <si>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</si>
  <si>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</si>
  <si>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</si>
  <si>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</si>
  <si>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</si>
  <si>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</si>
  <si>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</si>
  <si>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</si>
  <si>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</si>
  <si>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</si>
  <si>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</si>
  <si>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</si>
  <si>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</si>
  <si>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</si>
  <si>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</si>
  <si>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</si>
  <si>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</si>
  <si>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</si>
  <si>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</si>
  <si>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</si>
  <si>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</si>
  <si>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</si>
  <si>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</si>
  <si>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</si>
  <si>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</si>
  <si>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</si>
  <si>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</si>
  <si>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</si>
  <si>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</si>
  <si>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</si>
  <si>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</si>
  <si>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</si>
  <si>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</si>
  <si>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</si>
  <si>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</si>
  <si>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</si>
  <si>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</si>
  <si>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</si>
  <si>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</si>
  <si>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</si>
  <si>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</si>
  <si>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</si>
  <si>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</si>
  <si>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</si>
  <si>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</si>
  <si>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</si>
  <si>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</si>
  <si>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</si>
  <si>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</si>
  <si>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</si>
  <si>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</si>
  <si>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</si>
  <si>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</si>
  <si>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</si>
  <si>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</si>
  <si>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</si>
  <si>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</si>
  <si>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</si>
  <si>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</si>
  <si>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</si>
  <si>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</si>
  <si>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</si>
  <si>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</si>
  <si>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</si>
  <si>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</si>
  <si>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</si>
  <si>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</si>
  <si>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</si>
  <si>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</si>
  <si>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</si>
  <si>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</si>
  <si>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</si>
  <si>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</si>
  <si>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</si>
  <si>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</si>
  <si>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</si>
  <si>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</si>
  <si>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</si>
  <si>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</si>
  <si>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</si>
  <si>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</si>
  <si>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</si>
  <si>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</si>
  <si>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</si>
  <si>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</si>
  <si>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</si>
  <si>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</si>
  <si>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</si>
  <si>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</si>
  <si>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</si>
  <si>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</si>
  <si>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</si>
  <si>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</si>
  <si>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</si>
  <si>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</si>
  <si>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</si>
  <si>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</si>
  <si>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</si>
  <si>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</si>
  <si>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</si>
  <si>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</si>
  <si>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</si>
  <si>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</si>
  <si>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</si>
  <si>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</si>
  <si>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</si>
  <si>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</si>
  <si>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</si>
  <si>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</si>
  <si>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</si>
  <si>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</si>
  <si>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</si>
  <si>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</si>
  <si>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</si>
  <si>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</si>
  <si>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</si>
  <si>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</si>
  <si>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</si>
  <si>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</si>
  <si>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</si>
  <si>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</si>
  <si>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</si>
  <si>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</si>
  <si>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</si>
  <si>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</si>
  <si>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</si>
  <si>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</si>
  <si>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</si>
  <si>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</si>
  <si>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</si>
  <si>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</si>
  <si>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</si>
  <si>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</si>
  <si>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</si>
  <si>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</si>
  <si>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</si>
  <si>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</si>
  <si>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</si>
  <si>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</si>
  <si>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</si>
  <si>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cycles year 2</t>
  </si>
  <si>
    <t>cycles year 3</t>
  </si>
  <si>
    <t>cycles year 4</t>
  </si>
  <si>
    <t>cycles year 5</t>
  </si>
  <si>
    <t>total</t>
  </si>
  <si>
    <t>Drug</t>
  </si>
  <si>
    <t>Strength, container type, quantity</t>
  </si>
  <si>
    <t>Price</t>
  </si>
  <si>
    <t>VAT rate applicable</t>
  </si>
  <si>
    <t>Source</t>
  </si>
  <si>
    <t>In a world with the new options</t>
  </si>
  <si>
    <t>Current, year 0</t>
  </si>
  <si>
    <t>year 1</t>
  </si>
  <si>
    <t>year 2</t>
  </si>
  <si>
    <t>year 3</t>
  </si>
  <si>
    <t>year 4</t>
  </si>
  <si>
    <t>year 5</t>
  </si>
  <si>
    <t>Capacity requirements</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</si>
  <si>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</si>
  <si>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</si>
  <si>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</si>
  <si>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</si>
  <si>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</si>
  <si>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</si>
  <si>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</si>
  <si>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</si>
  <si>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Time per first attendance</t>
  </si>
  <si>
    <t>Staff time per appointment (minutes)</t>
  </si>
  <si>
    <t>Consultant mid</t>
  </si>
  <si>
    <t>Number of follow up attendances</t>
  </si>
  <si>
    <t>Time per follow up attendance</t>
  </si>
  <si>
    <t>Band 7 Mid</t>
  </si>
  <si>
    <t>pharmacy</t>
  </si>
  <si>
    <t>handling time per prep</t>
  </si>
  <si>
    <t>Drug regimen prep (mins)</t>
  </si>
  <si>
    <t>Band 8a Mid</t>
  </si>
  <si>
    <t>per patient/yr.</t>
  </si>
  <si>
    <t>pathology / diagnostics / radiology</t>
  </si>
  <si>
    <t>Staff time per test (minutes)</t>
  </si>
  <si>
    <t>Band 6 Mid</t>
  </si>
  <si>
    <t>Adverse events</t>
  </si>
  <si>
    <t>Adverse events, various (rate of cases)</t>
  </si>
  <si>
    <t>See Unit costs tab</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</si>
  <si>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</si>
  <si>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</si>
  <si>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</si>
  <si>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</si>
  <si>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</si>
  <si>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</si>
  <si>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</si>
  <si>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</si>
  <si>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</si>
  <si>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</si>
  <si>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</si>
  <si>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</si>
  <si>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</si>
  <si>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Pack</t>
  </si>
  <si>
    <t>Dosage and cost</t>
  </si>
  <si>
    <t>Regimen</t>
  </si>
  <si>
    <t>Drug name</t>
  </si>
  <si>
    <t>Admin method</t>
  </si>
  <si>
    <t>Pack type</t>
  </si>
  <si>
    <t>Strength (mg)</t>
  </si>
  <si>
    <t>Quantity in pack</t>
  </si>
  <si>
    <t>Total pack contents (mg)</t>
  </si>
  <si>
    <t>Weight (kg)</t>
  </si>
  <si>
    <t>Total number of packs required</t>
  </si>
  <si>
    <t>Cost per pack</t>
  </si>
  <si>
    <t>VAT rate</t>
  </si>
  <si>
    <t>Annual cost</t>
  </si>
  <si>
    <t>n/a</t>
  </si>
  <si>
    <t>&lt;spare row&gt;</t>
  </si>
  <si>
    <t>All components</t>
  </si>
  <si>
    <t>Treatment option</t>
  </si>
  <si>
    <t>HRG code</t>
  </si>
  <si>
    <t>HRG description</t>
  </si>
  <si>
    <t>Tariff</t>
  </si>
  <si>
    <t>Based on 2023-25 NHS England national tariff payment system –  24-25 prices</t>
  </si>
  <si>
    <t xml:space="preserve">National  </t>
  </si>
  <si>
    <t xml:space="preserve">prices </t>
  </si>
  <si>
    <t>are</t>
  </si>
  <si>
    <t>used</t>
  </si>
  <si>
    <t>on the</t>
  </si>
  <si>
    <t>left.</t>
  </si>
  <si>
    <t>Based on 2023-25 National Tariff Payment System –  24-25 prices</t>
  </si>
  <si>
    <t>Local</t>
  </si>
  <si>
    <t>prices</t>
  </si>
  <si>
    <t xml:space="preserve">can be </t>
  </si>
  <si>
    <t>Appointments with x specialist</t>
  </si>
  <si>
    <t xml:space="preserve">used as </t>
  </si>
  <si>
    <t>all options</t>
  </si>
  <si>
    <t>alternative.</t>
  </si>
  <si>
    <t>The</t>
  </si>
  <si>
    <t xml:space="preserve">selection </t>
  </si>
  <si>
    <t>between</t>
  </si>
  <si>
    <t xml:space="preserve">using </t>
  </si>
  <si>
    <t>local or</t>
  </si>
  <si>
    <t>national</t>
  </si>
  <si>
    <t>is made</t>
  </si>
  <si>
    <t>summary</t>
  </si>
  <si>
    <t>worksheet.</t>
  </si>
  <si>
    <t>Adverse events, annual costs and rates</t>
  </si>
  <si>
    <t>Event</t>
  </si>
  <si>
    <t>Unit cost (£) 
national prices</t>
  </si>
  <si>
    <t>Unit cost (£) local prices</t>
  </si>
  <si>
    <t>Amend data in blue cells locally where necessary.</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</si>
  <si>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</si>
  <si>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</si>
  <si>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</si>
  <si>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</si>
  <si>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</si>
  <si>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</si>
  <si>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</si>
  <si>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</si>
  <si>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</si>
  <si>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</si>
  <si>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</si>
  <si>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</si>
  <si>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</si>
  <si>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</si>
  <si>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</si>
  <si>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</si>
  <si>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</si>
  <si>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</si>
  <si>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</si>
  <si>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</si>
  <si>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</si>
  <si>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</si>
  <si>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</si>
  <si>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Capacity impact on pharmacy</t>
  </si>
  <si>
    <t>Drug regimen prep (hours) - change to current practice</t>
  </si>
  <si>
    <t>Capacity impact on pathology/ radiology /diagnostics</t>
  </si>
  <si>
    <t>Imaging MRI scans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</si>
  <si>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</si>
  <si>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</si>
  <si>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</si>
  <si>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</si>
  <si>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</si>
  <si>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</si>
  <si>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</si>
  <si>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</si>
  <si>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</si>
  <si>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</si>
  <si>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</si>
  <si>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</si>
  <si>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</si>
  <si>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</si>
  <si>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</si>
  <si>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</si>
  <si>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</si>
  <si>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</si>
  <si>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</si>
  <si>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Nursing staffing</t>
  </si>
  <si>
    <t>All options</t>
  </si>
  <si>
    <t>Pharmacy</t>
  </si>
  <si>
    <t>Drug regimen prep (hours)</t>
  </si>
  <si>
    <t>Pathology/ radiology/ diagnostics</t>
  </si>
  <si>
    <t>Genomic tests</t>
  </si>
  <si>
    <t>Genomics staffing impact (hours)</t>
  </si>
  <si>
    <t>Genomics staffing impact per test
 (mins)</t>
  </si>
  <si>
    <t>Adverse events, various (cases)</t>
  </si>
  <si>
    <t>Unit cost</t>
  </si>
  <si>
    <t>Adverse events - change to current practice</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</si>
  <si>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</si>
  <si>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</si>
  <si>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</si>
  <si>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</si>
  <si>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</si>
  <si>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</si>
  <si>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</si>
  <si>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</si>
  <si>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</si>
  <si>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</si>
  <si>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</si>
  <si>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</si>
  <si>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</si>
  <si>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</si>
  <si>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</si>
  <si>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</si>
  <si>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</si>
  <si>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</si>
  <si>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</si>
  <si>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</si>
  <si>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</si>
  <si>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</si>
  <si>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</si>
  <si>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</si>
  <si>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</si>
  <si>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</si>
  <si>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</si>
  <si>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</si>
  <si>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</si>
  <si>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</si>
  <si>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</si>
  <si>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</si>
  <si>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</si>
  <si>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</si>
  <si>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</si>
  <si>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</si>
  <si>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</si>
  <si>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</si>
  <si>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</si>
  <si>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</si>
  <si>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</si>
  <si>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</si>
  <si>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</si>
  <si>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</si>
  <si>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</si>
  <si>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</si>
  <si>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</si>
  <si>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</si>
  <si>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</si>
  <si>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</si>
  <si>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</si>
  <si>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</si>
  <si>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</si>
  <si>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</si>
  <si>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GP Top</t>
  </si>
  <si>
    <t>Payscales</t>
  </si>
  <si>
    <t>Males aged 12 and over</t>
  </si>
  <si>
    <t>Total young adult population based on selection on left</t>
  </si>
  <si>
    <t>Males  aged 12-17</t>
  </si>
  <si>
    <t>Females  aged 12-17</t>
  </si>
  <si>
    <t>12–17 years</t>
  </si>
  <si>
    <t>Population of people aged 12 years and over</t>
  </si>
  <si>
    <r>
      <rPr>
        <b/>
        <sz val="11"/>
        <rFont val="Calibri"/>
        <family val="2"/>
        <scheme val="minor"/>
      </rPr>
      <t>Population</t>
    </r>
    <r>
      <rPr>
        <sz val="11"/>
        <rFont val="Calibri"/>
        <family val="2"/>
        <scheme val="minor"/>
      </rPr>
      <t xml:space="preserve"> forecast at year 5</t>
    </r>
  </si>
  <si>
    <t>Incidence of thyroid cancer</t>
  </si>
  <si>
    <t>Cancer Registration Statistics, England, 2021 - Full release - NHS England Digital</t>
  </si>
  <si>
    <t>Incidence of advanced thyroid cancer</t>
  </si>
  <si>
    <r>
      <t>Population 1</t>
    </r>
    <r>
      <rPr>
        <sz val="11"/>
        <color rgb="FF000000"/>
        <rFont val="Calibri"/>
        <family val="2"/>
        <scheme val="minor"/>
      </rPr>
      <t>. People with medullary thyroid cancer (MTC)</t>
    </r>
  </si>
  <si>
    <t>People with RET mutation</t>
  </si>
  <si>
    <t>Medullary thyroid cancer | Macmillan Cancer Support</t>
  </si>
  <si>
    <t>Efficacy of Selpercatinib in RET-Altered Thyroid Cancers - PubMed (nih.gov)</t>
  </si>
  <si>
    <t>Selpercatinib for advanced thyroid cancer with RET alterations untreated with a targeted cancer drug in people 12 years and over</t>
  </si>
  <si>
    <t>Selpercatinib for advanced thyroid cancer with RET</t>
  </si>
  <si>
    <t xml:space="preserve">alterations untreated with a targeted cancer drug </t>
  </si>
  <si>
    <t>in people 12 years and over</t>
  </si>
  <si>
    <t>Cancer</t>
  </si>
  <si>
    <t xml:space="preserve">Thyroid </t>
  </si>
  <si>
    <t xml:space="preserve">Oral </t>
  </si>
  <si>
    <t xml:space="preserve">NHS hospital trusts </t>
  </si>
  <si>
    <t xml:space="preserve">NHS England </t>
  </si>
  <si>
    <t>Cancers and tumours, 02X</t>
  </si>
  <si>
    <t>Selpercatinib</t>
  </si>
  <si>
    <t xml:space="preserve">packet </t>
  </si>
  <si>
    <t xml:space="preserve">Selpercatinib - people with RET-mutant medulliary thyroid cancer </t>
  </si>
  <si>
    <t>Selpercatinib - people with RET fusion-positive thyroid cancer</t>
  </si>
  <si>
    <t xml:space="preserve">Drug cost workings </t>
  </si>
  <si>
    <t xml:space="preserve">Comparator(s) for those with RET-mutant medullary thyroid cancer </t>
  </si>
  <si>
    <t xml:space="preserve">Comparator(s) for those with RET fusion-positive thyroid cancer </t>
  </si>
  <si>
    <t>Lenvatinib</t>
  </si>
  <si>
    <t>Sorafenib</t>
  </si>
  <si>
    <t>Oral</t>
  </si>
  <si>
    <t>packet</t>
  </si>
  <si>
    <t xml:space="preserve">Selpercatinib </t>
  </si>
  <si>
    <t>company</t>
  </si>
  <si>
    <t xml:space="preserve">All options </t>
  </si>
  <si>
    <t>SB11Z</t>
  </si>
  <si>
    <t>Deliver exclusively oral chemotherapy</t>
  </si>
  <si>
    <t>160 mg orally, twice daily</t>
  </si>
  <si>
    <t>&gt;50kg</t>
  </si>
  <si>
    <t>120 mg orally, twice daily</t>
  </si>
  <si>
    <t>80 mg capsules/ Packsize 112</t>
  </si>
  <si>
    <t>40 mg capsules/ Packsize 168</t>
  </si>
  <si>
    <t>4 mg capsules/ Packsize 30</t>
  </si>
  <si>
    <t>10 mg capsules/ Packsize 30</t>
  </si>
  <si>
    <t>200 mg capsules/Packsize 112</t>
  </si>
  <si>
    <t>Market Shares- People with advanced RET-mutant MTC</t>
  </si>
  <si>
    <t>Market Shares- People with advanced RET fusion-positive TC</t>
  </si>
  <si>
    <t>First attendances</t>
  </si>
  <si>
    <t>WF01B</t>
  </si>
  <si>
    <t>First Attendance - Single Professional.  TFC 800</t>
  </si>
  <si>
    <t>Follow up attendances</t>
  </si>
  <si>
    <t>WF01A</t>
  </si>
  <si>
    <t>Cabozantinib</t>
  </si>
  <si>
    <t>400mg orally, twice daily</t>
  </si>
  <si>
    <t>&lt;50kg</t>
  </si>
  <si>
    <t>Dose per day (mg)</t>
  </si>
  <si>
    <t>Total dosage required per annum (mg)</t>
  </si>
  <si>
    <t>Weighting</t>
  </si>
  <si>
    <t xml:space="preserve">as an </t>
  </si>
  <si>
    <t xml:space="preserve">80 mg orange capsule once daily, 20 mg grey capsule, thrice daily </t>
  </si>
  <si>
    <t xml:space="preserve">7 blister cards of 4 x 80 mg capsules, 4 blister cards of 21 x 20 mg/ total packsize 112 </t>
  </si>
  <si>
    <t xml:space="preserve"> 1 x 4mg capsule, orally, once daily</t>
  </si>
  <si>
    <t>2 x 10mg capsule), orally, once daily</t>
  </si>
  <si>
    <t>People receiving selpercatinib</t>
  </si>
  <si>
    <t>People receiving cobozantinib</t>
  </si>
  <si>
    <t>People receiving lenvatinib</t>
  </si>
  <si>
    <t>People receiving sorafenib</t>
  </si>
  <si>
    <t xml:space="preserve">Diarrhoea </t>
  </si>
  <si>
    <t>Hand foot syndrome</t>
  </si>
  <si>
    <t>Hypertension</t>
  </si>
  <si>
    <t xml:space="preserve">ECG QT prolonged </t>
  </si>
  <si>
    <t xml:space="preserve">Decreased weight </t>
  </si>
  <si>
    <t xml:space="preserve">Abdominal pain </t>
  </si>
  <si>
    <t xml:space="preserve">Haemorrhage </t>
  </si>
  <si>
    <t xml:space="preserve">Dysphagia </t>
  </si>
  <si>
    <t xml:space="preserve">Decreased appetite </t>
  </si>
  <si>
    <t>Rash</t>
  </si>
  <si>
    <t xml:space="preserve">Mucosal inflammation </t>
  </si>
  <si>
    <t xml:space="preserve">Vomiting </t>
  </si>
  <si>
    <t xml:space="preserve">Dyspnoea </t>
  </si>
  <si>
    <t xml:space="preserve">Back pain </t>
  </si>
  <si>
    <t>Hyponatraemia</t>
  </si>
  <si>
    <t>Lymphopenia</t>
  </si>
  <si>
    <t>Pneumonia</t>
  </si>
  <si>
    <t>Hypocalcaemia</t>
  </si>
  <si>
    <t>Dehydration</t>
  </si>
  <si>
    <t>Ascites</t>
  </si>
  <si>
    <t>Sepsis</t>
  </si>
  <si>
    <t>ECG</t>
  </si>
  <si>
    <t xml:space="preserve">Thyroid cancer in children and young people is extremely rare, with 10 cases each year in the UK - </t>
  </si>
  <si>
    <t>https://www.btf-thyroid.org/thyroid-cancer-in-children</t>
  </si>
  <si>
    <t>Females aged 12 and over</t>
  </si>
  <si>
    <t>population aged 12 and over based on selection on left using mid-2022 ONS data</t>
  </si>
  <si>
    <t>total children</t>
  </si>
  <si>
    <t>total pop</t>
  </si>
  <si>
    <t>prop aged 12-17</t>
  </si>
  <si>
    <t>Owing to the estimated low number, children aged 12-17 have not been modelled separately in this tool but users should note that there are no comparators for this age group.</t>
  </si>
  <si>
    <t xml:space="preserve">Total eligible population </t>
  </si>
  <si>
    <r>
      <rPr>
        <u/>
        <sz val="11"/>
        <color theme="1"/>
        <rFont val="Calibri"/>
        <family val="2"/>
        <scheme val="minor"/>
      </rPr>
      <t>Population 2.</t>
    </r>
    <r>
      <rPr>
        <sz val="11"/>
        <color theme="1"/>
        <rFont val="Calibri"/>
        <family val="2"/>
        <scheme val="minor"/>
      </rPr>
      <t xml:space="preserve"> People with RET fusion-positive thyroid cancer</t>
    </r>
  </si>
  <si>
    <t xml:space="preserve">Population 1 - people with MTC and RET mutation </t>
  </si>
  <si>
    <t>Population 2 - people with RET fusion-positive thyroid cancer</t>
  </si>
  <si>
    <t>.</t>
  </si>
  <si>
    <t xml:space="preserve">Uptake of selpercatinib as per NHSE submission with 50% uptake assumed in initial year.  </t>
  </si>
  <si>
    <t>Number of preparations</t>
  </si>
  <si>
    <t>per patient per year</t>
  </si>
  <si>
    <t xml:space="preserve">10 cases across UK would equate to approximately 8 cases per year in England and applying the reduction to account for the age 12 -17 population would reduce this further to approximately 3 cases per year before accounting for those eligible for treatment with selpercatinib.  </t>
  </si>
  <si>
    <t xml:space="preserve">ECG tests </t>
  </si>
  <si>
    <t>EY51Z</t>
  </si>
  <si>
    <t>Electrocardiogram Monitoring or Stress Testing</t>
  </si>
  <si>
    <t>No of days given in cycle</t>
  </si>
  <si>
    <t xml:space="preserve">CT scan </t>
  </si>
  <si>
    <t>RD27Z</t>
  </si>
  <si>
    <t>Computerised Tomography Scan of more than Three Areas</t>
  </si>
  <si>
    <t>Nurse-led appointments</t>
  </si>
  <si>
    <t xml:space="preserve">Follow Up Attendance - Single Professional.  TFC 800 - consultant led </t>
  </si>
  <si>
    <t xml:space="preserve">Follow Up Attendance - Single Professional.  TFC 800 - non consultant led </t>
  </si>
  <si>
    <t xml:space="preserve">90 days </t>
  </si>
  <si>
    <t xml:space="preserve">Blood test </t>
  </si>
  <si>
    <t>DAPS08</t>
  </si>
  <si>
    <t xml:space="preserve">Directly accessed pathology, phlebotomy </t>
  </si>
  <si>
    <t xml:space="preserve">RET test cost </t>
  </si>
  <si>
    <t xml:space="preserve">RET test </t>
  </si>
  <si>
    <t xml:space="preserve">Cost </t>
  </si>
  <si>
    <t>pathology /Genomic 
Laboratory Hubs</t>
  </si>
  <si>
    <t>Staff time to prepare test (minutes)</t>
  </si>
  <si>
    <t xml:space="preserve">RET next generation sequencing (NGS) and fluorescent in situ hybridisation (FISH) testing are included in the 2023/2024 National Genomic Test Directory for Cancer, with NGS panel testing now available on the NHS for all solid and blood cancers.  </t>
  </si>
  <si>
    <t>In England, this transition to NGS testing means that RET rearrangements are routinely tested alongside other oncogenic drivers in a standardised manner across different centres. Thus it is not anticipated that approval of selpercatinib would result in any additional costs to the healthcare system.</t>
  </si>
  <si>
    <t>Assumed cost of RET testing taken from economic model which was derived from assumptions collated for TA911.</t>
  </si>
  <si>
    <t>Cost stated above will only be used if it is denoted that additional testing will be needed in the inputs and eligible population worksheet.</t>
  </si>
  <si>
    <t>Eligible population- People with advanced RET-mutant MTC</t>
  </si>
  <si>
    <t>Total eligible population</t>
  </si>
  <si>
    <t xml:space="preserve">People with advanced RET-mutant MTC choosing selpercatinib </t>
  </si>
  <si>
    <t>Eligible population- People with advanced RET fusion-positive TC</t>
  </si>
  <si>
    <t>People with advanced RET fusion-positive TC choosing selpercatinib</t>
  </si>
  <si>
    <t>People choosing selpercatinib</t>
  </si>
  <si>
    <t xml:space="preserve">Drugs - people starting treatment options  </t>
  </si>
  <si>
    <t>For illustration, change locally</t>
  </si>
  <si>
    <t>Selpercatinib Year 1</t>
  </si>
  <si>
    <t>Selpercatinib Year 5</t>
  </si>
  <si>
    <t>Selpercatinib - people with RET fusion-positive thyroid cancer Year 1</t>
  </si>
  <si>
    <t>Selpercatinib - people with RET fusion-positive thyroid cancer Year 2</t>
  </si>
  <si>
    <t>Selpercatinib - people with RET fusion-positive thyroid cancer Year 3</t>
  </si>
  <si>
    <t>Selpercatinib - people with RET fusion-positive thyroid cancer Year 4</t>
  </si>
  <si>
    <t>Selpercatinib - people with RET fusion-positive thyroid cancer Year 5</t>
  </si>
  <si>
    <t>Cabozantinib Year 1</t>
  </si>
  <si>
    <t>Cabozantinib Year 2</t>
  </si>
  <si>
    <t>Cabozantinib Year 3</t>
  </si>
  <si>
    <t>Cabozantinib Year 4</t>
  </si>
  <si>
    <t>Cabozantinib Year 5</t>
  </si>
  <si>
    <t>Drugs - resource impact - costs set out current year incident and previous year patients from year 1 onwards</t>
  </si>
  <si>
    <t xml:space="preserve">Lenvatinib Year 1 </t>
  </si>
  <si>
    <t>Lenvatinib Year 2</t>
  </si>
  <si>
    <t>Lenvatinib Year 3</t>
  </si>
  <si>
    <t>Lenvatinib Year 4</t>
  </si>
  <si>
    <t>Lenvatinib Year 5</t>
  </si>
  <si>
    <t>Sorafenib Year 1</t>
  </si>
  <si>
    <t>Sorafenib Year 2</t>
  </si>
  <si>
    <t>Sorafenib Year 3</t>
  </si>
  <si>
    <t>Selpercatinib  Year 2</t>
  </si>
  <si>
    <t>Selpercatinib  Year 3</t>
  </si>
  <si>
    <t>Selpercatinib  Year 4</t>
  </si>
  <si>
    <t>Sorafenib Year 4</t>
  </si>
  <si>
    <t>Sorafenib Year 5</t>
  </si>
  <si>
    <t>People with advanced RET fusion-positive Thyroid Cancer</t>
  </si>
  <si>
    <t xml:space="preserve">Nurse led appointments </t>
  </si>
  <si>
    <t xml:space="preserve">Unit cost </t>
  </si>
  <si>
    <t>Speciality appointments</t>
  </si>
  <si>
    <t>First attendances - appointments and cost</t>
  </si>
  <si>
    <t>Follow up attendances appointments and cost</t>
  </si>
  <si>
    <t>`</t>
  </si>
  <si>
    <t>Genomic tests- RET testing</t>
  </si>
  <si>
    <t xml:space="preserve">In current NHS clinical practice, there are no routinely available NICE recommended treatment options for patients with advanced MTC aged 12 to 17 years. </t>
  </si>
  <si>
    <t>Current market share estimates for sorafenib are the midpoint of range stated in guidance.</t>
  </si>
  <si>
    <t xml:space="preserve">local input </t>
  </si>
  <si>
    <t>RET testing will be needed but not assumed to be additional requirement. See note 1.</t>
  </si>
  <si>
    <t>Users can however model the impact of testing if the above does not apply by populating the relevant cells in rows 111 and 112.</t>
  </si>
  <si>
    <r>
      <rPr>
        <b/>
        <sz val="11"/>
        <color rgb="FF161616"/>
        <rFont val="Calibri"/>
        <family val="2"/>
        <scheme val="minor"/>
      </rPr>
      <t>Note 1</t>
    </r>
    <r>
      <rPr>
        <sz val="11"/>
        <color rgb="FF161616"/>
        <rFont val="Calibri"/>
        <family val="2"/>
        <scheme val="minor"/>
      </rPr>
      <t>.  The presence of a </t>
    </r>
    <r>
      <rPr>
        <i/>
        <sz val="11"/>
        <color rgb="FF161616"/>
        <rFont val="Calibri"/>
        <family val="2"/>
        <scheme val="minor"/>
      </rPr>
      <t>RET </t>
    </r>
    <r>
      <rPr>
        <sz val="11"/>
        <color rgb="FF161616"/>
        <rFont val="Calibri"/>
        <family val="2"/>
        <scheme val="minor"/>
      </rPr>
      <t>gene fusion (non-medullary thyroid cancer) or mutation (MTC) should be confirmed by a validated test prior to initiation of treatment with selpercatinib.</t>
    </r>
  </si>
  <si>
    <t>Speciality appointments based on the number of cycles of treatment per annum.</t>
  </si>
  <si>
    <t>One speciality appointment assumed per treatment.</t>
  </si>
  <si>
    <t>Nurse-led appointments assumed to be 4 per annum as per progression-free state in economic model.</t>
  </si>
  <si>
    <t>QT interval prolongation was reported in patients receiving selpercatinib and is listed as an adverse event.  None assumed to be routine, as per model.</t>
  </si>
  <si>
    <t>Blood tests based on the number of cycles of treatment per annum.</t>
  </si>
  <si>
    <t>People receiving selpercatinib - people with RET fusion-positive thyroid cancer</t>
  </si>
  <si>
    <t>https://ascopubs.org/doi/suppl/10.1200/JCO.23.02503/suppl_file/DS_JCO.23.02503.pdf</t>
  </si>
  <si>
    <t xml:space="preserve">Adverse events data for selpercatinib from LIBRETTO study -see table 5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</si>
  <si>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</si>
  <si>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</si>
  <si>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</si>
  <si>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</si>
  <si>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</si>
  <si>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</si>
  <si>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</si>
  <si>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</si>
  <si>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</si>
  <si>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</si>
  <si>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</si>
  <si>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</si>
  <si>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</si>
  <si>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</si>
  <si>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</si>
  <si>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</si>
  <si>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</si>
  <si>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</si>
  <si>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</si>
  <si>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</si>
  <si>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</si>
  <si>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</si>
  <si>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</si>
  <si>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Consultant Bottom</t>
  </si>
  <si>
    <t>Consultant Mid</t>
  </si>
  <si>
    <t>Consultant Top</t>
  </si>
  <si>
    <t>89% of thyroid cases diagnosed at stage 1 or 2 as per Table 1</t>
  </si>
  <si>
    <t>Number of days</t>
  </si>
  <si>
    <t>Hours per day</t>
  </si>
  <si>
    <t>This section considers different types of capacity impact, grouped by colour. Enter data in blue cells for each data type.</t>
  </si>
  <si>
    <t>Adverse events data for comparator treatments taken from economic model. Blank cells represent where data was not made available - please input figures locally.</t>
  </si>
  <si>
    <t xml:space="preserve">Unit costs, local prices are entered as indicative values. Values are 80% of national prices representing the costs without overheads. Please amend locally. </t>
  </si>
  <si>
    <t>Change locally if any blue cells in the row above are populated.</t>
  </si>
  <si>
    <t xml:space="preserve">People receiving selpercatinib- people with RET-mutant medullary thyroid cancer </t>
  </si>
  <si>
    <t>People receiving cabozantinib</t>
  </si>
  <si>
    <t>Selpercatinib people with RET-mutant medullary thyroid cancer</t>
  </si>
  <si>
    <t>People with advanced RET-mutant Medullary Thyroid Cancer</t>
  </si>
  <si>
    <t>Clinical expert opinion - see notes below</t>
  </si>
  <si>
    <t xml:space="preserve">The population modelled in row  33 (people with RET fusion-positive thyroid cancer) has been based on clinical expert opinion.          A </t>
  </si>
  <si>
    <r>
      <t xml:space="preserve">study </t>
    </r>
    <r>
      <rPr>
        <sz val="11"/>
        <rFont val="Calibri"/>
        <family val="2"/>
      </rPr>
      <t>from Agrawal et al., 2014 indicates the population may be higher but it should be noted that this was not solely based on those with advanced disease.  People can amend locally if required.</t>
    </r>
  </si>
  <si>
    <r>
      <t>National Disease Registration Service</t>
    </r>
    <r>
      <rPr>
        <sz val="11"/>
        <rFont val="Calibri"/>
        <family val="2"/>
      </rPr>
      <t xml:space="preserve">: report shows adjusted percentage of cancers diagnosed at stages 1 and 2 in England as being 89.2% for thyroid cancer, resulting in the assumption that 10.8% will be advanced. </t>
    </r>
  </si>
  <si>
    <t>per patient per cycle</t>
  </si>
  <si>
    <t>Pharmacy preparations per cycle.</t>
  </si>
  <si>
    <t xml:space="preserve">per patient </t>
  </si>
  <si>
    <t xml:space="preserve">Number per patient </t>
  </si>
  <si>
    <t xml:space="preserve">1. as an option for treating advanced RET-mutant medullary thyroid </t>
  </si>
  <si>
    <t>cancer in people 12 years and older.</t>
  </si>
  <si>
    <t xml:space="preserve">2. As an option for treating advanced RET fusion-positive thyroid cancer </t>
  </si>
  <si>
    <t xml:space="preserve">that is refractory to radioactive iodine (if radioactive iodine is appropriate) </t>
  </si>
  <si>
    <t>in people 12 years and older.</t>
  </si>
  <si>
    <t>Given the high estimated uptake of selpercatinib as a first-line treatment, we expect very few people to be eligible to receive selpercatinib as a second-line treament.</t>
  </si>
  <si>
    <t xml:space="preserve">per patient per cycle </t>
  </si>
  <si>
    <t>Selpercatinib - people with RET-mutant medulliary thyroid cancer - Year 1</t>
  </si>
  <si>
    <t>Selpercatinib - people with RET-mutant medulliary thyroid cancer - Year 2</t>
  </si>
  <si>
    <t>Selpercatinib - people with RET-mutant medulliary thyroid cancer - Year 3</t>
  </si>
  <si>
    <t>Selpercatinib - people with RET-mutant medulliary thyroid cancer - Year 4</t>
  </si>
  <si>
    <t>Selpercatinib - people with RET-mutant medulliary thyroid cancer - Year 5</t>
  </si>
  <si>
    <t>Selpercatinib - people with RET-fusion positive thyroid cancer - Year 1</t>
  </si>
  <si>
    <t>Selpercatinib - people with RET-fusion positive thyroid cancer - Year 2</t>
  </si>
  <si>
    <t>Selpercatinib - people with RET-fusion positive thyroid cancer - Year 3</t>
  </si>
  <si>
    <t>Selpercatinib - people with RET-fusion positive thyroid cancer - Year 4</t>
  </si>
  <si>
    <t>Selpercatinib - people with RET-fusion positive thyroid cancer - Year 5</t>
  </si>
  <si>
    <t>Cabozantinib -Year 1</t>
  </si>
  <si>
    <t>Cabozantinib - Year 2</t>
  </si>
  <si>
    <t>Cabozantinib - Year 3</t>
  </si>
  <si>
    <t>Cabozantinib - Year 4</t>
  </si>
  <si>
    <t>Cabozantinib - Year 5</t>
  </si>
  <si>
    <t>Lenvatinib - Year 1</t>
  </si>
  <si>
    <t>Lenvatinib- Year 2</t>
  </si>
  <si>
    <t>Lenvatinib- Year 3</t>
  </si>
  <si>
    <t>Lenvatinib- Year 4</t>
  </si>
  <si>
    <t>Lenvatinib- Year 5</t>
  </si>
  <si>
    <t>Sorafenib - Year 1</t>
  </si>
  <si>
    <t>Sorafenib - Year 2</t>
  </si>
  <si>
    <t>Sorafenib - Year 3</t>
  </si>
  <si>
    <t>Sorafenib - Year 4</t>
  </si>
  <si>
    <t>Sorafenib - Year 5</t>
  </si>
  <si>
    <t>Blood tests</t>
  </si>
  <si>
    <t>Drug regimen prep (number)</t>
  </si>
  <si>
    <t>Drug regimen preparations per cycle</t>
  </si>
  <si>
    <t>Capacity impact on nursing staffing</t>
  </si>
  <si>
    <t>Nurse appointments - change in number</t>
  </si>
  <si>
    <t>Administrations - change to current practice</t>
  </si>
  <si>
    <t>ECGS</t>
  </si>
  <si>
    <t xml:space="preserve">Blood tests </t>
  </si>
  <si>
    <t>CT scans</t>
  </si>
  <si>
    <t>Genomics tests</t>
  </si>
  <si>
    <t>Published: February 2025</t>
  </si>
  <si>
    <t>TA1039</t>
  </si>
  <si>
    <t>Number of administrations</t>
  </si>
  <si>
    <t>SB11Z Deliver Exclusively Oral Chemotherapy</t>
  </si>
  <si>
    <t>Administrations - change in duration (hours) to current practice</t>
  </si>
  <si>
    <t>Administrations - number of cycles</t>
  </si>
  <si>
    <t>Number of cycles</t>
  </si>
  <si>
    <t>Administrations - number of cycles - change to current practice</t>
  </si>
  <si>
    <t xml:space="preserve">Administrations - change in volume of HRGs </t>
  </si>
  <si>
    <t>Administrations cycles per year - change</t>
  </si>
  <si>
    <t>eMIT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</si>
</sst>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000%"/>
    <numFmt numFmtId="176" formatCode="0.0%"/>
  </numFmts>
  <fonts count="80">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sz val="11"/>
      <color indexed="81"/>
      <name val="Calibri"/>
      <family val="2"/>
    </font>
    <font>
      <u/>
      <sz val="11"/>
      <color rgb="FF000000"/>
      <name val="Calibri"/>
      <family val="2"/>
      <scheme val="minor"/>
    </font>
    <font>
      <sz val="9"/>
      <color indexed="81"/>
      <name val="Tahoma"/>
      <family val="2"/>
    </font>
    <font>
      <b/>
      <sz val="9"/>
      <color indexed="81"/>
      <name val="Tahoma"/>
      <family val="2"/>
    </font>
    <font>
      <sz val="11"/>
      <color rgb="FF161616"/>
      <name val="Calibri"/>
      <family val="2"/>
      <scheme val="minor"/>
    </font>
    <font>
      <i/>
      <sz val="11"/>
      <color rgb="FF161616"/>
      <name val="Calibri"/>
      <family val="2"/>
      <scheme val="minor"/>
    </font>
    <font>
      <sz val="10"/>
      <name val="Arial"/>
      <family val="2"/>
    </font>
    <font>
      <b/>
      <sz val="11"/>
      <color rgb="FF161616"/>
      <name val="Calibri"/>
      <family val="2"/>
      <scheme val="minor"/>
    </font>
    <font>
      <b/>
      <sz val="11"/>
      <color theme="1"/>
      <name val="Aptos Narrow"/>
      <family val="2"/>
    </font>
    <font>
      <b/>
      <sz val="11"/>
      <name val="Aptos Narrow"/>
      <family val="2"/>
    </font>
    <font>
      <b/>
      <i/>
      <sz val="11"/>
      <color rgb="FFFF0000"/>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86">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17" xfId="0" applyFont="1" applyFill="1" applyBorder="1"/>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0" borderId="0" xfId="0" applyFill="1"/>
    <xf numFmtId="0" fontId="0" fillId="42" borderId="0" xfId="0" applyFill="1"/>
    <xf numFmtId="0" fontId="0" fillId="41"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24" borderId="12" xfId="0" applyFill="1" applyBorder="1"/>
    <xf numFmtId="0" fontId="0" fillId="40" borderId="20"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24" borderId="17" xfId="0" applyFont="1" applyFill="1" applyBorder="1" applyAlignment="1">
      <alignment horizontal="left" vertical="center" wrapText="1"/>
    </xf>
    <xf numFmtId="0" fontId="39" fillId="42" borderId="0" xfId="82" applyFont="1" applyFill="1"/>
    <xf numFmtId="0" fontId="48" fillId="41" borderId="12" xfId="0" applyFont="1" applyFill="1" applyBorder="1" applyAlignment="1">
      <alignment horizontal="left" vertical="center"/>
    </xf>
    <xf numFmtId="0" fontId="39" fillId="41" borderId="0" xfId="82" applyFont="1" applyFill="1"/>
    <xf numFmtId="0" fontId="48" fillId="31" borderId="12" xfId="0" applyFont="1" applyFill="1" applyBorder="1" applyAlignment="1">
      <alignment horizontal="left" vertical="center"/>
    </xf>
    <xf numFmtId="0" fontId="0" fillId="0" borderId="35" xfId="0" applyBorder="1"/>
    <xf numFmtId="0" fontId="0" fillId="43" borderId="0" xfId="0" applyFill="1"/>
    <xf numFmtId="0" fontId="48" fillId="43" borderId="12" xfId="0" applyFont="1" applyFill="1" applyBorder="1" applyAlignment="1">
      <alignment horizontal="left" vertical="center"/>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39" fillId="43"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10" fontId="0" fillId="24" borderId="11" xfId="92" applyNumberFormat="1" applyFont="1" applyFill="1" applyBorder="1"/>
    <xf numFmtId="169" fontId="0" fillId="0" borderId="11" xfId="0" applyNumberFormat="1" applyBorder="1"/>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1" fillId="0" borderId="0" xfId="0" applyFont="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4"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0" borderId="17" xfId="0" applyFill="1" applyBorder="1"/>
    <xf numFmtId="0" fontId="44" fillId="42" borderId="12" xfId="0" applyFont="1" applyFill="1" applyBorder="1" applyAlignment="1">
      <alignment horizontal="left"/>
    </xf>
    <xf numFmtId="0" fontId="39" fillId="42" borderId="20" xfId="0" applyFont="1" applyFill="1" applyBorder="1"/>
    <xf numFmtId="0" fontId="44" fillId="40" borderId="12"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0" fontId="39" fillId="43"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44" fillId="24" borderId="11" xfId="0" applyFont="1" applyFill="1" applyBorder="1" applyAlignment="1">
      <alignment horizontal="center" wrapText="1"/>
    </xf>
    <xf numFmtId="0" fontId="0" fillId="43" borderId="11" xfId="0" applyFill="1" applyBorder="1" applyAlignment="1">
      <alignment horizontal="center"/>
    </xf>
    <xf numFmtId="0" fontId="0" fillId="40" borderId="11" xfId="0" applyFill="1" applyBorder="1" applyAlignment="1">
      <alignment horizontal="center"/>
    </xf>
    <xf numFmtId="2" fontId="0" fillId="41"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2"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3" fontId="0" fillId="43" borderId="11" xfId="0" applyNumberFormat="1" applyFill="1" applyBorder="1"/>
    <xf numFmtId="3" fontId="0" fillId="41" borderId="11" xfId="0" applyNumberFormat="1" applyFill="1" applyBorder="1"/>
    <xf numFmtId="3" fontId="0" fillId="31" borderId="11" xfId="0" applyNumberFormat="1" applyFill="1" applyBorder="1"/>
    <xf numFmtId="0" fontId="39" fillId="41" borderId="10" xfId="0" applyFont="1" applyFill="1" applyBorder="1"/>
    <xf numFmtId="0" fontId="0" fillId="31" borderId="17" xfId="0" applyFill="1" applyBorder="1"/>
    <xf numFmtId="0" fontId="39" fillId="43" borderId="10" xfId="0" applyFont="1" applyFill="1" applyBorder="1"/>
    <xf numFmtId="0" fontId="0" fillId="41"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165" fontId="48" fillId="0" borderId="11" xfId="82" applyNumberFormat="1" applyFont="1" applyBorder="1"/>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0" fontId="46" fillId="41" borderId="12" xfId="82" applyFont="1" applyFill="1" applyBorder="1"/>
    <xf numFmtId="0" fontId="46" fillId="31" borderId="12" xfId="82" applyFont="1" applyFill="1" applyBorder="1"/>
    <xf numFmtId="3" fontId="44" fillId="42" borderId="17" xfId="0" applyNumberFormat="1" applyFont="1" applyFill="1" applyBorder="1"/>
    <xf numFmtId="3" fontId="44" fillId="43" borderId="17" xfId="0" applyNumberFormat="1" applyFont="1" applyFill="1" applyBorder="1"/>
    <xf numFmtId="3" fontId="44" fillId="41"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0" fillId="42" borderId="21" xfId="0" applyFill="1" applyBorder="1"/>
    <xf numFmtId="0" fontId="0" fillId="41" borderId="21" xfId="0" applyFill="1" applyBorder="1"/>
    <xf numFmtId="0" fontId="0" fillId="31" borderId="21" xfId="0"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4" fillId="40" borderId="20" xfId="0" applyFont="1" applyFill="1" applyBorder="1" applyAlignment="1">
      <alignment horizontal="left"/>
    </xf>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0" fontId="0" fillId="40"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0" fontId="58"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3" borderId="11" xfId="0" applyNumberFormat="1" applyFont="1" applyFill="1" applyBorder="1" applyAlignment="1">
      <alignment horizontal="center"/>
    </xf>
    <xf numFmtId="0" fontId="29" fillId="43" borderId="0" xfId="0" applyFont="1" applyFill="1" applyAlignment="1">
      <alignment horizontal="center"/>
    </xf>
    <xf numFmtId="0" fontId="29" fillId="24" borderId="11" xfId="0" applyFont="1" applyFill="1" applyBorder="1" applyAlignment="1">
      <alignment horizontal="center" wrapText="1"/>
    </xf>
    <xf numFmtId="0" fontId="29" fillId="43" borderId="11" xfId="0" applyFont="1" applyFill="1" applyBorder="1" applyAlignment="1">
      <alignment horizontal="center" wrapText="1"/>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9" fontId="0" fillId="39" borderId="11" xfId="0" applyNumberFormat="1" applyFill="1" applyBorder="1" applyProtection="1">
      <protection locked="0"/>
    </xf>
    <xf numFmtId="9" fontId="0" fillId="39" borderId="42"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4" xfId="82" applyFont="1" applyBorder="1"/>
    <xf numFmtId="0" fontId="46" fillId="0" borderId="45" xfId="82" applyFont="1" applyBorder="1"/>
    <xf numFmtId="0" fontId="46" fillId="0" borderId="46"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3" fontId="46" fillId="39" borderId="12" xfId="82" applyNumberFormat="1" applyFont="1" applyFill="1" applyBorder="1" applyProtection="1">
      <protection locked="0"/>
    </xf>
    <xf numFmtId="0" fontId="46" fillId="0" borderId="22" xfId="82" applyFont="1" applyBorder="1"/>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169" fontId="46" fillId="39" borderId="29" xfId="82" applyNumberFormat="1" applyFont="1" applyFill="1" applyBorder="1" applyProtection="1">
      <protection locked="0"/>
    </xf>
    <xf numFmtId="169" fontId="46" fillId="39" borderId="41"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7" xfId="82" applyFont="1" applyBorder="1"/>
    <xf numFmtId="165" fontId="46" fillId="0" borderId="48" xfId="82" applyNumberFormat="1" applyFont="1" applyBorder="1"/>
    <xf numFmtId="3" fontId="46" fillId="39" borderId="29" xfId="82" applyNumberFormat="1" applyFont="1" applyFill="1" applyBorder="1" applyProtection="1">
      <protection locked="0"/>
    </xf>
    <xf numFmtId="3" fontId="46" fillId="39" borderId="41" xfId="82" applyNumberFormat="1" applyFont="1" applyFill="1" applyBorder="1" applyProtection="1">
      <protection locked="0"/>
    </xf>
    <xf numFmtId="3" fontId="46" fillId="0" borderId="47" xfId="82" applyNumberFormat="1" applyFont="1" applyBorder="1"/>
    <xf numFmtId="2" fontId="46" fillId="39" borderId="29" xfId="82" applyNumberFormat="1" applyFont="1" applyFill="1" applyBorder="1" applyProtection="1">
      <protection locked="0"/>
    </xf>
    <xf numFmtId="2" fontId="46" fillId="39" borderId="41"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1" fontId="0" fillId="0" borderId="11" xfId="0" applyNumberFormat="1" applyBorder="1"/>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0" fillId="0" borderId="17" xfId="0" applyBorder="1" applyAlignment="1">
      <alignment wrapText="1"/>
    </xf>
    <xf numFmtId="0" fontId="32" fillId="26" borderId="17" xfId="0" applyFont="1" applyFill="1" applyBorder="1" applyAlignment="1">
      <alignment vertical="center" wrapText="1"/>
    </xf>
    <xf numFmtId="0" fontId="67" fillId="0" borderId="12" xfId="0" applyFont="1" applyBorder="1"/>
    <xf numFmtId="175" fontId="0" fillId="39" borderId="11" xfId="92" applyNumberFormat="1" applyFont="1" applyFill="1" applyBorder="1" applyProtection="1">
      <protection locked="0"/>
    </xf>
    <xf numFmtId="0" fontId="28" fillId="0" borderId="0" xfId="72" applyBorder="1" applyAlignment="1" applyProtection="1">
      <alignment wrapText="1"/>
    </xf>
    <xf numFmtId="0" fontId="28" fillId="0" borderId="18" xfId="72" applyBorder="1" applyAlignment="1" applyProtection="1">
      <alignment wrapText="1"/>
    </xf>
    <xf numFmtId="0" fontId="70" fillId="0" borderId="12" xfId="0" applyFont="1" applyBorder="1" applyAlignment="1">
      <alignment vertical="top"/>
    </xf>
    <xf numFmtId="0" fontId="67" fillId="0" borderId="12" xfId="0" applyFont="1" applyBorder="1" applyAlignment="1">
      <alignment vertical="top"/>
    </xf>
    <xf numFmtId="0" fontId="57" fillId="0" borderId="0" xfId="72" applyFont="1" applyBorder="1" applyAlignment="1" applyProtection="1"/>
    <xf numFmtId="3" fontId="0" fillId="25" borderId="11" xfId="0" applyNumberFormat="1" applyFill="1" applyBorder="1" applyProtection="1">
      <protection locked="0"/>
    </xf>
    <xf numFmtId="16" fontId="2" fillId="25" borderId="0" xfId="82" applyNumberFormat="1" applyFill="1"/>
    <xf numFmtId="165" fontId="48" fillId="25" borderId="0" xfId="82" applyNumberFormat="1" applyFont="1" applyFill="1"/>
    <xf numFmtId="176" fontId="0" fillId="39" borderId="42" xfId="0" applyNumberFormat="1" applyFill="1" applyBorder="1" applyAlignment="1" applyProtection="1">
      <alignment horizontal="right"/>
      <protection locked="0"/>
    </xf>
    <xf numFmtId="176" fontId="0" fillId="39" borderId="31" xfId="0" applyNumberFormat="1" applyFill="1" applyBorder="1" applyAlignment="1" applyProtection="1">
      <alignment horizontal="right"/>
      <protection locked="0"/>
    </xf>
    <xf numFmtId="0" fontId="46" fillId="0" borderId="0" xfId="82" applyFont="1" applyAlignment="1">
      <alignment vertical="top"/>
    </xf>
    <xf numFmtId="9" fontId="46" fillId="39" borderId="11" xfId="92" applyFont="1" applyFill="1" applyBorder="1" applyProtection="1">
      <protection locked="0"/>
    </xf>
    <xf numFmtId="0" fontId="46" fillId="25" borderId="0" xfId="82" applyFont="1" applyFill="1"/>
    <xf numFmtId="0" fontId="0" fillId="25" borderId="0" xfId="0" applyFill="1" applyProtection="1">
      <protection locked="0"/>
    </xf>
    <xf numFmtId="169" fontId="0" fillId="25" borderId="0" xfId="0" applyNumberFormat="1" applyFill="1" applyProtection="1">
      <protection locked="0"/>
    </xf>
    <xf numFmtId="166" fontId="46" fillId="39" borderId="11" xfId="82" applyNumberFormat="1" applyFont="1" applyFill="1" applyBorder="1" applyProtection="1">
      <protection locked="0"/>
    </xf>
    <xf numFmtId="0" fontId="46" fillId="0" borderId="49" xfId="82" applyFont="1" applyBorder="1"/>
    <xf numFmtId="0" fontId="6" fillId="24" borderId="15" xfId="82" applyFont="1" applyFill="1" applyBorder="1"/>
    <xf numFmtId="164" fontId="46" fillId="39" borderId="19" xfId="82" applyNumberFormat="1" applyFont="1" applyFill="1" applyBorder="1" applyProtection="1">
      <protection locked="0"/>
    </xf>
    <xf numFmtId="164" fontId="46" fillId="39" borderId="15" xfId="82" applyNumberFormat="1" applyFont="1" applyFill="1" applyBorder="1" applyProtection="1">
      <protection locked="0"/>
    </xf>
    <xf numFmtId="9" fontId="46" fillId="39" borderId="19" xfId="82" applyNumberFormat="1" applyFont="1" applyFill="1" applyBorder="1" applyProtection="1">
      <protection locked="0"/>
    </xf>
    <xf numFmtId="9" fontId="46" fillId="39" borderId="15" xfId="82" applyNumberFormat="1" applyFont="1" applyFill="1" applyBorder="1" applyProtection="1">
      <protection locked="0"/>
    </xf>
    <xf numFmtId="165" fontId="46" fillId="39" borderId="25" xfId="82" applyNumberFormat="1" applyFont="1" applyFill="1" applyBorder="1" applyProtection="1">
      <protection locked="0"/>
    </xf>
    <xf numFmtId="165" fontId="46" fillId="39" borderId="50" xfId="82" applyNumberFormat="1" applyFont="1" applyFill="1" applyBorder="1" applyProtection="1">
      <protection locked="0"/>
    </xf>
    <xf numFmtId="0" fontId="46" fillId="39" borderId="19" xfId="82" applyFont="1" applyFill="1" applyBorder="1" applyAlignment="1" applyProtection="1">
      <alignment wrapText="1"/>
      <protection locked="0"/>
    </xf>
    <xf numFmtId="0" fontId="46" fillId="39" borderId="15" xfId="82" applyFont="1" applyFill="1" applyBorder="1" applyAlignment="1" applyProtection="1">
      <alignment wrapText="1"/>
      <protection locked="0"/>
    </xf>
    <xf numFmtId="166" fontId="6" fillId="24" borderId="0" xfId="56" applyNumberFormat="1" applyFont="1" applyFill="1" applyBorder="1"/>
    <xf numFmtId="0" fontId="46" fillId="24" borderId="0" xfId="82" applyFont="1" applyFill="1" applyAlignment="1">
      <alignment horizontal="center"/>
    </xf>
    <xf numFmtId="168" fontId="6" fillId="24" borderId="0" xfId="82" applyNumberFormat="1" applyFont="1" applyFill="1"/>
    <xf numFmtId="0" fontId="0" fillId="39" borderId="51" xfId="0" applyFill="1" applyBorder="1" applyProtection="1">
      <protection locked="0"/>
    </xf>
    <xf numFmtId="0" fontId="6" fillId="0" borderId="10" xfId="82" applyFont="1" applyBorder="1"/>
    <xf numFmtId="0" fontId="6" fillId="25" borderId="14" xfId="82" applyFont="1" applyFill="1" applyBorder="1"/>
    <xf numFmtId="3" fontId="0" fillId="0" borderId="15" xfId="0" applyNumberFormat="1" applyBorder="1"/>
    <xf numFmtId="10" fontId="0" fillId="39" borderId="19" xfId="92" applyNumberFormat="1" applyFont="1" applyFill="1" applyBorder="1" applyProtection="1">
      <protection locked="0"/>
    </xf>
    <xf numFmtId="3" fontId="46" fillId="0" borderId="20" xfId="0" applyNumberFormat="1" applyFont="1" applyBorder="1"/>
    <xf numFmtId="166" fontId="29" fillId="29" borderId="0" xfId="0" applyNumberFormat="1" applyFont="1" applyFill="1"/>
    <xf numFmtId="0" fontId="48" fillId="25" borderId="0" xfId="82" applyFont="1" applyFill="1" applyAlignment="1">
      <alignment horizontal="left"/>
    </xf>
    <xf numFmtId="0" fontId="6" fillId="25" borderId="0" xfId="82" applyFont="1" applyFill="1" applyAlignment="1">
      <alignment horizontal="left"/>
    </xf>
    <xf numFmtId="0" fontId="6" fillId="25" borderId="0" xfId="82" applyFont="1" applyFill="1" applyAlignment="1">
      <alignment horizontal="right"/>
    </xf>
    <xf numFmtId="166" fontId="6" fillId="25" borderId="0" xfId="56" applyNumberFormat="1" applyFont="1" applyFill="1" applyBorder="1"/>
    <xf numFmtId="166" fontId="46" fillId="25" borderId="0" xfId="56" applyNumberFormat="1" applyFont="1" applyFill="1" applyBorder="1" applyAlignment="1" applyProtection="1">
      <alignment horizontal="center"/>
      <protection locked="0"/>
    </xf>
    <xf numFmtId="0" fontId="46" fillId="25" borderId="0" xfId="82" applyFont="1" applyFill="1" applyAlignment="1" applyProtection="1">
      <alignment horizontal="left"/>
      <protection locked="0"/>
    </xf>
    <xf numFmtId="0" fontId="6" fillId="25" borderId="0" xfId="82" applyFont="1" applyFill="1" applyAlignment="1" applyProtection="1">
      <alignment horizontal="left"/>
      <protection locked="0"/>
    </xf>
    <xf numFmtId="0" fontId="6" fillId="25" borderId="0" xfId="82" applyFont="1" applyFill="1" applyAlignment="1" applyProtection="1">
      <alignment horizontal="right"/>
      <protection locked="0"/>
    </xf>
    <xf numFmtId="166" fontId="6" fillId="25" borderId="0" xfId="56" applyNumberFormat="1" applyFont="1" applyFill="1" applyBorder="1" applyProtection="1">
      <protection locked="0"/>
    </xf>
    <xf numFmtId="0" fontId="6" fillId="25" borderId="0" xfId="82" applyFont="1" applyFill="1" applyProtection="1">
      <protection locked="0"/>
    </xf>
    <xf numFmtId="165" fontId="46" fillId="25" borderId="0" xfId="82" applyNumberFormat="1" applyFont="1" applyFill="1" applyProtection="1">
      <protection locked="0"/>
    </xf>
    <xf numFmtId="166" fontId="27" fillId="25" borderId="0" xfId="56" applyNumberFormat="1" applyFont="1" applyFill="1" applyBorder="1" applyAlignment="1" applyProtection="1">
      <alignment horizontal="right"/>
      <protection locked="0"/>
    </xf>
    <xf numFmtId="0" fontId="73" fillId="0" borderId="0" xfId="0" applyFont="1"/>
    <xf numFmtId="1" fontId="0" fillId="39" borderId="11" xfId="0" applyNumberFormat="1" applyFill="1" applyBorder="1" applyProtection="1">
      <protection locked="0"/>
    </xf>
    <xf numFmtId="10" fontId="0" fillId="0" borderId="51" xfId="92" applyNumberFormat="1" applyFont="1" applyFill="1" applyBorder="1"/>
    <xf numFmtId="10" fontId="0" fillId="0" borderId="43" xfId="92" applyNumberFormat="1" applyFont="1" applyFill="1" applyBorder="1"/>
    <xf numFmtId="10" fontId="0" fillId="0" borderId="52" xfId="92" applyNumberFormat="1" applyFont="1" applyFill="1" applyBorder="1"/>
    <xf numFmtId="0" fontId="46" fillId="39" borderId="11" xfId="82" applyFont="1" applyFill="1" applyBorder="1" applyAlignment="1" applyProtection="1">
      <alignment horizontal="left"/>
      <protection locked="0"/>
    </xf>
    <xf numFmtId="0" fontId="6" fillId="39" borderId="11" xfId="82" applyFont="1" applyFill="1" applyBorder="1" applyAlignment="1" applyProtection="1">
      <alignment horizontal="left"/>
      <protection locked="0"/>
    </xf>
    <xf numFmtId="0" fontId="6" fillId="39" borderId="11" xfId="82" applyFont="1" applyFill="1" applyBorder="1" applyAlignment="1" applyProtection="1">
      <alignment horizontal="right"/>
      <protection locked="0"/>
    </xf>
    <xf numFmtId="166" fontId="6" fillId="39" borderId="11" xfId="56" applyNumberFormat="1" applyFont="1" applyFill="1" applyBorder="1" applyProtection="1">
      <protection locked="0"/>
    </xf>
    <xf numFmtId="0" fontId="6" fillId="24" borderId="12" xfId="82" applyFont="1" applyFill="1" applyBorder="1" applyAlignment="1">
      <alignment horizontal="left"/>
    </xf>
    <xf numFmtId="166" fontId="6" fillId="24" borderId="17" xfId="56" applyNumberFormat="1" applyFont="1" applyFill="1" applyBorder="1"/>
    <xf numFmtId="0" fontId="6" fillId="39" borderId="12" xfId="82" applyFont="1" applyFill="1" applyBorder="1" applyProtection="1">
      <protection locked="0"/>
    </xf>
    <xf numFmtId="164" fontId="46" fillId="39" borderId="11" xfId="56" applyNumberFormat="1" applyFont="1" applyFill="1" applyBorder="1" applyAlignment="1" applyProtection="1">
      <alignment horizontal="center"/>
      <protection locked="0"/>
    </xf>
    <xf numFmtId="2" fontId="0" fillId="39" borderId="11" xfId="0" applyNumberFormat="1" applyFill="1" applyBorder="1" applyAlignment="1">
      <alignment horizontal="center" wrapText="1"/>
    </xf>
    <xf numFmtId="0" fontId="27" fillId="25" borderId="0" xfId="0" applyFont="1" applyFill="1"/>
    <xf numFmtId="0" fontId="48" fillId="25" borderId="0" xfId="0" applyFont="1" applyFill="1" applyAlignment="1">
      <alignment horizontal="left" vertical="center" wrapText="1"/>
    </xf>
    <xf numFmtId="0" fontId="44" fillId="25" borderId="0" xfId="0" applyFont="1" applyFill="1"/>
    <xf numFmtId="3" fontId="44" fillId="25" borderId="0" xfId="0" applyNumberFormat="1" applyFont="1" applyFill="1"/>
    <xf numFmtId="0" fontId="48" fillId="25" borderId="35" xfId="0" applyFont="1" applyFill="1" applyBorder="1" applyAlignment="1">
      <alignment horizontal="left" vertical="center" wrapText="1"/>
    </xf>
    <xf numFmtId="3" fontId="44" fillId="25" borderId="35" xfId="0" applyNumberFormat="1" applyFont="1" applyFill="1" applyBorder="1"/>
    <xf numFmtId="0" fontId="0" fillId="0" borderId="13" xfId="0" applyBorder="1" applyAlignment="1">
      <alignment horizontal="left"/>
    </xf>
    <xf numFmtId="0" fontId="0" fillId="0" borderId="23" xfId="0" applyBorder="1" applyAlignment="1">
      <alignment horizontal="left"/>
    </xf>
    <xf numFmtId="165" fontId="27" fillId="0" borderId="19" xfId="0" applyNumberFormat="1" applyFont="1" applyBorder="1"/>
    <xf numFmtId="0" fontId="0" fillId="0" borderId="35" xfId="0" applyBorder="1" applyAlignment="1">
      <alignment horizontal="left"/>
    </xf>
    <xf numFmtId="165" fontId="27" fillId="0" borderId="35" xfId="0" applyNumberFormat="1" applyFont="1" applyBorder="1"/>
    <xf numFmtId="165" fontId="27" fillId="24" borderId="11" xfId="0" applyNumberFormat="1" applyFont="1" applyFill="1" applyBorder="1" applyAlignment="1">
      <alignment horizontal="center" wrapText="1"/>
    </xf>
    <xf numFmtId="2" fontId="0" fillId="0" borderId="11" xfId="0" applyNumberFormat="1" applyBorder="1"/>
    <xf numFmtId="0" fontId="0" fillId="43" borderId="14" xfId="0" applyFill="1" applyBorder="1"/>
    <xf numFmtId="0" fontId="39" fillId="43" borderId="14" xfId="0" applyFont="1" applyFill="1" applyBorder="1"/>
    <xf numFmtId="0" fontId="39" fillId="43" borderId="0" xfId="82" applyFont="1" applyFill="1"/>
    <xf numFmtId="0" fontId="44" fillId="43" borderId="21" xfId="0" applyFont="1" applyFill="1" applyBorder="1"/>
    <xf numFmtId="0" fontId="0" fillId="0" borderId="0" xfId="0" applyAlignment="1">
      <alignment wrapText="1"/>
    </xf>
    <xf numFmtId="0" fontId="48" fillId="42" borderId="0" xfId="82" applyFont="1" applyFill="1"/>
    <xf numFmtId="0" fontId="0" fillId="42" borderId="10" xfId="0" applyFill="1" applyBorder="1"/>
    <xf numFmtId="0" fontId="39" fillId="43" borderId="35" xfId="0" applyFont="1" applyFill="1" applyBorder="1"/>
    <xf numFmtId="0" fontId="39" fillId="42" borderId="10" xfId="0" applyFont="1" applyFill="1" applyBorder="1"/>
    <xf numFmtId="0" fontId="0" fillId="25" borderId="17" xfId="0" applyFill="1" applyBorder="1"/>
    <xf numFmtId="165" fontId="0" fillId="25" borderId="11" xfId="0" applyNumberFormat="1" applyFill="1" applyBorder="1"/>
    <xf numFmtId="0" fontId="46" fillId="0" borderId="12" xfId="82" applyFont="1" applyBorder="1" applyProtection="1">
      <protection locked="0"/>
    </xf>
    <xf numFmtId="165" fontId="46" fillId="25" borderId="11" xfId="0" applyNumberFormat="1" applyFont="1" applyFill="1" applyBorder="1" applyAlignment="1">
      <alignment horizontal="right" wrapText="1"/>
    </xf>
    <xf numFmtId="0" fontId="0" fillId="25" borderId="12" xfId="0" applyFill="1" applyBorder="1"/>
    <xf numFmtId="0" fontId="28" fillId="0" borderId="12" xfId="72" applyBorder="1" applyAlignment="1" applyProtection="1"/>
    <xf numFmtId="169" fontId="46" fillId="25" borderId="11" xfId="0" applyNumberFormat="1" applyFont="1" applyFill="1" applyBorder="1" applyAlignment="1">
      <alignment horizontal="center" wrapText="1"/>
    </xf>
    <xf numFmtId="0" fontId="28" fillId="0" borderId="0" xfId="72" applyFill="1" applyBorder="1" applyAlignment="1" applyProtection="1"/>
    <xf numFmtId="0" fontId="75" fillId="25" borderId="0" xfId="82" applyFont="1" applyFill="1"/>
    <xf numFmtId="0" fontId="0" fillId="25" borderId="0" xfId="0" applyFill="1"/>
    <xf numFmtId="10" fontId="48" fillId="0" borderId="0" xfId="92" applyNumberFormat="1" applyFont="1" applyFill="1" applyBorder="1"/>
    <xf numFmtId="165" fontId="48" fillId="0" borderId="0" xfId="82" applyNumberFormat="1" applyFont="1"/>
    <xf numFmtId="0" fontId="0" fillId="0" borderId="0" xfId="82" applyFont="1" applyAlignment="1">
      <alignment vertical="top"/>
    </xf>
    <xf numFmtId="0" fontId="77" fillId="24" borderId="53" xfId="0" applyFont="1" applyFill="1" applyBorder="1" applyAlignment="1">
      <alignment horizontal="center" vertical="center"/>
    </xf>
    <xf numFmtId="0" fontId="40" fillId="24" borderId="48" xfId="0" applyFont="1" applyFill="1" applyBorder="1" applyAlignment="1">
      <alignment vertical="center"/>
    </xf>
    <xf numFmtId="170" fontId="46" fillId="0" borderId="24" xfId="57" applyNumberFormat="1" applyFont="1" applyFill="1" applyBorder="1" applyProtection="1"/>
    <xf numFmtId="0" fontId="78"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4" xfId="0" applyFont="1" applyFill="1" applyBorder="1" applyAlignment="1">
      <alignment horizontal="center"/>
    </xf>
    <xf numFmtId="0" fontId="44" fillId="24" borderId="55" xfId="82" applyFont="1" applyFill="1" applyBorder="1" applyAlignment="1">
      <alignment horizontal="center"/>
    </xf>
    <xf numFmtId="0" fontId="44" fillId="24" borderId="55" xfId="110" applyFont="1" applyFill="1" applyBorder="1" applyAlignment="1">
      <alignment horizontal="center" wrapText="1"/>
    </xf>
    <xf numFmtId="3" fontId="44" fillId="24" borderId="55" xfId="110" applyNumberFormat="1" applyFont="1" applyFill="1" applyBorder="1" applyAlignment="1">
      <alignment horizontal="center" wrapText="1"/>
    </xf>
    <xf numFmtId="0" fontId="44" fillId="24" borderId="56" xfId="110" applyFont="1" applyFill="1" applyBorder="1" applyAlignment="1">
      <alignment horizontal="center" wrapText="1"/>
    </xf>
    <xf numFmtId="0" fontId="44" fillId="24" borderId="54" xfId="0" applyFont="1" applyFill="1" applyBorder="1" applyAlignment="1">
      <alignment horizontal="center" wrapText="1"/>
    </xf>
    <xf numFmtId="0" fontId="44" fillId="45" borderId="55" xfId="0" applyFont="1" applyFill="1" applyBorder="1" applyAlignment="1">
      <alignment horizontal="center" wrapText="1"/>
    </xf>
    <xf numFmtId="0" fontId="44" fillId="24" borderId="55" xfId="0" applyFont="1" applyFill="1" applyBorder="1" applyAlignment="1">
      <alignment horizontal="center" wrapText="1"/>
    </xf>
    <xf numFmtId="0" fontId="44" fillId="24" borderId="56" xfId="0" applyFont="1" applyFill="1" applyBorder="1" applyAlignment="1">
      <alignment horizontal="center" wrapText="1"/>
    </xf>
    <xf numFmtId="0" fontId="0" fillId="0" borderId="57" xfId="0" applyBorder="1" applyAlignment="1">
      <alignment horizontal="center"/>
    </xf>
    <xf numFmtId="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46" fillId="0" borderId="11" xfId="57" applyNumberFormat="1" applyFont="1" applyFill="1" applyBorder="1" applyProtection="1"/>
    <xf numFmtId="0" fontId="0" fillId="0" borderId="58" xfId="0" applyBorder="1" applyAlignment="1">
      <alignment horizontal="center"/>
    </xf>
    <xf numFmtId="0" fontId="0" fillId="0" borderId="15" xfId="0" applyBorder="1"/>
    <xf numFmtId="3" fontId="46" fillId="0" borderId="29" xfId="82" applyNumberFormat="1" applyFont="1" applyBorder="1" applyAlignment="1">
      <alignment horizontal="right"/>
    </xf>
    <xf numFmtId="0" fontId="0" fillId="39" borderId="43" xfId="0" applyFill="1" applyBorder="1" applyProtection="1">
      <protection locked="0"/>
    </xf>
    <xf numFmtId="0" fontId="0" fillId="39" borderId="59" xfId="0" applyFill="1" applyBorder="1" applyProtection="1">
      <protection locked="0"/>
    </xf>
    <xf numFmtId="169" fontId="46" fillId="39" borderId="11" xfId="82" applyNumberFormat="1" applyFont="1" applyFill="1" applyBorder="1" applyProtection="1">
      <protection locked="0"/>
    </xf>
    <xf numFmtId="169" fontId="46" fillId="0" borderId="10" xfId="82" applyNumberFormat="1" applyFont="1" applyBorder="1"/>
    <xf numFmtId="169" fontId="46" fillId="0" borderId="0" xfId="82" applyNumberFormat="1" applyFont="1"/>
    <xf numFmtId="169" fontId="46" fillId="0" borderId="47" xfId="82" applyNumberFormat="1" applyFont="1" applyBorder="1"/>
    <xf numFmtId="169" fontId="48" fillId="24" borderId="12" xfId="82" applyNumberFormat="1" applyFont="1" applyFill="1" applyBorder="1" applyAlignment="1">
      <alignment horizontal="center" wrapText="1"/>
    </xf>
    <xf numFmtId="3" fontId="44" fillId="39" borderId="11" xfId="0" applyNumberFormat="1" applyFont="1" applyFill="1" applyBorder="1" applyProtection="1">
      <protection locked="0"/>
    </xf>
    <xf numFmtId="0" fontId="0" fillId="0" borderId="19" xfId="0" applyBorder="1"/>
    <xf numFmtId="0" fontId="28" fillId="25" borderId="0" xfId="72" applyFill="1" applyAlignment="1" applyProtection="1"/>
    <xf numFmtId="0" fontId="28" fillId="0" borderId="10" xfId="72" applyBorder="1" applyAlignment="1" applyProtection="1"/>
    <xf numFmtId="10" fontId="27" fillId="39" borderId="11" xfId="92" applyNumberFormat="1" applyFont="1" applyFill="1" applyBorder="1" applyProtection="1">
      <protection locked="0"/>
    </xf>
    <xf numFmtId="0" fontId="79" fillId="0" borderId="0" xfId="0" applyFont="1"/>
    <xf numFmtId="169" fontId="79" fillId="0" borderId="0" xfId="0" applyNumberFormat="1" applyFont="1"/>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1" fontId="0" fillId="39" borderId="36" xfId="0" applyNumberFormat="1" applyFill="1" applyBorder="1" applyProtection="1">
      <protection locked="0"/>
    </xf>
    <xf numFmtId="1" fontId="0" fillId="39" borderId="51" xfId="0" applyNumberFormat="1" applyFill="1" applyBorder="1" applyProtection="1">
      <protection locked="0"/>
    </xf>
    <xf numFmtId="0" fontId="46" fillId="39" borderId="11" xfId="82" applyFont="1" applyFill="1" applyBorder="1" applyAlignment="1" applyProtection="1">
      <alignment wrapText="1"/>
      <protection locked="0"/>
    </xf>
    <xf numFmtId="165" fontId="48" fillId="39" borderId="19" xfId="82" applyNumberFormat="1" applyFont="1" applyFill="1" applyBorder="1" applyProtection="1">
      <protection locked="0"/>
    </xf>
    <xf numFmtId="3" fontId="0" fillId="39" borderId="19" xfId="0" applyNumberFormat="1" applyFill="1" applyBorder="1" applyProtection="1">
      <protection locked="0"/>
    </xf>
    <xf numFmtId="3" fontId="0" fillId="39" borderId="29" xfId="0" applyNumberFormat="1" applyFill="1" applyBorder="1" applyProtection="1">
      <protection locked="0"/>
    </xf>
    <xf numFmtId="0" fontId="0" fillId="39" borderId="0" xfId="0" applyFill="1" applyProtection="1">
      <protection locked="0"/>
    </xf>
    <xf numFmtId="9" fontId="0" fillId="39" borderId="0" xfId="0" applyNumberFormat="1" applyFill="1" applyProtection="1">
      <protection locked="0"/>
    </xf>
    <xf numFmtId="170" fontId="46" fillId="39" borderId="39" xfId="57" applyNumberFormat="1" applyFont="1" applyFill="1" applyBorder="1" applyAlignment="1" applyProtection="1">
      <alignment horizontal="right"/>
      <protection locked="0"/>
    </xf>
    <xf numFmtId="170" fontId="46" fillId="39" borderId="39" xfId="57" applyNumberFormat="1" applyFont="1" applyFill="1" applyBorder="1" applyProtection="1">
      <protection locked="0"/>
    </xf>
    <xf numFmtId="10" fontId="46" fillId="39" borderId="39" xfId="92" applyNumberFormat="1" applyFont="1" applyFill="1" applyBorder="1" applyProtection="1">
      <protection locked="0"/>
    </xf>
    <xf numFmtId="10" fontId="46" fillId="39" borderId="27" xfId="92" applyNumberFormat="1" applyFont="1" applyFill="1" applyBorder="1" applyProtection="1">
      <protection locked="0"/>
    </xf>
    <xf numFmtId="0" fontId="48" fillId="41" borderId="11" xfId="0" applyFont="1" applyFill="1" applyBorder="1" applyAlignment="1">
      <alignment horizontal="left" vertical="center" wrapText="1"/>
    </xf>
    <xf numFmtId="165" fontId="44" fillId="25" borderId="11" xfId="0" applyNumberFormat="1" applyFont="1" applyFill="1" applyBorder="1"/>
    <xf numFmtId="0" fontId="46" fillId="41" borderId="0" xfId="0" applyFont="1" applyFill="1" applyAlignment="1">
      <alignment horizontal="center" wrapText="1"/>
    </xf>
    <xf numFmtId="0" fontId="39" fillId="41" borderId="0" xfId="0" applyFont="1" applyFill="1" applyAlignment="1">
      <alignment horizontal="center" wrapText="1"/>
    </xf>
    <xf numFmtId="0" fontId="0" fillId="41" borderId="0" xfId="0" applyFill="1" applyAlignment="1">
      <alignment horizontal="center" wrapText="1"/>
    </xf>
    <xf numFmtId="164" fontId="0" fillId="41" borderId="0" xfId="0" applyNumberFormat="1" applyFill="1"/>
    <xf numFmtId="165" fontId="0" fillId="41" borderId="0" xfId="0" applyNumberFormat="1" applyFill="1"/>
    <xf numFmtId="165" fontId="44" fillId="41" borderId="0" xfId="0" applyNumberFormat="1" applyFont="1" applyFill="1"/>
    <xf numFmtId="0" fontId="52" fillId="0" borderId="0" xfId="0" applyFont="1" applyProtection="1">
      <protection locked="0"/>
    </xf>
    <xf numFmtId="3" fontId="0" fillId="0" borderId="17" xfId="0" applyNumberFormat="1" applyBorder="1"/>
    <xf numFmtId="0" fontId="0" fillId="46" borderId="0" xfId="0" applyFill="1"/>
    <xf numFmtId="0" fontId="0" fillId="46" borderId="12" xfId="0" applyFill="1" applyBorder="1" applyAlignment="1">
      <alignment wrapText="1"/>
    </xf>
    <xf numFmtId="3" fontId="44" fillId="46" borderId="17" xfId="0" applyNumberFormat="1" applyFont="1" applyFill="1" applyBorder="1"/>
    <xf numFmtId="3" fontId="0" fillId="46" borderId="11" xfId="0" applyNumberFormat="1" applyFill="1" applyBorder="1"/>
    <xf numFmtId="0" fontId="44" fillId="46" borderId="13" xfId="0" applyFont="1" applyFill="1" applyBorder="1" applyAlignment="1">
      <alignment horizontal="left"/>
    </xf>
    <xf numFmtId="0" fontId="39" fillId="46" borderId="35" xfId="0" applyFont="1" applyFill="1" applyBorder="1"/>
    <xf numFmtId="0" fontId="39" fillId="46" borderId="20" xfId="0" applyFont="1" applyFill="1" applyBorder="1"/>
    <xf numFmtId="0" fontId="39" fillId="46" borderId="17" xfId="0" applyFont="1" applyFill="1" applyBorder="1"/>
    <xf numFmtId="0" fontId="39" fillId="46" borderId="14" xfId="0" applyFont="1" applyFill="1" applyBorder="1"/>
    <xf numFmtId="0" fontId="39" fillId="46" borderId="0" xfId="0" applyFont="1" applyFill="1"/>
    <xf numFmtId="0" fontId="44" fillId="24" borderId="13" xfId="0" applyFont="1" applyFill="1" applyBorder="1" applyAlignment="1">
      <alignment horizontal="left"/>
    </xf>
    <xf numFmtId="165" fontId="44" fillId="24" borderId="21" xfId="0" applyNumberFormat="1" applyFont="1" applyFill="1" applyBorder="1" applyAlignment="1">
      <alignment horizontal="center" wrapText="1"/>
    </xf>
    <xf numFmtId="0" fontId="46" fillId="46" borderId="0" xfId="0" applyFont="1" applyFill="1" applyAlignment="1">
      <alignment horizontal="center" wrapText="1"/>
    </xf>
    <xf numFmtId="0" fontId="39" fillId="46" borderId="0" xfId="0" applyFont="1" applyFill="1" applyAlignment="1">
      <alignment horizontal="center" wrapText="1"/>
    </xf>
    <xf numFmtId="0" fontId="0" fillId="46" borderId="0" xfId="0" applyFill="1" applyAlignment="1">
      <alignment horizontal="center" wrapText="1"/>
    </xf>
    <xf numFmtId="0" fontId="0" fillId="46" borderId="18" xfId="0" applyFill="1" applyBorder="1"/>
    <xf numFmtId="164" fontId="46" fillId="46" borderId="0" xfId="0" applyNumberFormat="1" applyFont="1" applyFill="1"/>
    <xf numFmtId="165" fontId="46" fillId="46" borderId="0" xfId="0" applyNumberFormat="1" applyFont="1" applyFill="1"/>
    <xf numFmtId="3" fontId="44" fillId="24" borderId="17" xfId="0" applyNumberFormat="1" applyFont="1" applyFill="1" applyBorder="1"/>
    <xf numFmtId="165" fontId="44" fillId="46" borderId="0" xfId="0" applyNumberFormat="1" applyFont="1" applyFill="1"/>
    <xf numFmtId="0" fontId="48" fillId="46" borderId="0" xfId="82" applyFont="1" applyFill="1"/>
    <xf numFmtId="0" fontId="39" fillId="46" borderId="10" xfId="0" applyFont="1" applyFill="1" applyBorder="1"/>
    <xf numFmtId="0" fontId="0" fillId="46" borderId="10" xfId="0" applyFill="1" applyBorder="1"/>
    <xf numFmtId="0" fontId="44" fillId="46" borderId="12" xfId="0" applyFont="1" applyFill="1" applyBorder="1" applyAlignment="1">
      <alignment horizontal="left"/>
    </xf>
    <xf numFmtId="0" fontId="39" fillId="46" borderId="0" xfId="82" applyFont="1" applyFill="1"/>
    <xf numFmtId="0" fontId="46" fillId="42" borderId="0" xfId="0" applyFont="1" applyFill="1" applyAlignment="1">
      <alignment horizontal="center" wrapText="1"/>
    </xf>
    <xf numFmtId="0" fontId="39" fillId="42" borderId="0" xfId="0" applyFont="1" applyFill="1" applyAlignment="1">
      <alignment horizontal="center" wrapText="1"/>
    </xf>
    <xf numFmtId="0" fontId="0" fillId="42" borderId="0" xfId="0" applyFill="1" applyAlignment="1">
      <alignment horizontal="center" wrapText="1"/>
    </xf>
    <xf numFmtId="164" fontId="46" fillId="42" borderId="0" xfId="0" applyNumberFormat="1" applyFont="1" applyFill="1"/>
    <xf numFmtId="165" fontId="46" fillId="42" borderId="0" xfId="0" applyNumberFormat="1" applyFont="1" applyFill="1"/>
    <xf numFmtId="165" fontId="44" fillId="42" borderId="0" xfId="0" applyNumberFormat="1" applyFont="1" applyFill="1"/>
    <xf numFmtId="0" fontId="44" fillId="46" borderId="21" xfId="0" applyFont="1" applyFill="1" applyBorder="1"/>
    <xf numFmtId="0" fontId="46" fillId="0" borderId="20" xfId="0" applyFont="1" applyBorder="1" applyAlignment="1">
      <alignment horizontal="left"/>
    </xf>
    <xf numFmtId="3" fontId="44" fillId="0" borderId="20" xfId="0" applyNumberFormat="1" applyFon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66FFFF"/>
      <color rgb="FFFF00FF"/>
      <color rgb="FFE4E5B5"/>
      <color rgb="FF18646E"/>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161801</xdr:colOff>
      <xdr:row>13</xdr:row>
      <xdr:rowOff>162667</xdr:rowOff>
    </xdr:from>
    <xdr:to>
      <xdr:col>16</xdr:col>
      <xdr:colOff>20039</xdr:colOff>
      <xdr:row>15</xdr:row>
      <xdr:rowOff>251114</xdr:rowOff>
    </xdr:to>
    <xdr:sp macro="" textlink="">
      <xdr:nvSpPr>
        <xdr:cNvPr id="2" name="TextBox 1">
          <a:extLst>
            <a:ext uri="{FF2B5EF4-FFF2-40B4-BE49-F238E27FC236}">
              <a16:creationId xmlns:a16="http://schemas.microsoft.com/office/drawing/2014/main" id="{73E12CF5-F451-9152-0577-FD7CC2620A2A}"/>
            </a:ext>
          </a:extLst>
        </xdr:cNvPr>
        <xdr:cNvSpPr txBox="1"/>
      </xdr:nvSpPr>
      <xdr:spPr>
        <a:xfrm>
          <a:off x="161801" y="3331894"/>
          <a:ext cx="17600715" cy="45212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note: selpercatinib</a:t>
          </a:r>
          <a:r>
            <a:rPr lang="en-GB" sz="1100" baseline="0"/>
            <a:t> has different dosing regimens as outlined for people greater than and less than 50 kg.  There are expected to be very few people below 50 kg and it is assumed above that 100% of the population will be &gt;=50kg. These assumptions can be amended locally by adjusting the weighted percentages in cells K10 and K11. Users should ensure the 2 combined total 100% so that the whole treated population is captured.</a:t>
          </a:r>
          <a:endParaRPr lang="en-GB" sz="1100"/>
        </a:p>
      </xdr:txBody>
    </xdr:sp>
    <xdr:clientData/>
  </xdr:twoCellAnchor>
  <xdr:twoCellAnchor>
    <xdr:from>
      <xdr:col>1</xdr:col>
      <xdr:colOff>0</xdr:colOff>
      <xdr:row>23</xdr:row>
      <xdr:rowOff>104435</xdr:rowOff>
    </xdr:from>
    <xdr:to>
      <xdr:col>13</xdr:col>
      <xdr:colOff>404812</xdr:colOff>
      <xdr:row>25</xdr:row>
      <xdr:rowOff>95249</xdr:rowOff>
    </xdr:to>
    <xdr:sp macro="" textlink="">
      <xdr:nvSpPr>
        <xdr:cNvPr id="3" name="TextBox 2">
          <a:extLst>
            <a:ext uri="{FF2B5EF4-FFF2-40B4-BE49-F238E27FC236}">
              <a16:creationId xmlns:a16="http://schemas.microsoft.com/office/drawing/2014/main" id="{BEB81386-3131-2903-AAEE-797D2C92C65B}"/>
            </a:ext>
          </a:extLst>
        </xdr:cNvPr>
        <xdr:cNvSpPr txBox="1"/>
      </xdr:nvSpPr>
      <xdr:spPr>
        <a:xfrm>
          <a:off x="250031" y="5140779"/>
          <a:ext cx="15251906" cy="34800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a:t>
          </a:r>
          <a:r>
            <a:rPr lang="en-GB" sz="1100" baseline="0"/>
            <a:t> note cost per pack quoted above are for the combination dosing (i.e. a pack that contains a supply of both 80 mg and 20 mg capsules). The costs outlined in columns N, O and P have therefore been combined to accurately reflect costs.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btf-thyroid.org/thyroid-cancer-in-children"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pubmed.ncbi.nlm.nih.gov/32846061/" TargetMode="External"/><Relationship Id="rId12"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gov.uk/government/statistics/case-mix-adjusted-percentage-cancers-diagnosed-at-stages-1-and-2-by-ccg-in-england/national-disease-registration-service-case-mix-adjusted-percentage-of-cancers-diagnosed-at-stages-1-and-2-in-england-by-clinical-commissioning-group" TargetMode="External"/><Relationship Id="rId11" Type="http://schemas.openxmlformats.org/officeDocument/2006/relationships/printerSettings" Target="../printerSettings/printerSettings4.bin"/><Relationship Id="rId5" Type="http://schemas.openxmlformats.org/officeDocument/2006/relationships/hyperlink" Target="https://www.macmillan.org.uk/cancer-information-and-support/thyroid-cancer/medullary" TargetMode="External"/><Relationship Id="rId10"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digital.nhs.uk/data-and-information/publications/statistical/cancer-registration-statistics/england-2021---full-release" TargetMode="External"/><Relationship Id="rId9" Type="http://schemas.openxmlformats.org/officeDocument/2006/relationships/hyperlink" Target="https://pubmed.ncbi.nlm.nih.gov/25417114/%20fr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scopubs.org/doi/suppl/10.1200/JCO.23.02503/suppl_file/DS_JCO.23.02503.pdf"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32"/>
  <sheetViews>
    <sheetView showGridLines="0" tabSelected="1" zoomScale="80" zoomScaleNormal="80" zoomScaleSheetLayoutView="80" workbookViewId="0"/>
  </sheetViews>
  <sheetFormatPr defaultRowHeight="15"/>
  <cols>
    <col min="1" max="1" width="1.42578125" customWidth="1"/>
    <col min="2" max="2" width="1.85546875" customWidth="1"/>
    <col min="13" max="13" width="11.85546875" customWidth="1"/>
    <col min="14" max="14" width="8.5703125" customWidth="1"/>
    <col min="15" max="15" width="1.5703125" customWidth="1"/>
    <col min="16" max="16" width="1.42578125" customWidth="1"/>
    <col min="21" max="21" width="31" customWidth="1"/>
  </cols>
  <sheetData>
    <row r="2" spans="2:15">
      <c r="B2" s="171"/>
      <c r="C2" s="306"/>
      <c r="D2" s="306"/>
      <c r="E2" s="306"/>
      <c r="F2" s="306"/>
      <c r="G2" s="306"/>
      <c r="H2" s="306"/>
      <c r="I2" s="306"/>
      <c r="J2" s="306"/>
      <c r="K2" s="306"/>
      <c r="L2" s="306"/>
      <c r="M2" s="306"/>
      <c r="N2" s="306"/>
      <c r="O2" s="156"/>
    </row>
    <row r="3" spans="2:15">
      <c r="B3" s="159"/>
      <c r="O3" s="158"/>
    </row>
    <row r="4" spans="2:15">
      <c r="B4" s="159"/>
      <c r="C4" s="172"/>
      <c r="D4" s="172"/>
      <c r="E4" s="172"/>
      <c r="F4" s="172"/>
      <c r="G4" s="172"/>
      <c r="H4" s="172"/>
      <c r="I4" s="172"/>
      <c r="J4" s="172"/>
      <c r="K4" s="172"/>
      <c r="L4" s="172"/>
      <c r="M4" s="172"/>
      <c r="N4" s="172"/>
      <c r="O4" s="158"/>
    </row>
    <row r="5" spans="2:15" ht="31.5">
      <c r="B5" s="159"/>
      <c r="C5" s="173" t="s">
        <v>0</v>
      </c>
      <c r="D5" s="172"/>
      <c r="E5" s="172"/>
      <c r="F5" s="172"/>
      <c r="G5" s="172"/>
      <c r="H5" s="172"/>
      <c r="I5" s="172"/>
      <c r="J5" s="172"/>
      <c r="K5" s="172"/>
      <c r="L5" s="172"/>
      <c r="M5" s="172"/>
      <c r="N5" s="172"/>
      <c r="O5" s="158"/>
    </row>
    <row r="6" spans="2:15">
      <c r="B6" s="159"/>
      <c r="C6" s="172"/>
      <c r="D6" s="172"/>
      <c r="E6" s="172"/>
      <c r="F6" s="172"/>
      <c r="G6" s="172"/>
      <c r="H6" s="172"/>
      <c r="I6" s="172"/>
      <c r="J6" s="172"/>
      <c r="K6" s="172"/>
      <c r="L6" s="172"/>
      <c r="M6" s="172"/>
      <c r="N6" s="172"/>
      <c r="O6" s="158"/>
    </row>
    <row r="7" spans="2:15">
      <c r="B7" s="159"/>
      <c r="O7" s="158"/>
    </row>
    <row r="8" spans="2:15" ht="31.5">
      <c r="B8" s="159"/>
      <c r="C8" s="667" t="s">
        <v>1</v>
      </c>
      <c r="O8" s="158"/>
    </row>
    <row r="9" spans="2:15" ht="31.5">
      <c r="B9" s="159"/>
      <c r="C9" s="323" t="s">
        <v>918</v>
      </c>
      <c r="O9" s="158"/>
    </row>
    <row r="10" spans="2:15" ht="31.5">
      <c r="B10" s="159"/>
      <c r="C10" s="323" t="s">
        <v>919</v>
      </c>
      <c r="O10" s="158"/>
    </row>
    <row r="11" spans="2:15" ht="31.5">
      <c r="B11" s="159"/>
      <c r="C11" s="323" t="s">
        <v>920</v>
      </c>
      <c r="O11" s="158"/>
    </row>
    <row r="12" spans="2:15">
      <c r="B12" s="159"/>
      <c r="O12" s="158"/>
    </row>
    <row r="13" spans="2:15" ht="31.5">
      <c r="B13" s="159"/>
      <c r="C13" s="845" t="s">
        <v>1178</v>
      </c>
      <c r="D13" s="174"/>
      <c r="O13" s="158"/>
    </row>
    <row r="14" spans="2:15" ht="12.95" customHeight="1">
      <c r="B14" s="159"/>
      <c r="D14" s="174"/>
      <c r="O14" s="158"/>
    </row>
    <row r="15" spans="2:15" ht="31.5">
      <c r="B15" s="159"/>
      <c r="C15" s="323" t="s">
        <v>1179</v>
      </c>
      <c r="D15" s="174"/>
      <c r="O15" s="158"/>
    </row>
    <row r="16" spans="2:15" ht="8.1" customHeight="1">
      <c r="B16" s="159"/>
      <c r="C16" s="323"/>
      <c r="D16" s="174"/>
      <c r="O16" s="158"/>
    </row>
    <row r="17" spans="2:15" ht="6.95" customHeight="1">
      <c r="B17" s="159"/>
      <c r="C17" s="323"/>
      <c r="D17" s="174"/>
      <c r="O17" s="158"/>
    </row>
    <row r="18" spans="2:15">
      <c r="B18" s="159"/>
      <c r="O18" s="158"/>
    </row>
    <row r="19" spans="2:15">
      <c r="B19" s="159"/>
      <c r="O19" s="158"/>
    </row>
    <row r="20" spans="2:15">
      <c r="B20" s="159"/>
      <c r="C20" s="148" t="s">
        <v>2</v>
      </c>
      <c r="D20" s="194"/>
      <c r="E20" s="167"/>
      <c r="F20" s="232" t="s">
        <v>921</v>
      </c>
      <c r="G20" s="194"/>
      <c r="H20" s="194"/>
      <c r="I20" s="194"/>
      <c r="J20" s="194"/>
      <c r="K20" s="194"/>
      <c r="L20" s="194"/>
      <c r="M20" s="167"/>
      <c r="O20" s="158"/>
    </row>
    <row r="21" spans="2:15">
      <c r="B21" s="159"/>
      <c r="C21" s="807" t="s">
        <v>3</v>
      </c>
      <c r="D21" s="306"/>
      <c r="E21" s="156"/>
      <c r="F21" s="171" t="s">
        <v>922</v>
      </c>
      <c r="G21" s="306"/>
      <c r="H21" s="306"/>
      <c r="I21" s="306"/>
      <c r="J21" s="306"/>
      <c r="K21" s="306"/>
      <c r="L21" s="306"/>
      <c r="M21" s="156"/>
      <c r="O21" s="158"/>
    </row>
    <row r="22" spans="2:15">
      <c r="B22" s="159"/>
      <c r="C22" s="171" t="s">
        <v>4</v>
      </c>
      <c r="D22" s="306"/>
      <c r="E22" s="306"/>
      <c r="F22" s="171" t="s">
        <v>1136</v>
      </c>
      <c r="G22" s="306"/>
      <c r="H22" s="306"/>
      <c r="I22" s="306"/>
      <c r="J22" s="306"/>
      <c r="K22" s="306"/>
      <c r="L22" s="306"/>
      <c r="M22" s="156"/>
      <c r="O22" s="158"/>
    </row>
    <row r="23" spans="2:15">
      <c r="B23" s="159"/>
      <c r="C23" s="159"/>
      <c r="F23" s="159" t="s">
        <v>1137</v>
      </c>
      <c r="M23" s="158"/>
      <c r="O23" s="158"/>
    </row>
    <row r="24" spans="2:15">
      <c r="B24" s="159"/>
      <c r="C24" s="159"/>
      <c r="F24" s="159" t="s">
        <v>1138</v>
      </c>
      <c r="M24" s="158"/>
      <c r="O24" s="158"/>
    </row>
    <row r="25" spans="2:15">
      <c r="B25" s="159"/>
      <c r="C25" s="159"/>
      <c r="F25" s="159" t="s">
        <v>1139</v>
      </c>
      <c r="M25" s="158"/>
      <c r="O25" s="158"/>
    </row>
    <row r="26" spans="2:15">
      <c r="B26" s="159"/>
      <c r="C26" s="160"/>
      <c r="D26" s="161"/>
      <c r="E26" s="161"/>
      <c r="F26" s="160" t="s">
        <v>1140</v>
      </c>
      <c r="G26" s="161"/>
      <c r="H26" s="161"/>
      <c r="I26" s="161"/>
      <c r="J26" s="161"/>
      <c r="K26" s="161"/>
      <c r="L26" s="161"/>
      <c r="M26" s="162"/>
      <c r="O26" s="158"/>
    </row>
    <row r="27" spans="2:15">
      <c r="B27" s="159"/>
      <c r="C27" s="817" t="s">
        <v>5</v>
      </c>
      <c r="D27" s="161"/>
      <c r="E27" s="162"/>
      <c r="F27" s="160" t="s">
        <v>923</v>
      </c>
      <c r="G27" s="161"/>
      <c r="H27" s="161"/>
      <c r="I27" s="161"/>
      <c r="J27" s="161"/>
      <c r="K27" s="161"/>
      <c r="L27" s="161"/>
      <c r="M27" s="162"/>
      <c r="O27" s="158"/>
    </row>
    <row r="28" spans="2:15">
      <c r="B28" s="159"/>
      <c r="C28" s="232" t="s">
        <v>6</v>
      </c>
      <c r="D28" s="194"/>
      <c r="E28" s="167"/>
      <c r="F28" s="232" t="s">
        <v>924</v>
      </c>
      <c r="G28" s="194"/>
      <c r="H28" s="194"/>
      <c r="I28" s="194"/>
      <c r="J28" s="194"/>
      <c r="K28" s="194"/>
      <c r="L28" s="194"/>
      <c r="M28" s="167"/>
      <c r="O28" s="158"/>
    </row>
    <row r="29" spans="2:15">
      <c r="B29" s="159"/>
      <c r="C29" s="148" t="s">
        <v>7</v>
      </c>
      <c r="D29" s="194"/>
      <c r="E29" s="167"/>
      <c r="F29" s="232" t="s">
        <v>925</v>
      </c>
      <c r="G29" s="194"/>
      <c r="H29" s="194"/>
      <c r="I29" s="194"/>
      <c r="J29" s="194"/>
      <c r="K29" s="194"/>
      <c r="L29" s="194"/>
      <c r="M29" s="167"/>
      <c r="O29" s="158"/>
    </row>
    <row r="30" spans="2:15">
      <c r="B30" s="159"/>
      <c r="C30" s="148" t="s">
        <v>8</v>
      </c>
      <c r="D30" s="194"/>
      <c r="E30" s="167"/>
      <c r="F30" s="232" t="s">
        <v>926</v>
      </c>
      <c r="G30" s="194"/>
      <c r="H30" s="194"/>
      <c r="I30" s="194"/>
      <c r="J30" s="194"/>
      <c r="K30" s="194"/>
      <c r="L30" s="194"/>
      <c r="M30" s="167"/>
      <c r="O30" s="158"/>
    </row>
    <row r="31" spans="2:15">
      <c r="B31" s="159"/>
      <c r="C31" s="148" t="s">
        <v>9</v>
      </c>
      <c r="D31" s="194"/>
      <c r="E31" s="167"/>
      <c r="F31" s="772" t="s">
        <v>1022</v>
      </c>
      <c r="G31" s="194"/>
      <c r="H31" s="194"/>
      <c r="I31" s="194"/>
      <c r="J31" s="194"/>
      <c r="K31" s="194"/>
      <c r="L31" s="194"/>
      <c r="M31" s="167"/>
      <c r="O31" s="158"/>
    </row>
    <row r="32" spans="2:15">
      <c r="B32" s="160"/>
      <c r="C32" s="161"/>
      <c r="D32" s="161"/>
      <c r="E32" s="161"/>
      <c r="F32" s="161"/>
      <c r="G32" s="161"/>
      <c r="H32" s="161"/>
      <c r="I32" s="161"/>
      <c r="J32" s="161"/>
      <c r="K32" s="161"/>
      <c r="L32" s="161"/>
      <c r="M32" s="161"/>
      <c r="N32" s="161"/>
      <c r="O32" s="162"/>
    </row>
  </sheetData>
  <sheetProtection algorithmName="SHA-512" hashValue="/0Ma0hXF1xJPJaI5iXFMxii9AJP9wNHJ1HA2kvDbEo8QrE/QtbHwhY+lk6HdeKdNbZwFJ6bG4DBOOAzXJS+k8A==" saltValue="R6uK8qHPF3No+t+DXnCuy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80" zoomScaleNormal="80" workbookViewId="0"/>
  </sheetViews>
  <sheetFormatPr defaultColWidth="8.5703125" defaultRowHeight="15"/>
  <cols>
    <col min="1" max="1" width="13.5703125" customWidth="1"/>
    <col min="2" max="2" width="40" customWidth="1"/>
    <col min="3" max="4" width="12.7109375" customWidth="1"/>
    <col min="5" max="6" width="11.85546875" customWidth="1"/>
    <col min="7" max="7" width="10.42578125" style="450" customWidth="1"/>
    <col min="8" max="8" width="11.85546875" customWidth="1"/>
    <col min="9" max="9" width="12.5703125" customWidth="1"/>
    <col min="10" max="10" width="10.140625" customWidth="1"/>
    <col min="11" max="13" width="9" customWidth="1"/>
    <col min="14" max="14" width="13.28515625" customWidth="1"/>
    <col min="15" max="15" width="15.42578125" hidden="1" customWidth="1"/>
    <col min="16" max="16" width="13.42578125" hidden="1" customWidth="1"/>
    <col min="17" max="17" width="14.42578125" hidden="1" customWidth="1"/>
    <col min="18" max="18" width="10.42578125" hidden="1" customWidth="1"/>
    <col min="19" max="19" width="0" hidden="1" customWidth="1"/>
    <col min="20" max="20" width="21.5703125" hidden="1" customWidth="1"/>
    <col min="21" max="21" width="32.140625" hidden="1" customWidth="1"/>
    <col min="22" max="22" width="47.28515625" bestFit="1" customWidth="1"/>
    <col min="23" max="23" width="10" customWidth="1"/>
  </cols>
  <sheetData>
    <row r="1" spans="1:24" ht="21" customHeight="1">
      <c r="A1" s="679" t="s">
        <v>902</v>
      </c>
      <c r="B1" s="679"/>
      <c r="C1" s="679"/>
      <c r="D1" s="679"/>
      <c r="E1" s="679"/>
      <c r="F1" s="679"/>
      <c r="G1" s="679"/>
      <c r="H1" s="679"/>
      <c r="I1" s="679"/>
      <c r="J1" s="679"/>
      <c r="K1" s="679"/>
      <c r="L1" s="679"/>
      <c r="M1" s="679"/>
    </row>
    <row r="2" spans="1:24" ht="14.45" customHeight="1" thickBot="1">
      <c r="A2" s="128"/>
      <c r="B2" s="128"/>
      <c r="C2" s="128"/>
      <c r="D2" s="128"/>
      <c r="E2" s="128"/>
      <c r="F2" s="128"/>
      <c r="G2" s="128"/>
      <c r="H2" s="128"/>
      <c r="I2" s="128"/>
      <c r="J2" s="128"/>
      <c r="K2" s="128"/>
      <c r="L2" s="128"/>
      <c r="M2" s="128"/>
    </row>
    <row r="3" spans="1:24" ht="14.45" customHeight="1">
      <c r="A3" s="128"/>
      <c r="B3" s="781" t="s">
        <v>41</v>
      </c>
      <c r="C3" s="782"/>
      <c r="D3" s="128"/>
      <c r="E3" s="128"/>
      <c r="F3" s="128"/>
      <c r="G3" s="128"/>
      <c r="H3" s="128"/>
      <c r="I3" s="128"/>
      <c r="J3" s="128"/>
      <c r="K3" s="128"/>
      <c r="L3" s="128"/>
      <c r="M3" s="128"/>
    </row>
    <row r="4" spans="1:24" ht="14.45" customHeight="1">
      <c r="A4" s="128"/>
      <c r="B4" s="783" t="s">
        <v>1091</v>
      </c>
      <c r="C4" s="833" t="s">
        <v>1092</v>
      </c>
      <c r="D4" s="784" t="s">
        <v>1093</v>
      </c>
      <c r="E4" s="128"/>
      <c r="F4" s="128"/>
      <c r="G4" s="128"/>
      <c r="H4" s="128"/>
      <c r="I4" s="128"/>
      <c r="J4" s="128"/>
      <c r="K4" s="128"/>
      <c r="L4" s="128"/>
      <c r="M4" s="128"/>
    </row>
    <row r="5" spans="1:24" ht="14.45" customHeight="1">
      <c r="A5" s="128"/>
      <c r="B5" s="783" t="s">
        <v>1094</v>
      </c>
      <c r="C5" s="834">
        <v>9100</v>
      </c>
      <c r="D5" s="128"/>
      <c r="E5" s="128"/>
      <c r="F5" s="128"/>
      <c r="G5" s="128"/>
      <c r="H5" s="128"/>
      <c r="I5" s="128"/>
      <c r="J5" s="128"/>
      <c r="K5" s="128"/>
      <c r="L5" s="128"/>
      <c r="M5" s="128"/>
    </row>
    <row r="6" spans="1:24" ht="14.45" customHeight="1">
      <c r="A6" s="128"/>
      <c r="B6" s="783" t="s">
        <v>1095</v>
      </c>
      <c r="C6" s="835">
        <v>0.13800000000000001</v>
      </c>
      <c r="D6" s="128"/>
      <c r="E6" s="128"/>
      <c r="F6" s="128"/>
      <c r="G6" s="128"/>
      <c r="H6" s="128"/>
      <c r="I6" s="128"/>
      <c r="J6" s="128"/>
      <c r="K6" s="128"/>
      <c r="L6" s="128"/>
      <c r="M6" s="128"/>
    </row>
    <row r="7" spans="1:24" ht="14.45" customHeight="1">
      <c r="A7" s="128"/>
      <c r="B7" s="783" t="s">
        <v>1096</v>
      </c>
      <c r="C7" s="835">
        <v>0.23780000000000001</v>
      </c>
      <c r="D7" s="128"/>
      <c r="E7" s="128"/>
      <c r="F7" s="128"/>
      <c r="G7" s="128"/>
      <c r="H7" s="128"/>
      <c r="I7" s="128"/>
      <c r="J7" s="128"/>
      <c r="K7" s="128"/>
      <c r="L7" s="128"/>
      <c r="M7" s="128"/>
    </row>
    <row r="8" spans="1:24" ht="14.45" customHeight="1">
      <c r="A8" s="128"/>
      <c r="B8" s="783" t="s">
        <v>1097</v>
      </c>
      <c r="C8" s="835">
        <v>5.0000000000000001E-3</v>
      </c>
      <c r="D8" s="128"/>
      <c r="E8" s="128"/>
      <c r="F8" s="128"/>
      <c r="G8" s="128"/>
      <c r="H8" s="128"/>
      <c r="I8" s="128"/>
      <c r="J8" s="128"/>
      <c r="K8" s="128"/>
      <c r="L8" s="128"/>
      <c r="M8" s="128"/>
    </row>
    <row r="9" spans="1:24" ht="14.45" customHeight="1" thickBot="1">
      <c r="A9" s="128"/>
      <c r="B9" s="785" t="s">
        <v>1098</v>
      </c>
      <c r="C9" s="836">
        <v>0</v>
      </c>
      <c r="D9" s="128"/>
      <c r="E9" s="128"/>
      <c r="F9" s="128"/>
      <c r="G9" s="128"/>
      <c r="H9" s="128"/>
      <c r="I9" s="128"/>
      <c r="J9" s="128"/>
      <c r="K9" s="128"/>
      <c r="L9" s="128"/>
      <c r="M9" s="128"/>
      <c r="R9" s="786"/>
    </row>
    <row r="10" spans="1:24" ht="15.75" thickBot="1">
      <c r="P10" s="787"/>
      <c r="R10" s="787"/>
    </row>
    <row r="11" spans="1:24" ht="109.5" customHeight="1" thickBot="1">
      <c r="A11" s="788" t="s">
        <v>848</v>
      </c>
      <c r="B11" s="789" t="s">
        <v>1099</v>
      </c>
      <c r="C11" s="790" t="s">
        <v>1100</v>
      </c>
      <c r="D11" s="790" t="s">
        <v>1101</v>
      </c>
      <c r="E11" s="790" t="s">
        <v>1102</v>
      </c>
      <c r="F11" s="790" t="s">
        <v>1103</v>
      </c>
      <c r="G11" s="791" t="s">
        <v>1104</v>
      </c>
      <c r="H11" s="790" t="s">
        <v>1105</v>
      </c>
      <c r="I11" s="792" t="s">
        <v>1106</v>
      </c>
      <c r="J11" s="793" t="s">
        <v>1107</v>
      </c>
      <c r="K11" s="794" t="s">
        <v>834</v>
      </c>
      <c r="L11" s="795" t="s">
        <v>849</v>
      </c>
      <c r="M11" s="796" t="s">
        <v>850</v>
      </c>
      <c r="O11" t="s">
        <v>1092</v>
      </c>
      <c r="P11" t="s">
        <v>1108</v>
      </c>
      <c r="Q11" t="s">
        <v>1109</v>
      </c>
      <c r="R11" t="s">
        <v>1110</v>
      </c>
    </row>
    <row r="12" spans="1:24">
      <c r="A12" s="797">
        <v>2</v>
      </c>
      <c r="B12" s="798" t="s">
        <v>851</v>
      </c>
      <c r="C12" s="799">
        <f>HLOOKUP($C$4,$O$11:$R$41,2,FALSE)</f>
        <v>23615</v>
      </c>
      <c r="D12" s="799">
        <f>C12*$C$9</f>
        <v>0</v>
      </c>
      <c r="E12" s="799">
        <f>C12*(100%+$C$9)</f>
        <v>23615</v>
      </c>
      <c r="F12" s="799">
        <f>(E12-$C$5)*$C$6</f>
        <v>2003.0700000000002</v>
      </c>
      <c r="G12" s="800">
        <f>E12*$C$8</f>
        <v>118.075</v>
      </c>
      <c r="H12" s="799">
        <f>E12*$C$7</f>
        <v>5615.6469999999999</v>
      </c>
      <c r="I12" s="801">
        <f>SUM(E12:H12)</f>
        <v>31351.792000000001</v>
      </c>
      <c r="J12" s="829">
        <v>1560</v>
      </c>
      <c r="K12" s="802">
        <f>ROUND(I12/J12,2)</f>
        <v>20.100000000000001</v>
      </c>
      <c r="L12" s="803">
        <v>0.41</v>
      </c>
      <c r="M12" s="804">
        <v>0.83</v>
      </c>
      <c r="O12" s="786">
        <v>23615</v>
      </c>
      <c r="P12" s="281">
        <v>29029</v>
      </c>
      <c r="Q12">
        <v>28166</v>
      </c>
      <c r="R12">
        <v>24873</v>
      </c>
      <c r="V12" s="171"/>
      <c r="W12" s="306"/>
      <c r="X12" s="156"/>
    </row>
    <row r="13" spans="1:24">
      <c r="A13" s="462">
        <v>2</v>
      </c>
      <c r="B13" s="805" t="s">
        <v>852</v>
      </c>
      <c r="C13" s="451">
        <f>HLOOKUP($C$4,$O$11:$R$41,3,FALSE)</f>
        <v>23615</v>
      </c>
      <c r="D13" s="451">
        <f t="shared" ref="D13:D47" si="0">C13*$C$9</f>
        <v>0</v>
      </c>
      <c r="E13" s="451">
        <f t="shared" ref="E13:E47" si="1">C13*(100%+$C$9)</f>
        <v>23615</v>
      </c>
      <c r="F13" s="451">
        <f t="shared" ref="F13:F47" si="2">(E13-$C$5)*$C$6</f>
        <v>2003.0700000000002</v>
      </c>
      <c r="G13" s="454">
        <f t="shared" ref="G13:G47" si="3">E13*$C$8</f>
        <v>118.075</v>
      </c>
      <c r="H13" s="451">
        <f t="shared" ref="H13:H47" si="4">E13*$C$7</f>
        <v>5615.6469999999999</v>
      </c>
      <c r="I13" s="801">
        <f t="shared" ref="I13:I47" si="5">SUM(E13:H13)</f>
        <v>31351.792000000001</v>
      </c>
      <c r="J13" s="592">
        <v>1560</v>
      </c>
      <c r="K13" s="802">
        <f t="shared" ref="K13:K47" si="6">ROUND(I13/J13,2)</f>
        <v>20.100000000000001</v>
      </c>
      <c r="L13" s="452">
        <v>0.41</v>
      </c>
      <c r="M13" s="674">
        <v>0.83</v>
      </c>
      <c r="O13" s="786">
        <v>23615</v>
      </c>
      <c r="P13" s="281">
        <v>29029</v>
      </c>
      <c r="Q13">
        <v>28166</v>
      </c>
      <c r="R13">
        <v>24873</v>
      </c>
      <c r="V13" s="509" t="s">
        <v>880</v>
      </c>
      <c r="X13" s="158"/>
    </row>
    <row r="14" spans="1:24">
      <c r="A14" s="462">
        <v>3</v>
      </c>
      <c r="B14" s="805" t="s">
        <v>853</v>
      </c>
      <c r="C14" s="451">
        <f>HLOOKUP($C$4,$O$11:$R$41,4,FALSE)</f>
        <v>24071</v>
      </c>
      <c r="D14" s="451">
        <f t="shared" si="0"/>
        <v>0</v>
      </c>
      <c r="E14" s="451">
        <f t="shared" si="1"/>
        <v>24071</v>
      </c>
      <c r="F14" s="451">
        <f t="shared" si="2"/>
        <v>2065.998</v>
      </c>
      <c r="G14" s="454">
        <f t="shared" si="3"/>
        <v>120.355</v>
      </c>
      <c r="H14" s="451">
        <f t="shared" si="4"/>
        <v>5724.0838000000003</v>
      </c>
      <c r="I14" s="801">
        <f t="shared" si="5"/>
        <v>31981.436799999999</v>
      </c>
      <c r="J14" s="592">
        <v>1560</v>
      </c>
      <c r="K14" s="802">
        <f t="shared" si="6"/>
        <v>20.5</v>
      </c>
      <c r="L14" s="452">
        <v>0.35</v>
      </c>
      <c r="M14" s="674">
        <v>0.69</v>
      </c>
      <c r="O14" s="786">
        <v>24071</v>
      </c>
      <c r="P14" s="281">
        <v>29485</v>
      </c>
      <c r="Q14">
        <v>28622</v>
      </c>
      <c r="R14">
        <v>25329</v>
      </c>
      <c r="S14" t="s">
        <v>1092</v>
      </c>
      <c r="V14" s="510" t="s">
        <v>881</v>
      </c>
      <c r="W14" s="831">
        <v>260</v>
      </c>
      <c r="X14" s="158"/>
    </row>
    <row r="15" spans="1:24">
      <c r="A15" s="462">
        <v>3</v>
      </c>
      <c r="B15" s="805" t="s">
        <v>854</v>
      </c>
      <c r="C15" s="451">
        <f>HLOOKUP($C$4,$O$11:$R$41,5,FALSE)</f>
        <v>25674</v>
      </c>
      <c r="D15" s="451">
        <f t="shared" si="0"/>
        <v>0</v>
      </c>
      <c r="E15" s="451">
        <f t="shared" si="1"/>
        <v>25674</v>
      </c>
      <c r="F15" s="451">
        <f t="shared" si="2"/>
        <v>2287.212</v>
      </c>
      <c r="G15" s="454">
        <f t="shared" si="3"/>
        <v>128.37</v>
      </c>
      <c r="H15" s="451">
        <f t="shared" si="4"/>
        <v>6105.2772000000004</v>
      </c>
      <c r="I15" s="801">
        <f t="shared" si="5"/>
        <v>34194.859199999999</v>
      </c>
      <c r="J15" s="592">
        <v>1560</v>
      </c>
      <c r="K15" s="802">
        <f t="shared" si="6"/>
        <v>21.92</v>
      </c>
      <c r="L15" s="452">
        <v>0.35</v>
      </c>
      <c r="M15" s="674">
        <v>0.69</v>
      </c>
      <c r="O15" s="786">
        <v>25674</v>
      </c>
      <c r="P15" s="281">
        <v>31088</v>
      </c>
      <c r="Q15">
        <v>30225</v>
      </c>
      <c r="R15">
        <v>26958</v>
      </c>
      <c r="S15" t="s">
        <v>1111</v>
      </c>
      <c r="V15" s="510" t="s">
        <v>882</v>
      </c>
      <c r="W15" s="831">
        <v>-40</v>
      </c>
      <c r="X15" s="158"/>
    </row>
    <row r="16" spans="1:24">
      <c r="A16" s="462">
        <v>4</v>
      </c>
      <c r="B16" s="805" t="s">
        <v>855</v>
      </c>
      <c r="C16" s="451">
        <f>HLOOKUP($C$4,$O$11:$R$41,6,FALSE)</f>
        <v>26530</v>
      </c>
      <c r="D16" s="451">
        <f t="shared" si="0"/>
        <v>0</v>
      </c>
      <c r="E16" s="451">
        <f t="shared" si="1"/>
        <v>26530</v>
      </c>
      <c r="F16" s="451">
        <f t="shared" si="2"/>
        <v>2405.34</v>
      </c>
      <c r="G16" s="454">
        <f t="shared" si="3"/>
        <v>132.65</v>
      </c>
      <c r="H16" s="451">
        <f t="shared" si="4"/>
        <v>6308.8340000000007</v>
      </c>
      <c r="I16" s="801">
        <f t="shared" si="5"/>
        <v>35376.824000000001</v>
      </c>
      <c r="J16" s="592">
        <v>1560</v>
      </c>
      <c r="K16" s="802">
        <f t="shared" si="6"/>
        <v>22.68</v>
      </c>
      <c r="L16" s="452">
        <v>0.3</v>
      </c>
      <c r="M16" s="674">
        <v>0.6</v>
      </c>
      <c r="O16" s="786">
        <v>26530</v>
      </c>
      <c r="P16" s="281">
        <v>31944</v>
      </c>
      <c r="Q16">
        <v>31081</v>
      </c>
      <c r="R16">
        <v>27857</v>
      </c>
      <c r="S16" t="s">
        <v>1112</v>
      </c>
      <c r="V16" s="510" t="s">
        <v>883</v>
      </c>
      <c r="W16" s="831">
        <v>-2</v>
      </c>
      <c r="X16" s="158"/>
    </row>
    <row r="17" spans="1:24">
      <c r="A17" s="462">
        <v>4</v>
      </c>
      <c r="B17" s="805" t="s">
        <v>856</v>
      </c>
      <c r="C17" s="451">
        <f>HLOOKUP($C$4,$O$11:$R$41,7,FALSE)</f>
        <v>29114</v>
      </c>
      <c r="D17" s="451">
        <f t="shared" si="0"/>
        <v>0</v>
      </c>
      <c r="E17" s="451">
        <f t="shared" si="1"/>
        <v>29114</v>
      </c>
      <c r="F17" s="451">
        <f t="shared" si="2"/>
        <v>2761.9320000000002</v>
      </c>
      <c r="G17" s="454">
        <f t="shared" si="3"/>
        <v>145.57</v>
      </c>
      <c r="H17" s="451">
        <f t="shared" si="4"/>
        <v>6923.3092000000006</v>
      </c>
      <c r="I17" s="801">
        <f t="shared" si="5"/>
        <v>38944.811200000004</v>
      </c>
      <c r="J17" s="592">
        <v>1560</v>
      </c>
      <c r="K17" s="802">
        <f t="shared" si="6"/>
        <v>24.96</v>
      </c>
      <c r="L17" s="452">
        <v>0.3</v>
      </c>
      <c r="M17" s="674">
        <v>0.6</v>
      </c>
      <c r="O17" s="786">
        <v>29114</v>
      </c>
      <c r="P17" s="281">
        <v>34937</v>
      </c>
      <c r="Q17">
        <v>33665</v>
      </c>
      <c r="R17">
        <v>30570</v>
      </c>
      <c r="S17" t="s">
        <v>1113</v>
      </c>
      <c r="V17" s="510" t="s">
        <v>884</v>
      </c>
      <c r="W17" s="831">
        <v>-10</v>
      </c>
      <c r="X17" s="158"/>
    </row>
    <row r="18" spans="1:24">
      <c r="A18" s="462">
        <v>5</v>
      </c>
      <c r="B18" s="805" t="s">
        <v>857</v>
      </c>
      <c r="C18" s="451">
        <f>HLOOKUP($C$4,$O$11:$R$41,8,FALSE)</f>
        <v>29970</v>
      </c>
      <c r="D18" s="451">
        <f t="shared" si="0"/>
        <v>0</v>
      </c>
      <c r="E18" s="451">
        <f t="shared" si="1"/>
        <v>29970</v>
      </c>
      <c r="F18" s="451">
        <f t="shared" si="2"/>
        <v>2880.0600000000004</v>
      </c>
      <c r="G18" s="454">
        <f t="shared" si="3"/>
        <v>149.85</v>
      </c>
      <c r="H18" s="451">
        <f t="shared" si="4"/>
        <v>7126.866</v>
      </c>
      <c r="I18" s="801">
        <f t="shared" si="5"/>
        <v>40126.775999999998</v>
      </c>
      <c r="J18" s="592">
        <v>1560</v>
      </c>
      <c r="K18" s="802">
        <f t="shared" si="6"/>
        <v>25.72</v>
      </c>
      <c r="L18" s="452">
        <v>0.3</v>
      </c>
      <c r="M18" s="674">
        <v>0.6</v>
      </c>
      <c r="O18" s="786">
        <v>29970</v>
      </c>
      <c r="P18" s="281">
        <v>35964</v>
      </c>
      <c r="Q18">
        <v>34521</v>
      </c>
      <c r="R18">
        <v>31469</v>
      </c>
      <c r="V18" s="510" t="s">
        <v>1118</v>
      </c>
      <c r="W18" s="306">
        <v>208</v>
      </c>
      <c r="X18" s="158"/>
    </row>
    <row r="19" spans="1:24">
      <c r="A19" s="462">
        <v>5</v>
      </c>
      <c r="B19" s="805" t="s">
        <v>858</v>
      </c>
      <c r="C19" s="451">
        <f>HLOOKUP($C$4,$O$11:$R$41,9,FALSE)</f>
        <v>32324</v>
      </c>
      <c r="D19" s="451">
        <f t="shared" si="0"/>
        <v>0</v>
      </c>
      <c r="E19" s="451">
        <f t="shared" si="1"/>
        <v>32324</v>
      </c>
      <c r="F19" s="451">
        <f t="shared" si="2"/>
        <v>3204.9120000000003</v>
      </c>
      <c r="G19" s="454">
        <f t="shared" si="3"/>
        <v>161.62</v>
      </c>
      <c r="H19" s="451">
        <f t="shared" si="4"/>
        <v>7686.6472000000003</v>
      </c>
      <c r="I19" s="801">
        <f t="shared" si="5"/>
        <v>43377.179199999999</v>
      </c>
      <c r="J19" s="592">
        <v>1560</v>
      </c>
      <c r="K19" s="802">
        <f t="shared" si="6"/>
        <v>27.81</v>
      </c>
      <c r="L19" s="452">
        <v>0.3</v>
      </c>
      <c r="M19" s="674">
        <v>0.6</v>
      </c>
      <c r="O19" s="786">
        <v>32324</v>
      </c>
      <c r="P19" s="281">
        <v>38789</v>
      </c>
      <c r="Q19">
        <v>37173</v>
      </c>
      <c r="R19">
        <v>33941</v>
      </c>
      <c r="V19" s="510" t="s">
        <v>1119</v>
      </c>
      <c r="W19" s="831">
        <v>7.5</v>
      </c>
      <c r="X19" s="158"/>
    </row>
    <row r="20" spans="1:24">
      <c r="A20" s="462">
        <v>5</v>
      </c>
      <c r="B20" s="805" t="s">
        <v>859</v>
      </c>
      <c r="C20" s="451">
        <f>HLOOKUP($C$4,$O$11:$R$41,10,FALSE)</f>
        <v>36483</v>
      </c>
      <c r="D20" s="451">
        <f t="shared" si="0"/>
        <v>0</v>
      </c>
      <c r="E20" s="451">
        <f t="shared" si="1"/>
        <v>36483</v>
      </c>
      <c r="F20" s="451">
        <f t="shared" si="2"/>
        <v>3778.8540000000003</v>
      </c>
      <c r="G20" s="454">
        <f t="shared" si="3"/>
        <v>182.41499999999999</v>
      </c>
      <c r="H20" s="451">
        <f t="shared" si="4"/>
        <v>8675.6574000000001</v>
      </c>
      <c r="I20" s="801">
        <f t="shared" si="5"/>
        <v>49119.926399999997</v>
      </c>
      <c r="J20" s="592">
        <v>1560</v>
      </c>
      <c r="K20" s="802">
        <f t="shared" si="6"/>
        <v>31.49</v>
      </c>
      <c r="L20" s="452">
        <v>0.3</v>
      </c>
      <c r="M20" s="674">
        <v>0.6</v>
      </c>
      <c r="O20" s="786">
        <v>36483</v>
      </c>
      <c r="P20" s="281">
        <v>43780</v>
      </c>
      <c r="Q20">
        <v>41956</v>
      </c>
      <c r="R20">
        <v>38308</v>
      </c>
      <c r="V20" s="510" t="s">
        <v>886</v>
      </c>
      <c r="W20" s="342">
        <f>W18*W19</f>
        <v>1560</v>
      </c>
      <c r="X20" s="158"/>
    </row>
    <row r="21" spans="1:24">
      <c r="A21" s="462">
        <v>6</v>
      </c>
      <c r="B21" s="805" t="s">
        <v>860</v>
      </c>
      <c r="C21" s="451">
        <f>HLOOKUP($C$4,$O$11:$R$41,11,FALSE)</f>
        <v>37338</v>
      </c>
      <c r="D21" s="451">
        <f t="shared" si="0"/>
        <v>0</v>
      </c>
      <c r="E21" s="451">
        <f t="shared" si="1"/>
        <v>37338</v>
      </c>
      <c r="F21" s="451">
        <f t="shared" si="2"/>
        <v>3896.8440000000005</v>
      </c>
      <c r="G21" s="454">
        <f t="shared" si="3"/>
        <v>186.69</v>
      </c>
      <c r="H21" s="451">
        <f t="shared" si="4"/>
        <v>8878.9763999999996</v>
      </c>
      <c r="I21" s="801">
        <f t="shared" si="5"/>
        <v>50300.510399999999</v>
      </c>
      <c r="J21" s="592">
        <v>1560</v>
      </c>
      <c r="K21" s="802">
        <f t="shared" si="6"/>
        <v>32.24</v>
      </c>
      <c r="L21" s="452">
        <v>0.3</v>
      </c>
      <c r="M21" s="674">
        <v>0.6</v>
      </c>
      <c r="O21" s="786">
        <v>37338</v>
      </c>
      <c r="P21" s="281">
        <v>44806</v>
      </c>
      <c r="Q21">
        <v>42939</v>
      </c>
      <c r="R21">
        <v>39205</v>
      </c>
      <c r="V21" s="510"/>
      <c r="X21" s="158"/>
    </row>
    <row r="22" spans="1:24">
      <c r="A22" s="462">
        <v>6</v>
      </c>
      <c r="B22" s="805" t="s">
        <v>723</v>
      </c>
      <c r="C22" s="451">
        <f>HLOOKUP($C$4,$O$11:$R$41,12,FALSE)</f>
        <v>39405</v>
      </c>
      <c r="D22" s="451">
        <f t="shared" si="0"/>
        <v>0</v>
      </c>
      <c r="E22" s="451">
        <f t="shared" si="1"/>
        <v>39405</v>
      </c>
      <c r="F22" s="451">
        <f t="shared" si="2"/>
        <v>4182.09</v>
      </c>
      <c r="G22" s="454">
        <f t="shared" si="3"/>
        <v>197.02500000000001</v>
      </c>
      <c r="H22" s="451">
        <f t="shared" si="4"/>
        <v>9370.509</v>
      </c>
      <c r="I22" s="801">
        <f t="shared" si="5"/>
        <v>53154.623999999996</v>
      </c>
      <c r="J22" s="592">
        <v>1560</v>
      </c>
      <c r="K22" s="802">
        <f t="shared" si="6"/>
        <v>34.07</v>
      </c>
      <c r="L22" s="452">
        <v>0.3</v>
      </c>
      <c r="M22" s="674">
        <v>0.6</v>
      </c>
      <c r="O22" s="786">
        <v>39405</v>
      </c>
      <c r="P22" s="281">
        <v>47286</v>
      </c>
      <c r="Q22">
        <v>45140</v>
      </c>
      <c r="R22">
        <v>41376</v>
      </c>
      <c r="V22" s="509" t="s">
        <v>878</v>
      </c>
      <c r="X22" s="158"/>
    </row>
    <row r="23" spans="1:24">
      <c r="A23" s="462">
        <v>6</v>
      </c>
      <c r="B23" s="805" t="s">
        <v>861</v>
      </c>
      <c r="C23" s="451">
        <f>HLOOKUP($C$4,$O$11:$R$41,13,FALSE)</f>
        <v>44962</v>
      </c>
      <c r="D23" s="451">
        <f t="shared" si="0"/>
        <v>0</v>
      </c>
      <c r="E23" s="451">
        <f t="shared" si="1"/>
        <v>44962</v>
      </c>
      <c r="F23" s="451">
        <f t="shared" si="2"/>
        <v>4948.9560000000001</v>
      </c>
      <c r="G23" s="454">
        <f t="shared" si="3"/>
        <v>224.81</v>
      </c>
      <c r="H23" s="451">
        <f t="shared" si="4"/>
        <v>10691.963600000001</v>
      </c>
      <c r="I23" s="801">
        <f t="shared" si="5"/>
        <v>60827.729599999999</v>
      </c>
      <c r="J23" s="592">
        <v>1560</v>
      </c>
      <c r="K23" s="802">
        <f t="shared" si="6"/>
        <v>38.99</v>
      </c>
      <c r="L23" s="452">
        <v>0.3</v>
      </c>
      <c r="M23" s="674">
        <v>0.6</v>
      </c>
      <c r="O23" s="786">
        <v>44962</v>
      </c>
      <c r="P23" s="281">
        <v>53134</v>
      </c>
      <c r="Q23">
        <v>50697</v>
      </c>
      <c r="R23">
        <v>47084</v>
      </c>
      <c r="V23" s="510" t="s">
        <v>887</v>
      </c>
      <c r="W23" s="831">
        <v>43</v>
      </c>
      <c r="X23" s="158"/>
    </row>
    <row r="24" spans="1:24">
      <c r="A24" s="462">
        <v>7</v>
      </c>
      <c r="B24" s="805" t="s">
        <v>862</v>
      </c>
      <c r="C24" s="451">
        <f>HLOOKUP($C$4,$O$11:$R$41,14,FALSE)</f>
        <v>46148</v>
      </c>
      <c r="D24" s="451">
        <f t="shared" si="0"/>
        <v>0</v>
      </c>
      <c r="E24" s="451">
        <f t="shared" si="1"/>
        <v>46148</v>
      </c>
      <c r="F24" s="451">
        <f t="shared" si="2"/>
        <v>5112.6240000000007</v>
      </c>
      <c r="G24" s="454">
        <f t="shared" si="3"/>
        <v>230.74</v>
      </c>
      <c r="H24" s="451">
        <f t="shared" si="4"/>
        <v>10973.994400000001</v>
      </c>
      <c r="I24" s="801">
        <f t="shared" si="5"/>
        <v>62465.358400000005</v>
      </c>
      <c r="J24" s="592">
        <v>1560</v>
      </c>
      <c r="K24" s="802">
        <f t="shared" si="6"/>
        <v>40.04</v>
      </c>
      <c r="L24" s="452">
        <v>0.3</v>
      </c>
      <c r="M24" s="674">
        <v>0.6</v>
      </c>
      <c r="O24" s="786">
        <v>46148</v>
      </c>
      <c r="P24" s="281">
        <v>54320</v>
      </c>
      <c r="Q24">
        <v>51883</v>
      </c>
      <c r="R24">
        <v>48270</v>
      </c>
      <c r="V24" s="510"/>
      <c r="X24" s="158"/>
    </row>
    <row r="25" spans="1:24">
      <c r="A25" s="462">
        <v>7</v>
      </c>
      <c r="B25" s="805" t="s">
        <v>715</v>
      </c>
      <c r="C25" s="451">
        <f>HLOOKUP($C$4,$O$11:$R$41,15,FALSE)</f>
        <v>48526</v>
      </c>
      <c r="D25" s="451">
        <f t="shared" si="0"/>
        <v>0</v>
      </c>
      <c r="E25" s="451">
        <f t="shared" si="1"/>
        <v>48526</v>
      </c>
      <c r="F25" s="451">
        <f t="shared" si="2"/>
        <v>5440.7880000000005</v>
      </c>
      <c r="G25" s="454">
        <f t="shared" si="3"/>
        <v>242.63</v>
      </c>
      <c r="H25" s="451">
        <f t="shared" si="4"/>
        <v>11539.4828</v>
      </c>
      <c r="I25" s="801">
        <f t="shared" si="5"/>
        <v>65748.900800000003</v>
      </c>
      <c r="J25" s="592">
        <v>1560</v>
      </c>
      <c r="K25" s="802">
        <f t="shared" si="6"/>
        <v>42.15</v>
      </c>
      <c r="L25" s="452">
        <v>0.3</v>
      </c>
      <c r="M25" s="674">
        <v>0.6</v>
      </c>
      <c r="O25" s="786">
        <v>48526</v>
      </c>
      <c r="P25" s="281">
        <v>56698</v>
      </c>
      <c r="Q25">
        <v>54261</v>
      </c>
      <c r="R25">
        <v>50648</v>
      </c>
      <c r="V25" s="510" t="s">
        <v>889</v>
      </c>
      <c r="W25" s="831">
        <v>10</v>
      </c>
      <c r="X25" s="158"/>
    </row>
    <row r="26" spans="1:24">
      <c r="A26" s="462">
        <v>7</v>
      </c>
      <c r="B26" s="805" t="s">
        <v>863</v>
      </c>
      <c r="C26" s="451">
        <f>HLOOKUP($C$4,$O$11:$R$41,16,FALSE)</f>
        <v>52809</v>
      </c>
      <c r="D26" s="451">
        <f t="shared" si="0"/>
        <v>0</v>
      </c>
      <c r="E26" s="451">
        <f t="shared" si="1"/>
        <v>52809</v>
      </c>
      <c r="F26" s="451">
        <f t="shared" si="2"/>
        <v>6031.8420000000006</v>
      </c>
      <c r="G26" s="454">
        <f t="shared" si="3"/>
        <v>264.04500000000002</v>
      </c>
      <c r="H26" s="451">
        <f t="shared" si="4"/>
        <v>12557.9802</v>
      </c>
      <c r="I26" s="801">
        <f t="shared" si="5"/>
        <v>71662.867200000008</v>
      </c>
      <c r="J26" s="592">
        <v>1560</v>
      </c>
      <c r="K26" s="802">
        <f t="shared" si="6"/>
        <v>45.94</v>
      </c>
      <c r="L26" s="452">
        <v>0.3</v>
      </c>
      <c r="M26" s="674">
        <v>0.6</v>
      </c>
      <c r="O26" s="786">
        <v>52809</v>
      </c>
      <c r="P26" s="281">
        <v>60981</v>
      </c>
      <c r="Q26">
        <v>58544</v>
      </c>
      <c r="R26">
        <v>54931</v>
      </c>
      <c r="V26" s="510" t="s">
        <v>890</v>
      </c>
      <c r="W26" s="831">
        <v>-2</v>
      </c>
      <c r="X26" s="158"/>
    </row>
    <row r="27" spans="1:24">
      <c r="A27" s="462" t="s">
        <v>885</v>
      </c>
      <c r="B27" s="805" t="s">
        <v>864</v>
      </c>
      <c r="C27" s="451">
        <f>HLOOKUP($C$4,$O$11:$R$41,17,FALSE)</f>
        <v>53754.676500000001</v>
      </c>
      <c r="D27" s="451">
        <f t="shared" si="0"/>
        <v>0</v>
      </c>
      <c r="E27" s="451">
        <f t="shared" si="1"/>
        <v>53754.676500000001</v>
      </c>
      <c r="F27" s="451">
        <f t="shared" si="2"/>
        <v>6162.3453570000011</v>
      </c>
      <c r="G27" s="454">
        <f t="shared" si="3"/>
        <v>268.77338250000003</v>
      </c>
      <c r="H27" s="451">
        <f t="shared" si="4"/>
        <v>12782.862071700001</v>
      </c>
      <c r="I27" s="801">
        <f t="shared" si="5"/>
        <v>72968.657311200004</v>
      </c>
      <c r="J27" s="592">
        <v>1560</v>
      </c>
      <c r="K27" s="802">
        <f t="shared" si="6"/>
        <v>46.77</v>
      </c>
      <c r="L27" s="452">
        <v>0.3</v>
      </c>
      <c r="M27" s="674">
        <v>0.6</v>
      </c>
      <c r="O27" s="786">
        <v>53754.676500000001</v>
      </c>
      <c r="P27" s="281">
        <v>61927</v>
      </c>
      <c r="Q27">
        <v>59490</v>
      </c>
      <c r="R27">
        <v>55877</v>
      </c>
      <c r="V27" s="510"/>
      <c r="W27" s="306">
        <v>8</v>
      </c>
      <c r="X27" s="158"/>
    </row>
    <row r="28" spans="1:24">
      <c r="A28" s="462" t="s">
        <v>885</v>
      </c>
      <c r="B28" s="805" t="s">
        <v>719</v>
      </c>
      <c r="C28" s="451">
        <f>HLOOKUP($C$4,$O$11:$R$41,18,FALSE)</f>
        <v>56454</v>
      </c>
      <c r="D28" s="451">
        <f t="shared" si="0"/>
        <v>0</v>
      </c>
      <c r="E28" s="451">
        <f t="shared" si="1"/>
        <v>56454</v>
      </c>
      <c r="F28" s="451">
        <f t="shared" si="2"/>
        <v>6534.8520000000008</v>
      </c>
      <c r="G28" s="454">
        <f t="shared" si="3"/>
        <v>282.27</v>
      </c>
      <c r="H28" s="451">
        <f t="shared" si="4"/>
        <v>13424.761200000001</v>
      </c>
      <c r="I28" s="801">
        <f t="shared" si="5"/>
        <v>76695.883199999997</v>
      </c>
      <c r="J28" s="592">
        <v>1560</v>
      </c>
      <c r="K28" s="802">
        <f t="shared" si="6"/>
        <v>49.16</v>
      </c>
      <c r="L28" s="452">
        <v>0.3</v>
      </c>
      <c r="M28" s="674">
        <v>0.6</v>
      </c>
      <c r="O28" s="786">
        <v>56454</v>
      </c>
      <c r="P28" s="281">
        <v>64626</v>
      </c>
      <c r="Q28">
        <v>62189</v>
      </c>
      <c r="R28">
        <v>58576</v>
      </c>
      <c r="V28" s="510" t="s">
        <v>891</v>
      </c>
      <c r="W28" s="342">
        <f>W27*4*W23</f>
        <v>1376</v>
      </c>
      <c r="X28" s="158"/>
    </row>
    <row r="29" spans="1:24">
      <c r="A29" s="462" t="s">
        <v>885</v>
      </c>
      <c r="B29" s="805" t="s">
        <v>865</v>
      </c>
      <c r="C29" s="451">
        <f>HLOOKUP($C$4,$O$11:$R$41,19,FALSE)</f>
        <v>60504</v>
      </c>
      <c r="D29" s="451">
        <f t="shared" si="0"/>
        <v>0</v>
      </c>
      <c r="E29" s="451">
        <f t="shared" si="1"/>
        <v>60504</v>
      </c>
      <c r="F29" s="451">
        <f t="shared" si="2"/>
        <v>7093.7520000000004</v>
      </c>
      <c r="G29" s="454">
        <f t="shared" si="3"/>
        <v>302.52</v>
      </c>
      <c r="H29" s="451">
        <f t="shared" si="4"/>
        <v>14387.851200000001</v>
      </c>
      <c r="I29" s="801">
        <f t="shared" si="5"/>
        <v>82288.123200000016</v>
      </c>
      <c r="J29" s="592">
        <v>1560</v>
      </c>
      <c r="K29" s="802">
        <f t="shared" si="6"/>
        <v>52.75</v>
      </c>
      <c r="L29" s="452">
        <v>0.3</v>
      </c>
      <c r="M29" s="674">
        <v>0.6</v>
      </c>
      <c r="O29" s="786">
        <v>60504</v>
      </c>
      <c r="P29" s="281">
        <v>68676</v>
      </c>
      <c r="Q29">
        <v>66239</v>
      </c>
      <c r="R29">
        <v>62626</v>
      </c>
      <c r="V29" s="159"/>
      <c r="X29" s="158"/>
    </row>
    <row r="30" spans="1:24">
      <c r="A30" s="462" t="s">
        <v>888</v>
      </c>
      <c r="B30" s="805" t="s">
        <v>866</v>
      </c>
      <c r="C30" s="451">
        <f>HLOOKUP($C$4,$O$11:$R$41,20,FALSE)</f>
        <v>62215</v>
      </c>
      <c r="D30" s="451">
        <f t="shared" si="0"/>
        <v>0</v>
      </c>
      <c r="E30" s="451">
        <f t="shared" si="1"/>
        <v>62215</v>
      </c>
      <c r="F30" s="451">
        <f t="shared" si="2"/>
        <v>7329.8700000000008</v>
      </c>
      <c r="G30" s="454">
        <f t="shared" si="3"/>
        <v>311.07499999999999</v>
      </c>
      <c r="H30" s="451">
        <f t="shared" si="4"/>
        <v>14794.727000000001</v>
      </c>
      <c r="I30" s="801">
        <f t="shared" si="5"/>
        <v>84650.671999999991</v>
      </c>
      <c r="J30" s="592">
        <v>1560</v>
      </c>
      <c r="K30" s="802">
        <f t="shared" si="6"/>
        <v>54.26</v>
      </c>
      <c r="L30" s="452">
        <v>0.3</v>
      </c>
      <c r="M30" s="674">
        <v>0.6</v>
      </c>
      <c r="O30" s="786">
        <v>62215</v>
      </c>
      <c r="P30" s="281">
        <v>70387</v>
      </c>
      <c r="Q30">
        <v>67950</v>
      </c>
      <c r="R30">
        <v>64337</v>
      </c>
      <c r="V30" s="510"/>
      <c r="X30" s="158"/>
    </row>
    <row r="31" spans="1:24">
      <c r="A31" s="462" t="s">
        <v>888</v>
      </c>
      <c r="B31" s="805" t="s">
        <v>867</v>
      </c>
      <c r="C31" s="451">
        <f>HLOOKUP($C$4,$O$11:$R$41,21,FALSE)</f>
        <v>66246</v>
      </c>
      <c r="D31" s="451">
        <f t="shared" si="0"/>
        <v>0</v>
      </c>
      <c r="E31" s="451">
        <f t="shared" si="1"/>
        <v>66246</v>
      </c>
      <c r="F31" s="451">
        <f t="shared" si="2"/>
        <v>7886.148000000001</v>
      </c>
      <c r="G31" s="454">
        <f t="shared" si="3"/>
        <v>331.23</v>
      </c>
      <c r="H31" s="451">
        <f t="shared" si="4"/>
        <v>15753.2988</v>
      </c>
      <c r="I31" s="801">
        <f t="shared" si="5"/>
        <v>90216.676800000001</v>
      </c>
      <c r="J31" s="592">
        <v>1560</v>
      </c>
      <c r="K31" s="802">
        <f t="shared" si="6"/>
        <v>57.83</v>
      </c>
      <c r="L31" s="452">
        <v>0.3</v>
      </c>
      <c r="M31" s="674">
        <v>0.6</v>
      </c>
      <c r="O31" s="786">
        <v>66246</v>
      </c>
      <c r="P31" s="281">
        <v>74418</v>
      </c>
      <c r="Q31">
        <v>71981</v>
      </c>
      <c r="R31">
        <v>68368</v>
      </c>
      <c r="V31" s="509" t="s">
        <v>879</v>
      </c>
      <c r="X31" s="158"/>
    </row>
    <row r="32" spans="1:24">
      <c r="A32" s="462" t="s">
        <v>888</v>
      </c>
      <c r="B32" s="805" t="s">
        <v>868</v>
      </c>
      <c r="C32" s="451">
        <f>HLOOKUP($C$4,$O$11:$R$41,22,FALSE)</f>
        <v>72293</v>
      </c>
      <c r="D32" s="451">
        <f t="shared" si="0"/>
        <v>0</v>
      </c>
      <c r="E32" s="451">
        <f t="shared" si="1"/>
        <v>72293</v>
      </c>
      <c r="F32" s="451">
        <f t="shared" si="2"/>
        <v>8720.634</v>
      </c>
      <c r="G32" s="454">
        <f t="shared" si="3"/>
        <v>361.46500000000003</v>
      </c>
      <c r="H32" s="451">
        <f t="shared" si="4"/>
        <v>17191.275400000002</v>
      </c>
      <c r="I32" s="801">
        <f t="shared" si="5"/>
        <v>98566.374400000001</v>
      </c>
      <c r="J32" s="592">
        <v>1560</v>
      </c>
      <c r="K32" s="802">
        <f t="shared" si="6"/>
        <v>63.18</v>
      </c>
      <c r="L32" s="452">
        <v>0.3</v>
      </c>
      <c r="M32" s="674">
        <v>0.6</v>
      </c>
      <c r="O32" s="786">
        <v>72293</v>
      </c>
      <c r="P32" s="281">
        <v>80465</v>
      </c>
      <c r="Q32">
        <v>78028</v>
      </c>
      <c r="R32">
        <v>74415</v>
      </c>
      <c r="V32" s="510" t="s">
        <v>893</v>
      </c>
      <c r="W32" s="831">
        <v>44.7</v>
      </c>
      <c r="X32" s="158"/>
    </row>
    <row r="33" spans="1:24">
      <c r="A33" s="462" t="s">
        <v>892</v>
      </c>
      <c r="B33" s="805" t="s">
        <v>869</v>
      </c>
      <c r="C33" s="451">
        <f>HLOOKUP($C$4,$O$11:$R$41,23,FALSE)</f>
        <v>74290</v>
      </c>
      <c r="D33" s="451">
        <f t="shared" si="0"/>
        <v>0</v>
      </c>
      <c r="E33" s="451">
        <f t="shared" si="1"/>
        <v>74290</v>
      </c>
      <c r="F33" s="451">
        <f t="shared" si="2"/>
        <v>8996.2200000000012</v>
      </c>
      <c r="G33" s="454">
        <f t="shared" si="3"/>
        <v>371.45</v>
      </c>
      <c r="H33" s="451">
        <f t="shared" si="4"/>
        <v>17666.162</v>
      </c>
      <c r="I33" s="801">
        <f t="shared" si="5"/>
        <v>101323.83199999999</v>
      </c>
      <c r="J33" s="592">
        <v>1560</v>
      </c>
      <c r="K33" s="802">
        <f t="shared" si="6"/>
        <v>64.95</v>
      </c>
      <c r="L33" s="452">
        <v>0.3</v>
      </c>
      <c r="M33" s="674">
        <v>0.6</v>
      </c>
      <c r="O33" s="786">
        <v>74290</v>
      </c>
      <c r="P33" s="281">
        <v>82462</v>
      </c>
      <c r="Q33">
        <v>80025</v>
      </c>
      <c r="R33">
        <v>76412</v>
      </c>
      <c r="V33" s="510" t="s">
        <v>894</v>
      </c>
      <c r="W33" s="831">
        <v>48</v>
      </c>
      <c r="X33" s="158"/>
    </row>
    <row r="34" spans="1:24">
      <c r="A34" s="462" t="s">
        <v>892</v>
      </c>
      <c r="B34" s="805" t="s">
        <v>870</v>
      </c>
      <c r="C34" s="451">
        <f>HLOOKUP($C$4,$O$11:$R$41,24,FALSE)</f>
        <v>78814</v>
      </c>
      <c r="D34" s="451">
        <f t="shared" si="0"/>
        <v>0</v>
      </c>
      <c r="E34" s="451">
        <f t="shared" si="1"/>
        <v>78814</v>
      </c>
      <c r="F34" s="451">
        <f t="shared" si="2"/>
        <v>9620.5320000000011</v>
      </c>
      <c r="G34" s="454">
        <f t="shared" si="3"/>
        <v>394.07</v>
      </c>
      <c r="H34" s="451">
        <f t="shared" si="4"/>
        <v>18741.9692</v>
      </c>
      <c r="I34" s="801">
        <f t="shared" si="5"/>
        <v>107570.57120000001</v>
      </c>
      <c r="J34" s="592">
        <v>1560</v>
      </c>
      <c r="K34" s="802">
        <f t="shared" si="6"/>
        <v>68.959999999999994</v>
      </c>
      <c r="L34" s="452">
        <v>0.3</v>
      </c>
      <c r="M34" s="674">
        <v>0.6</v>
      </c>
      <c r="O34" s="786">
        <v>78814</v>
      </c>
      <c r="P34" s="281">
        <v>86986</v>
      </c>
      <c r="Q34">
        <v>84549</v>
      </c>
      <c r="R34">
        <v>80936</v>
      </c>
      <c r="V34" s="510" t="s">
        <v>895</v>
      </c>
      <c r="W34" s="831">
        <v>2145.6</v>
      </c>
      <c r="X34" s="158"/>
    </row>
    <row r="35" spans="1:24">
      <c r="A35" s="462" t="s">
        <v>892</v>
      </c>
      <c r="B35" s="805" t="s">
        <v>871</v>
      </c>
      <c r="C35" s="451">
        <f>HLOOKUP($C$4,$O$11:$R$41,25,FALSE)</f>
        <v>85601</v>
      </c>
      <c r="D35" s="451">
        <f t="shared" si="0"/>
        <v>0</v>
      </c>
      <c r="E35" s="451">
        <f t="shared" si="1"/>
        <v>85601</v>
      </c>
      <c r="F35" s="451">
        <f t="shared" si="2"/>
        <v>10557.138000000001</v>
      </c>
      <c r="G35" s="454">
        <f t="shared" si="3"/>
        <v>428.005</v>
      </c>
      <c r="H35" s="451">
        <f t="shared" si="4"/>
        <v>20355.917799999999</v>
      </c>
      <c r="I35" s="801">
        <f t="shared" si="5"/>
        <v>116942.06080000001</v>
      </c>
      <c r="J35" s="592">
        <v>1560</v>
      </c>
      <c r="K35" s="802">
        <f t="shared" si="6"/>
        <v>74.959999999999994</v>
      </c>
      <c r="L35" s="452">
        <v>0.3</v>
      </c>
      <c r="M35" s="674">
        <v>0.6</v>
      </c>
      <c r="O35" s="786">
        <v>85601</v>
      </c>
      <c r="P35" s="281">
        <v>93773</v>
      </c>
      <c r="Q35">
        <v>91336</v>
      </c>
      <c r="R35">
        <v>87723</v>
      </c>
      <c r="V35" s="510" t="s">
        <v>896</v>
      </c>
      <c r="W35" s="832">
        <v>0.6</v>
      </c>
      <c r="X35" s="158"/>
    </row>
    <row r="36" spans="1:24">
      <c r="A36" s="462" t="s">
        <v>897</v>
      </c>
      <c r="B36" s="805" t="s">
        <v>872</v>
      </c>
      <c r="C36" s="451">
        <f>HLOOKUP($C$4,$O$11:$R$41,26,FALSE)</f>
        <v>88168</v>
      </c>
      <c r="D36" s="451">
        <f t="shared" si="0"/>
        <v>0</v>
      </c>
      <c r="E36" s="451">
        <f t="shared" si="1"/>
        <v>88168</v>
      </c>
      <c r="F36" s="451">
        <f t="shared" si="2"/>
        <v>10911.384</v>
      </c>
      <c r="G36" s="454">
        <f t="shared" si="3"/>
        <v>440.84000000000003</v>
      </c>
      <c r="H36" s="451">
        <f t="shared" si="4"/>
        <v>20966.350399999999</v>
      </c>
      <c r="I36" s="801">
        <f t="shared" si="5"/>
        <v>120486.5744</v>
      </c>
      <c r="J36" s="592">
        <v>1560</v>
      </c>
      <c r="K36" s="802">
        <f t="shared" si="6"/>
        <v>77.23</v>
      </c>
      <c r="L36" s="452">
        <v>0.3</v>
      </c>
      <c r="M36" s="674">
        <v>0.6</v>
      </c>
      <c r="O36" s="786">
        <v>88168</v>
      </c>
      <c r="P36" s="281">
        <v>96340</v>
      </c>
      <c r="Q36">
        <v>93903</v>
      </c>
      <c r="R36">
        <v>90290</v>
      </c>
      <c r="V36" s="510" t="s">
        <v>898</v>
      </c>
      <c r="W36" s="508">
        <f>ROUND(W35*W34,0)</f>
        <v>1287</v>
      </c>
      <c r="X36" s="158"/>
    </row>
    <row r="37" spans="1:24">
      <c r="A37" s="462" t="s">
        <v>897</v>
      </c>
      <c r="B37" s="805" t="s">
        <v>873</v>
      </c>
      <c r="C37" s="451">
        <f>HLOOKUP($C$4,$O$11:$R$41,27,FALSE)</f>
        <v>93572</v>
      </c>
      <c r="D37" s="451">
        <f t="shared" si="0"/>
        <v>0</v>
      </c>
      <c r="E37" s="451">
        <f t="shared" si="1"/>
        <v>93572</v>
      </c>
      <c r="F37" s="451">
        <f t="shared" si="2"/>
        <v>11657.136</v>
      </c>
      <c r="G37" s="454">
        <f t="shared" si="3"/>
        <v>467.86</v>
      </c>
      <c r="H37" s="451">
        <f t="shared" si="4"/>
        <v>22251.421600000001</v>
      </c>
      <c r="I37" s="801">
        <f t="shared" si="5"/>
        <v>127948.4176</v>
      </c>
      <c r="J37" s="592">
        <v>1560</v>
      </c>
      <c r="K37" s="802">
        <f t="shared" si="6"/>
        <v>82.02</v>
      </c>
      <c r="L37" s="452">
        <v>0.3</v>
      </c>
      <c r="M37" s="674">
        <v>0.6</v>
      </c>
      <c r="O37" s="786">
        <v>93572</v>
      </c>
      <c r="P37" s="281">
        <v>101744</v>
      </c>
      <c r="Q37">
        <v>99307</v>
      </c>
      <c r="R37">
        <v>95694</v>
      </c>
      <c r="V37" s="160"/>
      <c r="W37" s="161"/>
      <c r="X37" s="162"/>
    </row>
    <row r="38" spans="1:24">
      <c r="A38" s="462" t="s">
        <v>897</v>
      </c>
      <c r="B38" s="805" t="s">
        <v>874</v>
      </c>
      <c r="C38" s="451">
        <f>HLOOKUP($C$4,$O$11:$R$41,28,FALSE)</f>
        <v>101677</v>
      </c>
      <c r="D38" s="451">
        <f t="shared" si="0"/>
        <v>0</v>
      </c>
      <c r="E38" s="451">
        <f t="shared" si="1"/>
        <v>101677</v>
      </c>
      <c r="F38" s="451">
        <f t="shared" si="2"/>
        <v>12775.626</v>
      </c>
      <c r="G38" s="454">
        <f t="shared" si="3"/>
        <v>508.38499999999999</v>
      </c>
      <c r="H38" s="451">
        <f t="shared" si="4"/>
        <v>24178.7906</v>
      </c>
      <c r="I38" s="801">
        <f t="shared" si="5"/>
        <v>139139.80160000001</v>
      </c>
      <c r="J38" s="592">
        <v>1560</v>
      </c>
      <c r="K38" s="802">
        <f t="shared" si="6"/>
        <v>89.19</v>
      </c>
      <c r="L38" s="452">
        <v>0.3</v>
      </c>
      <c r="M38" s="674">
        <v>0.6</v>
      </c>
      <c r="O38" s="786">
        <v>101677</v>
      </c>
      <c r="P38" s="281">
        <v>109849</v>
      </c>
      <c r="Q38">
        <v>107412</v>
      </c>
      <c r="R38">
        <v>103799</v>
      </c>
    </row>
    <row r="39" spans="1:24">
      <c r="A39" s="462">
        <v>9</v>
      </c>
      <c r="B39" s="805" t="s">
        <v>875</v>
      </c>
      <c r="C39" s="451">
        <f>HLOOKUP($C$4,$O$11:$R$41,29,FALSE)</f>
        <v>105385</v>
      </c>
      <c r="D39" s="451">
        <f t="shared" si="0"/>
        <v>0</v>
      </c>
      <c r="E39" s="451">
        <f t="shared" si="1"/>
        <v>105385</v>
      </c>
      <c r="F39" s="451">
        <f t="shared" si="2"/>
        <v>13287.330000000002</v>
      </c>
      <c r="G39" s="454">
        <f t="shared" si="3"/>
        <v>526.92499999999995</v>
      </c>
      <c r="H39" s="451">
        <f t="shared" si="4"/>
        <v>25060.553</v>
      </c>
      <c r="I39" s="801">
        <f t="shared" si="5"/>
        <v>144259.80800000002</v>
      </c>
      <c r="J39" s="592">
        <v>1560</v>
      </c>
      <c r="K39" s="802">
        <f t="shared" si="6"/>
        <v>92.47</v>
      </c>
      <c r="L39" s="452">
        <v>0.3</v>
      </c>
      <c r="M39" s="674">
        <v>0.6</v>
      </c>
      <c r="O39" s="786">
        <v>105385</v>
      </c>
      <c r="P39" s="281">
        <v>113557</v>
      </c>
      <c r="Q39">
        <v>111120</v>
      </c>
      <c r="R39">
        <v>107507</v>
      </c>
    </row>
    <row r="40" spans="1:24">
      <c r="A40" s="462">
        <v>9</v>
      </c>
      <c r="B40" s="805" t="s">
        <v>876</v>
      </c>
      <c r="C40" s="451">
        <f>HLOOKUP($C$4,$O$11:$R$41,30,FALSE)</f>
        <v>111740</v>
      </c>
      <c r="D40" s="451">
        <f t="shared" si="0"/>
        <v>0</v>
      </c>
      <c r="E40" s="451">
        <f t="shared" si="1"/>
        <v>111740</v>
      </c>
      <c r="F40" s="451">
        <f t="shared" si="2"/>
        <v>14164.320000000002</v>
      </c>
      <c r="G40" s="454">
        <f t="shared" si="3"/>
        <v>558.70000000000005</v>
      </c>
      <c r="H40" s="451">
        <f t="shared" si="4"/>
        <v>26571.772000000001</v>
      </c>
      <c r="I40" s="801">
        <f t="shared" si="5"/>
        <v>153034.79200000002</v>
      </c>
      <c r="J40" s="592">
        <v>1560</v>
      </c>
      <c r="K40" s="802">
        <f t="shared" si="6"/>
        <v>98.1</v>
      </c>
      <c r="L40" s="452">
        <v>0.3</v>
      </c>
      <c r="M40" s="674">
        <v>0.6</v>
      </c>
      <c r="O40" s="786">
        <v>111740</v>
      </c>
      <c r="P40" s="281">
        <v>119912</v>
      </c>
      <c r="Q40">
        <v>117475</v>
      </c>
      <c r="R40">
        <v>113862</v>
      </c>
    </row>
    <row r="41" spans="1:24">
      <c r="A41" s="462">
        <v>9</v>
      </c>
      <c r="B41" s="805" t="s">
        <v>877</v>
      </c>
      <c r="C41" s="451">
        <f>HLOOKUP($C$4,$O$11:$R$41,31,FALSE)</f>
        <v>121271</v>
      </c>
      <c r="D41" s="451">
        <f t="shared" si="0"/>
        <v>0</v>
      </c>
      <c r="E41" s="451">
        <f t="shared" si="1"/>
        <v>121271</v>
      </c>
      <c r="F41" s="451">
        <f t="shared" si="2"/>
        <v>15479.598000000002</v>
      </c>
      <c r="G41" s="454">
        <f t="shared" si="3"/>
        <v>606.35500000000002</v>
      </c>
      <c r="H41" s="451">
        <f t="shared" si="4"/>
        <v>28838.2438</v>
      </c>
      <c r="I41" s="801">
        <f t="shared" si="5"/>
        <v>166195.19680000001</v>
      </c>
      <c r="J41" s="592">
        <v>1560</v>
      </c>
      <c r="K41" s="802">
        <f t="shared" si="6"/>
        <v>106.54</v>
      </c>
      <c r="L41" s="452">
        <v>0.3</v>
      </c>
      <c r="M41" s="674">
        <v>0.6</v>
      </c>
      <c r="O41" s="786">
        <v>121271</v>
      </c>
      <c r="P41" s="281">
        <v>129443</v>
      </c>
      <c r="Q41">
        <v>127006</v>
      </c>
      <c r="R41">
        <v>123393</v>
      </c>
    </row>
    <row r="42" spans="1:24">
      <c r="A42" s="462" t="s">
        <v>879</v>
      </c>
      <c r="B42" s="148" t="s">
        <v>899</v>
      </c>
      <c r="C42" s="451">
        <v>73113</v>
      </c>
      <c r="D42" s="451">
        <f t="shared" si="0"/>
        <v>0</v>
      </c>
      <c r="E42" s="451">
        <f t="shared" si="1"/>
        <v>73113</v>
      </c>
      <c r="F42" s="451">
        <f t="shared" si="2"/>
        <v>8833.7939999999999</v>
      </c>
      <c r="G42" s="454">
        <f t="shared" si="3"/>
        <v>365.565</v>
      </c>
      <c r="H42" s="451">
        <f>C42*0.2068</f>
        <v>15119.768400000001</v>
      </c>
      <c r="I42" s="801">
        <f t="shared" si="5"/>
        <v>97432.127399999998</v>
      </c>
      <c r="J42" s="592">
        <f>W36</f>
        <v>1287</v>
      </c>
      <c r="K42" s="802">
        <f t="shared" si="6"/>
        <v>75.7</v>
      </c>
      <c r="L42" s="453">
        <v>0</v>
      </c>
      <c r="M42" s="675">
        <v>0</v>
      </c>
    </row>
    <row r="43" spans="1:24">
      <c r="A43" s="462" t="s">
        <v>879</v>
      </c>
      <c r="B43" s="148" t="s">
        <v>900</v>
      </c>
      <c r="C43" s="451">
        <f>(C42+C44)/2</f>
        <v>91721.5</v>
      </c>
      <c r="D43" s="451">
        <f t="shared" si="0"/>
        <v>0</v>
      </c>
      <c r="E43" s="451">
        <f t="shared" si="1"/>
        <v>91721.5</v>
      </c>
      <c r="F43" s="451">
        <f t="shared" si="2"/>
        <v>11401.767000000002</v>
      </c>
      <c r="G43" s="454">
        <f t="shared" si="3"/>
        <v>458.60750000000002</v>
      </c>
      <c r="H43" s="451">
        <f>C43*0.2068</f>
        <v>18968.0062</v>
      </c>
      <c r="I43" s="801">
        <f t="shared" si="5"/>
        <v>122549.88070000001</v>
      </c>
      <c r="J43" s="592">
        <f>W36</f>
        <v>1287</v>
      </c>
      <c r="K43" s="802">
        <f t="shared" si="6"/>
        <v>95.22</v>
      </c>
      <c r="L43" s="453">
        <v>0</v>
      </c>
      <c r="M43" s="675">
        <v>0</v>
      </c>
    </row>
    <row r="44" spans="1:24">
      <c r="A44" s="806" t="s">
        <v>879</v>
      </c>
      <c r="B44" s="807" t="s">
        <v>901</v>
      </c>
      <c r="C44" s="514">
        <v>110330</v>
      </c>
      <c r="D44" s="514">
        <f t="shared" si="0"/>
        <v>0</v>
      </c>
      <c r="E44" s="451">
        <f t="shared" si="1"/>
        <v>110330</v>
      </c>
      <c r="F44" s="451">
        <f t="shared" si="2"/>
        <v>13969.740000000002</v>
      </c>
      <c r="G44" s="454">
        <f t="shared" si="3"/>
        <v>551.65</v>
      </c>
      <c r="H44" s="514">
        <f>C44*0.2068</f>
        <v>22816.244000000002</v>
      </c>
      <c r="I44" s="801">
        <f t="shared" si="5"/>
        <v>147667.63399999999</v>
      </c>
      <c r="J44" s="592">
        <f>W36</f>
        <v>1287</v>
      </c>
      <c r="K44" s="802">
        <f t="shared" si="6"/>
        <v>114.74</v>
      </c>
      <c r="L44" s="453">
        <v>0</v>
      </c>
      <c r="M44" s="675">
        <v>0</v>
      </c>
    </row>
    <row r="45" spans="1:24">
      <c r="A45" s="462" t="s">
        <v>878</v>
      </c>
      <c r="B45" s="148" t="s">
        <v>1114</v>
      </c>
      <c r="C45" s="451">
        <v>105504</v>
      </c>
      <c r="D45" s="451">
        <f t="shared" si="0"/>
        <v>0</v>
      </c>
      <c r="E45" s="451">
        <f t="shared" si="1"/>
        <v>105504</v>
      </c>
      <c r="F45" s="451">
        <f t="shared" si="2"/>
        <v>13303.752</v>
      </c>
      <c r="G45" s="454">
        <f t="shared" si="3"/>
        <v>527.52</v>
      </c>
      <c r="H45" s="451">
        <f t="shared" si="4"/>
        <v>25088.851200000001</v>
      </c>
      <c r="I45" s="801">
        <f t="shared" si="5"/>
        <v>144424.1232</v>
      </c>
      <c r="J45" s="592">
        <v>1376</v>
      </c>
      <c r="K45" s="802">
        <f t="shared" si="6"/>
        <v>104.96</v>
      </c>
      <c r="L45" s="453">
        <v>0</v>
      </c>
      <c r="M45" s="675">
        <v>0</v>
      </c>
    </row>
    <row r="46" spans="1:24">
      <c r="A46" s="462" t="s">
        <v>878</v>
      </c>
      <c r="B46" s="148" t="s">
        <v>1115</v>
      </c>
      <c r="C46" s="451">
        <f>(4*114894+6*126018)/10</f>
        <v>121568.4</v>
      </c>
      <c r="D46" s="451">
        <f t="shared" si="0"/>
        <v>0</v>
      </c>
      <c r="E46" s="451">
        <f t="shared" si="1"/>
        <v>121568.4</v>
      </c>
      <c r="F46" s="451">
        <f t="shared" si="2"/>
        <v>15520.6392</v>
      </c>
      <c r="G46" s="454">
        <f t="shared" si="3"/>
        <v>607.84199999999998</v>
      </c>
      <c r="H46" s="451">
        <f t="shared" si="4"/>
        <v>28908.965520000002</v>
      </c>
      <c r="I46" s="801">
        <f t="shared" si="5"/>
        <v>166605.84672</v>
      </c>
      <c r="J46" s="592">
        <v>1376</v>
      </c>
      <c r="K46" s="802">
        <f t="shared" si="6"/>
        <v>121.08</v>
      </c>
      <c r="L46" s="453">
        <v>0</v>
      </c>
      <c r="M46" s="675">
        <v>0</v>
      </c>
    </row>
    <row r="47" spans="1:24" ht="15.75" thickBot="1">
      <c r="A47" s="463" t="s">
        <v>878</v>
      </c>
      <c r="B47" s="455" t="s">
        <v>1116</v>
      </c>
      <c r="C47" s="456">
        <v>139882</v>
      </c>
      <c r="D47" s="456">
        <f t="shared" si="0"/>
        <v>0</v>
      </c>
      <c r="E47" s="456">
        <f t="shared" si="1"/>
        <v>139882</v>
      </c>
      <c r="F47" s="456">
        <f t="shared" si="2"/>
        <v>18047.916000000001</v>
      </c>
      <c r="G47" s="808">
        <f t="shared" si="3"/>
        <v>699.41</v>
      </c>
      <c r="H47" s="456">
        <f t="shared" si="4"/>
        <v>33263.939600000005</v>
      </c>
      <c r="I47" s="457">
        <f t="shared" si="5"/>
        <v>191893.26560000001</v>
      </c>
      <c r="J47" s="830">
        <v>1376</v>
      </c>
      <c r="K47" s="676">
        <f t="shared" si="6"/>
        <v>139.46</v>
      </c>
      <c r="L47" s="677">
        <v>0</v>
      </c>
      <c r="M47" s="678">
        <v>0</v>
      </c>
    </row>
    <row r="58" ht="23.45" customHeight="1"/>
    <row r="59" ht="23.45" customHeight="1"/>
    <row r="60" ht="23.45" customHeight="1"/>
    <row r="96" ht="23.45" customHeight="1"/>
    <row r="97" ht="55.5" customHeight="1"/>
    <row r="98" ht="23.45" customHeight="1"/>
    <row r="99" ht="23.45" customHeight="1"/>
    <row r="100" ht="23.45" customHeight="1"/>
    <row r="101" ht="23.45" customHeight="1"/>
    <row r="102" ht="23.45" customHeight="1"/>
  </sheetData>
  <sheetProtection algorithmName="SHA-512" hashValue="GrzkrTJU+pGx1gn7bpKVdGmp3Nax31+WxvOs4dXDO+jwc0pbZGryvlMjumMihkIbHUKSRR5VvOEqj3ZTUdsJkQ==" saltValue="ctd/bJzpdNkw+z/xdxx8sg==" spinCount="100000" sheet="1" objects="1" scenarios="1"/>
  <dataValidations count="1">
    <dataValidation type="list" allowBlank="1" showInputMessage="1" showErrorMessage="1" sqref="C4" xr:uid="{07409658-E377-4733-AEEE-3B84972CA95A}">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c r="B2" s="364" t="s">
        <v>10</v>
      </c>
      <c r="C2" s="362"/>
      <c r="D2" s="362"/>
      <c r="E2" s="362"/>
      <c r="F2" s="362"/>
      <c r="G2" s="362"/>
      <c r="H2" s="362"/>
      <c r="I2" s="362"/>
      <c r="J2" s="362"/>
      <c r="K2" s="362"/>
      <c r="L2" s="362"/>
      <c r="M2" s="362"/>
      <c r="N2" s="362"/>
      <c r="O2" s="362"/>
      <c r="P2" s="363"/>
    </row>
    <row r="5" spans="2:17">
      <c r="B5" s="222" t="s">
        <v>11</v>
      </c>
      <c r="C5" s="379"/>
      <c r="D5" s="379"/>
      <c r="E5" s="379"/>
      <c r="F5" s="379"/>
      <c r="G5" s="379"/>
      <c r="H5" s="379"/>
      <c r="I5" s="379"/>
      <c r="J5" s="379"/>
      <c r="K5" s="379"/>
      <c r="L5" s="379"/>
      <c r="M5" s="379"/>
      <c r="N5" s="379"/>
      <c r="O5" s="379"/>
      <c r="P5" s="223"/>
    </row>
    <row r="6" spans="2:17">
      <c r="B6" s="227" t="s">
        <v>12</v>
      </c>
      <c r="C6" s="220"/>
      <c r="D6" s="220"/>
      <c r="E6" s="220"/>
      <c r="F6" s="220"/>
      <c r="G6" s="220"/>
      <c r="H6" s="220"/>
      <c r="I6" s="220"/>
      <c r="J6" s="220"/>
      <c r="K6" s="220"/>
      <c r="L6" s="220"/>
      <c r="M6" s="220"/>
      <c r="N6" s="220"/>
      <c r="O6" s="220"/>
      <c r="P6" s="228"/>
    </row>
    <row r="7" spans="2:17">
      <c r="B7" s="225" t="s">
        <v>13</v>
      </c>
      <c r="C7" s="224"/>
      <c r="D7" s="224"/>
      <c r="E7" s="224"/>
      <c r="F7" s="224"/>
      <c r="G7" s="224"/>
      <c r="H7" s="224"/>
      <c r="I7" s="224"/>
      <c r="J7" s="224"/>
      <c r="K7" s="224"/>
      <c r="L7" s="224"/>
      <c r="M7" s="224"/>
      <c r="N7" s="224"/>
      <c r="O7" s="224"/>
      <c r="P7" s="226"/>
    </row>
    <row r="9" spans="2:17">
      <c r="N9" s="433"/>
      <c r="O9" s="433"/>
      <c r="P9" s="433"/>
    </row>
    <row r="10" spans="2:17">
      <c r="B10" s="222"/>
      <c r="C10" s="379"/>
      <c r="D10" s="379"/>
      <c r="E10" s="379"/>
      <c r="F10" s="379"/>
      <c r="G10" s="379"/>
      <c r="H10" s="223"/>
      <c r="J10" s="222"/>
      <c r="K10" s="379"/>
      <c r="L10" s="379"/>
      <c r="M10" s="379"/>
      <c r="N10" s="220"/>
      <c r="O10" s="220"/>
      <c r="P10" s="220"/>
      <c r="Q10" s="159"/>
    </row>
    <row r="11" spans="2:17" ht="47.25">
      <c r="B11" s="227"/>
      <c r="C11" s="349" t="s">
        <v>14</v>
      </c>
      <c r="D11" s="436"/>
      <c r="E11" s="349" t="s">
        <v>15</v>
      </c>
      <c r="F11" s="436"/>
      <c r="G11" s="432" t="s">
        <v>16</v>
      </c>
      <c r="H11" s="437"/>
      <c r="I11" s="350"/>
      <c r="J11" s="440"/>
      <c r="K11" s="351" t="s">
        <v>17</v>
      </c>
      <c r="L11" s="440"/>
      <c r="M11" s="351" t="s">
        <v>18</v>
      </c>
      <c r="N11" s="436"/>
      <c r="O11" s="351" t="s">
        <v>19</v>
      </c>
      <c r="P11" s="436"/>
      <c r="Q11" s="159"/>
    </row>
    <row r="12" spans="2:17">
      <c r="B12" s="227"/>
      <c r="C12" s="220"/>
      <c r="D12" s="220"/>
      <c r="E12" s="220"/>
      <c r="F12" s="220"/>
      <c r="G12" s="220"/>
      <c r="H12" s="228"/>
      <c r="J12" s="227"/>
      <c r="K12" s="220"/>
      <c r="L12" s="220"/>
      <c r="M12" s="220"/>
      <c r="N12" s="220"/>
      <c r="O12" s="220"/>
      <c r="P12" s="220"/>
      <c r="Q12" s="159"/>
    </row>
    <row r="13" spans="2:17" ht="39.950000000000003" customHeight="1">
      <c r="B13" s="227"/>
      <c r="C13" s="434"/>
      <c r="D13" s="194"/>
      <c r="E13" s="488" t="s">
        <v>20</v>
      </c>
      <c r="F13" s="194"/>
      <c r="G13" s="435"/>
      <c r="H13" s="228"/>
      <c r="J13" s="227"/>
      <c r="K13" s="434"/>
      <c r="L13" s="194"/>
      <c r="M13" s="489" t="s">
        <v>21</v>
      </c>
      <c r="N13" s="194"/>
      <c r="O13" s="435"/>
      <c r="P13" s="220"/>
      <c r="Q13" s="159"/>
    </row>
    <row r="14" spans="2:17">
      <c r="B14" s="227"/>
      <c r="C14" s="220"/>
      <c r="D14" s="220"/>
      <c r="E14" s="220"/>
      <c r="F14" s="220"/>
      <c r="G14" s="220"/>
      <c r="H14" s="228"/>
      <c r="J14" s="227"/>
      <c r="K14" s="220"/>
      <c r="L14" s="220"/>
      <c r="M14" s="220"/>
      <c r="N14" s="220"/>
      <c r="O14" s="220"/>
      <c r="P14" s="220"/>
      <c r="Q14" s="159"/>
    </row>
    <row r="15" spans="2:17" ht="213.75" customHeight="1">
      <c r="B15" s="227"/>
      <c r="C15" s="346" t="s">
        <v>22</v>
      </c>
      <c r="D15" s="438"/>
      <c r="E15" s="347" t="s">
        <v>23</v>
      </c>
      <c r="F15" s="438"/>
      <c r="G15" s="345" t="s">
        <v>24</v>
      </c>
      <c r="H15" s="439"/>
      <c r="I15" s="238"/>
      <c r="J15" s="441"/>
      <c r="K15" s="348" t="s">
        <v>25</v>
      </c>
      <c r="L15" s="441"/>
      <c r="M15" s="383" t="s">
        <v>26</v>
      </c>
      <c r="N15" s="438"/>
      <c r="O15" s="383" t="s">
        <v>27</v>
      </c>
      <c r="P15" s="438"/>
      <c r="Q15" s="159"/>
    </row>
    <row r="16" spans="2:17">
      <c r="B16" s="225"/>
      <c r="C16" s="224"/>
      <c r="D16" s="224"/>
      <c r="E16" s="224"/>
      <c r="F16" s="224"/>
      <c r="G16" s="224"/>
      <c r="H16" s="226"/>
      <c r="J16" s="225"/>
      <c r="K16" s="224"/>
      <c r="L16" s="442"/>
      <c r="M16" s="442"/>
      <c r="N16" s="442"/>
      <c r="O16" s="442"/>
      <c r="P16" s="442"/>
      <c r="Q16" s="159"/>
    </row>
    <row r="19" spans="2:16">
      <c r="B19" s="222"/>
      <c r="C19" s="379"/>
      <c r="D19" s="379"/>
      <c r="E19" s="379"/>
      <c r="F19" s="379"/>
      <c r="G19" s="379"/>
      <c r="H19" s="379"/>
      <c r="I19" s="379"/>
      <c r="J19" s="379"/>
      <c r="K19" s="379"/>
      <c r="L19" s="379"/>
      <c r="M19" s="379"/>
      <c r="N19" s="379"/>
      <c r="O19" s="379"/>
      <c r="P19" s="223"/>
    </row>
    <row r="20" spans="2:16">
      <c r="B20" s="227" t="s">
        <v>28</v>
      </c>
      <c r="C20" s="220"/>
      <c r="D20" s="220"/>
      <c r="E20" s="220"/>
      <c r="F20" s="220"/>
      <c r="G20" s="220"/>
      <c r="H20" s="220"/>
      <c r="I20" s="220"/>
      <c r="J20" s="220"/>
      <c r="K20" s="220"/>
      <c r="L20" s="220"/>
      <c r="M20" s="220"/>
      <c r="N20" s="220"/>
      <c r="O20" s="220"/>
      <c r="P20" s="228"/>
    </row>
    <row r="21" spans="2:16">
      <c r="B21" s="443" t="s">
        <v>29</v>
      </c>
      <c r="C21" s="220"/>
      <c r="D21" s="220"/>
      <c r="E21" s="220"/>
      <c r="F21" s="220"/>
      <c r="G21" s="220"/>
      <c r="H21" s="220"/>
      <c r="I21" s="220"/>
      <c r="J21" s="220"/>
      <c r="K21" s="220"/>
      <c r="L21" s="220"/>
      <c r="M21" s="220"/>
      <c r="N21" s="220"/>
      <c r="O21" s="220"/>
      <c r="P21" s="228"/>
    </row>
    <row r="22" spans="2:16">
      <c r="B22" s="444" t="s">
        <v>30</v>
      </c>
      <c r="C22" s="220"/>
      <c r="D22" s="220"/>
      <c r="E22" s="220"/>
      <c r="F22" s="220"/>
      <c r="G22" s="220"/>
      <c r="H22" s="220"/>
      <c r="I22" s="220"/>
      <c r="J22" s="220"/>
      <c r="K22" s="220"/>
      <c r="L22" s="220"/>
      <c r="M22" s="220"/>
      <c r="N22" s="220"/>
      <c r="O22" s="220"/>
      <c r="P22" s="228"/>
    </row>
    <row r="23" spans="2:16">
      <c r="B23" s="445" t="s">
        <v>31</v>
      </c>
      <c r="C23" s="220"/>
      <c r="D23" s="220"/>
      <c r="E23" s="220"/>
      <c r="F23" s="220"/>
      <c r="G23" s="220"/>
      <c r="H23" s="220"/>
      <c r="I23" s="220"/>
      <c r="J23" s="220"/>
      <c r="K23" s="220"/>
      <c r="L23" s="220"/>
      <c r="M23" s="220"/>
      <c r="N23" s="220"/>
      <c r="O23" s="220"/>
      <c r="P23" s="228"/>
    </row>
    <row r="24" spans="2:16">
      <c r="B24" s="444" t="s">
        <v>32</v>
      </c>
      <c r="C24" s="220"/>
      <c r="D24" s="220"/>
      <c r="E24" s="220"/>
      <c r="F24" s="220"/>
      <c r="G24" s="220"/>
      <c r="H24" s="220"/>
      <c r="I24" s="220"/>
      <c r="J24" s="220"/>
      <c r="K24" s="220"/>
      <c r="L24" s="220"/>
      <c r="M24" s="220"/>
      <c r="N24" s="220"/>
      <c r="O24" s="220"/>
      <c r="P24" s="228"/>
    </row>
    <row r="25" spans="2:16">
      <c r="B25" s="444" t="s">
        <v>33</v>
      </c>
      <c r="C25" s="220"/>
      <c r="D25" s="220"/>
      <c r="E25" s="220"/>
      <c r="F25" s="220"/>
      <c r="G25" s="220"/>
      <c r="H25" s="220"/>
      <c r="I25" s="220"/>
      <c r="J25" s="220"/>
      <c r="K25" s="220"/>
      <c r="L25" s="220"/>
      <c r="M25" s="220"/>
      <c r="N25" s="220"/>
      <c r="O25" s="220"/>
      <c r="P25" s="228"/>
    </row>
    <row r="26" spans="2:16">
      <c r="B26" s="227"/>
      <c r="C26" s="220"/>
      <c r="D26" s="220"/>
      <c r="E26" s="220"/>
      <c r="F26" s="220"/>
      <c r="G26" s="220"/>
      <c r="H26" s="220"/>
      <c r="I26" s="220"/>
      <c r="J26" s="220"/>
      <c r="K26" s="220"/>
      <c r="L26" s="220"/>
      <c r="M26" s="220"/>
      <c r="N26" s="220"/>
      <c r="O26" s="220"/>
      <c r="P26" s="228"/>
    </row>
    <row r="27" spans="2:16">
      <c r="B27" s="446" t="s">
        <v>34</v>
      </c>
      <c r="C27" s="220"/>
      <c r="D27" s="220"/>
      <c r="E27" s="220"/>
      <c r="F27" s="220"/>
      <c r="G27" s="220"/>
      <c r="H27" s="220"/>
      <c r="I27" s="220"/>
      <c r="J27" s="220"/>
      <c r="K27" s="220"/>
      <c r="L27" s="220"/>
      <c r="M27" s="220"/>
      <c r="N27" s="220"/>
      <c r="O27" s="220"/>
      <c r="P27" s="228"/>
    </row>
    <row r="28" spans="2:16">
      <c r="B28" s="225"/>
      <c r="C28" s="224"/>
      <c r="D28" s="224"/>
      <c r="E28" s="224"/>
      <c r="F28" s="224"/>
      <c r="G28" s="224"/>
      <c r="H28" s="224"/>
      <c r="I28" s="224"/>
      <c r="J28" s="224"/>
      <c r="K28" s="224"/>
      <c r="L28" s="224"/>
      <c r="M28" s="224"/>
      <c r="N28" s="224"/>
      <c r="O28" s="224"/>
      <c r="P28" s="226"/>
    </row>
  </sheetData>
  <sheetProtection algorithmName="SHA-512" hashValue="TEqcBsRsqW9I4KJGSDgM6TtjywGFMh4+J9+TZkMgJn/4GzA2rLTVIguiLV+eTk2aObCoze4WjgtRZmhzMUu8Yw==" saltValue="jIT9PcUxJkdM1+7Zjdhs3A=="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A8" zoomScale="80" zoomScaleNormal="80" workbookViewId="0">
      <selection activeCell="I23" sqref="I23"/>
    </sheetView>
  </sheetViews>
  <sheetFormatPr defaultColWidth="9.140625" defaultRowHeight="14.25"/>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22" width="10.85546875" style="12" customWidth="1"/>
    <col min="23" max="23" width="12.28515625" style="12" customWidth="1"/>
    <col min="24" max="42" width="10.85546875" style="12" customWidth="1"/>
    <col min="43" max="50" width="10.85546875" style="13" customWidth="1"/>
    <col min="51" max="86" width="10.85546875" style="1" customWidth="1"/>
    <col min="87" max="102" width="10.85546875" style="1" hidden="1" customWidth="1"/>
    <col min="103" max="103" width="10.85546875" style="1" customWidth="1"/>
    <col min="104" max="106" width="10.85546875" style="1" hidden="1" customWidth="1"/>
    <col min="107" max="115" width="10.85546875" style="11" hidden="1" customWidth="1"/>
    <col min="116" max="193" width="10.85546875" style="11" customWidth="1"/>
    <col min="194" max="194" width="10.42578125" style="11" customWidth="1"/>
    <col min="195" max="16384" width="9.140625" style="11"/>
  </cols>
  <sheetData>
    <row r="1" spans="2:106" ht="15">
      <c r="B1" s="9" t="s">
        <v>35</v>
      </c>
      <c r="C1" s="101"/>
      <c r="D1" s="22"/>
      <c r="E1" s="10" t="s">
        <v>36</v>
      </c>
      <c r="F1" s="7"/>
      <c r="G1" s="7"/>
    </row>
    <row r="3" spans="2:106">
      <c r="B3" s="91" t="s">
        <v>37</v>
      </c>
      <c r="C3" s="494"/>
      <c r="D3" s="495"/>
      <c r="E3" s="495"/>
      <c r="F3" s="495"/>
      <c r="G3" s="92"/>
    </row>
    <row r="4" spans="2:106" ht="15">
      <c r="B4" s="93"/>
      <c r="C4" s="94"/>
      <c r="D4" s="7"/>
      <c r="E4" s="7"/>
      <c r="F4" s="7"/>
      <c r="G4" s="95"/>
      <c r="L4" s="9" t="s">
        <v>38</v>
      </c>
      <c r="M4" s="9" t="s">
        <v>38</v>
      </c>
      <c r="N4" s="9" t="s">
        <v>39</v>
      </c>
      <c r="O4" s="9" t="s">
        <v>39</v>
      </c>
      <c r="P4" s="9" t="s">
        <v>40</v>
      </c>
      <c r="R4" s="168" t="s">
        <v>41</v>
      </c>
      <c r="S4" s="168" t="s">
        <v>42</v>
      </c>
      <c r="T4" s="168" t="s">
        <v>43</v>
      </c>
      <c r="V4" s="168" t="s">
        <v>44</v>
      </c>
    </row>
    <row r="5" spans="2:106" ht="28.5">
      <c r="B5" s="96" t="s">
        <v>45</v>
      </c>
      <c r="C5" s="94"/>
      <c r="D5" s="7"/>
      <c r="E5" s="7"/>
      <c r="F5" s="7"/>
      <c r="G5" s="95"/>
      <c r="L5" s="16" t="s">
        <v>46</v>
      </c>
      <c r="M5" s="16" t="s">
        <v>47</v>
      </c>
      <c r="N5" s="16" t="s">
        <v>48</v>
      </c>
      <c r="O5" s="16" t="s">
        <v>49</v>
      </c>
      <c r="P5" s="19"/>
      <c r="Q5" s="17"/>
      <c r="R5" s="16" t="s">
        <v>49</v>
      </c>
      <c r="S5" s="137" t="s">
        <v>50</v>
      </c>
      <c r="V5" s="138">
        <v>4</v>
      </c>
    </row>
    <row r="6" spans="2:106" ht="15">
      <c r="B6" s="96" t="s">
        <v>51</v>
      </c>
      <c r="C6" s="94"/>
      <c r="D6" s="7"/>
      <c r="E6" s="7"/>
      <c r="F6" s="7"/>
      <c r="G6" s="95"/>
      <c r="J6" s="133"/>
      <c r="L6" s="21" t="s">
        <v>52</v>
      </c>
      <c r="M6" s="21" t="s">
        <v>53</v>
      </c>
      <c r="N6" s="21" t="str">
        <f>'Inputs and eligible population'!$E$11</f>
        <v>National</v>
      </c>
      <c r="O6" s="21" t="str">
        <f>IFERROR(VLOOKUP('Inputs and eligible population'!$E$11, $L$5:$M$14, 2, FALSE), "-")</f>
        <v>NATIONAL</v>
      </c>
      <c r="P6" s="16" t="b">
        <f>ISTEXT('Inputs and eligible population'!$E$12)</f>
        <v>1</v>
      </c>
      <c r="R6" s="189" t="s">
        <v>54</v>
      </c>
      <c r="S6" s="137" t="s">
        <v>55</v>
      </c>
      <c r="V6" s="138">
        <v>5</v>
      </c>
    </row>
    <row r="7" spans="2:106">
      <c r="B7" s="93"/>
      <c r="C7" s="94"/>
      <c r="D7" s="7"/>
      <c r="E7" s="7"/>
      <c r="F7" s="7"/>
      <c r="G7" s="95"/>
      <c r="L7" s="21" t="s">
        <v>56</v>
      </c>
      <c r="M7" s="21" t="s">
        <v>57</v>
      </c>
      <c r="N7" s="21" t="str">
        <f>'Inputs and eligible population'!$E$11</f>
        <v>National</v>
      </c>
      <c r="O7" s="21" t="str">
        <f>IFERROR(VLOOKUP('Inputs and eligible population'!$E$11, $L$5:$M$14, 2, FALSE), "-")</f>
        <v>NATIONAL</v>
      </c>
      <c r="P7" s="16" t="b">
        <f>ISTEXT('Inputs and eligible population'!$E$12)</f>
        <v>1</v>
      </c>
      <c r="R7" s="189" t="s">
        <v>58</v>
      </c>
      <c r="S7" s="378"/>
      <c r="V7" s="138">
        <v>6</v>
      </c>
    </row>
    <row r="8" spans="2:106" ht="19.5" customHeight="1">
      <c r="B8" s="97" t="s">
        <v>59</v>
      </c>
      <c r="C8" s="98"/>
      <c r="D8" s="99"/>
      <c r="E8" s="99"/>
      <c r="F8" s="99"/>
      <c r="G8" s="100"/>
      <c r="L8" s="21" t="s">
        <v>60</v>
      </c>
      <c r="M8" s="21" t="s">
        <v>61</v>
      </c>
      <c r="N8" s="21" t="str">
        <f>'Inputs and eligible population'!$E$11</f>
        <v>National</v>
      </c>
      <c r="O8" s="21" t="str">
        <f>IFERROR(VLOOKUP('Inputs and eligible population'!$E$11, $L$5:$M$14, 2, FALSE), "-")</f>
        <v>NATIONAL</v>
      </c>
      <c r="P8" s="16" t="b">
        <f>ISTEXT('Inputs and eligible population'!$E$12)</f>
        <v>1</v>
      </c>
      <c r="V8" s="138">
        <v>7</v>
      </c>
    </row>
    <row r="9" spans="2:106" ht="19.5" customHeight="1">
      <c r="B9" s="14"/>
      <c r="I9" s="11" t="s">
        <v>1000</v>
      </c>
      <c r="J9" s="719">
        <f>C14</f>
        <v>57106398</v>
      </c>
      <c r="L9" s="21" t="s">
        <v>62</v>
      </c>
      <c r="M9" s="21" t="s">
        <v>63</v>
      </c>
      <c r="N9" s="21" t="str">
        <f>'Inputs and eligible population'!$E$11</f>
        <v>National</v>
      </c>
      <c r="O9" s="21" t="str">
        <f>IFERROR(VLOOKUP('Inputs and eligible population'!$E$11, $L$5:$M$14, 2, FALSE), "-")</f>
        <v>NATIONAL</v>
      </c>
      <c r="P9" s="16" t="b">
        <f>ISTEXT('Inputs and eligible population'!$E$12)</f>
        <v>1</v>
      </c>
      <c r="V9" s="138" t="s">
        <v>64</v>
      </c>
    </row>
    <row r="10" spans="2:106">
      <c r="B10" s="14"/>
      <c r="J10" s="719">
        <f>J9-(F16+I16)</f>
        <v>7818422</v>
      </c>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8" t="s">
        <v>67</v>
      </c>
    </row>
    <row r="11" spans="2:106" ht="15">
      <c r="B11" s="9" t="s">
        <v>68</v>
      </c>
      <c r="C11" s="24"/>
      <c r="D11" s="24"/>
      <c r="E11" s="24"/>
      <c r="I11" s="11" t="s">
        <v>999</v>
      </c>
      <c r="J11" s="719">
        <f>I16+J10</f>
        <v>11886906</v>
      </c>
      <c r="K11" s="24"/>
      <c r="L11" s="110" t="s">
        <v>69</v>
      </c>
      <c r="M11" s="21" t="s">
        <v>70</v>
      </c>
      <c r="N11" s="21" t="str">
        <f>'Inputs and eligible population'!$E$11</f>
        <v>National</v>
      </c>
      <c r="O11" s="21" t="str">
        <f>IFERROR(VLOOKUP('Inputs and eligible population'!$E$11, $L$5:$M$14, 2, FALSE), "-")</f>
        <v>NATIONAL</v>
      </c>
      <c r="P11" s="16" t="b">
        <f>ISTEXT('Inputs and eligible population'!$E$12)</f>
        <v>1</v>
      </c>
      <c r="V11" s="138" t="s">
        <v>71</v>
      </c>
    </row>
    <row r="12" spans="2:106" ht="43.5" customHeight="1">
      <c r="B12" s="15"/>
      <c r="D12" s="199" t="s">
        <v>72</v>
      </c>
      <c r="E12" s="199" t="s">
        <v>72</v>
      </c>
      <c r="G12" s="199" t="s">
        <v>72</v>
      </c>
      <c r="H12" s="199" t="s">
        <v>72</v>
      </c>
      <c r="I12" s="11" t="s">
        <v>1001</v>
      </c>
      <c r="J12" s="11">
        <f>I16/J11</f>
        <v>0.34226601943348423</v>
      </c>
      <c r="L12" s="21" t="s">
        <v>73</v>
      </c>
      <c r="M12" s="21" t="s">
        <v>74</v>
      </c>
      <c r="N12" s="21" t="str">
        <f>'Inputs and eligible population'!$E$11</f>
        <v>National</v>
      </c>
      <c r="O12" s="21" t="str">
        <f>IFERROR(VLOOKUP('Inputs and eligible population'!$E$11, $L$5:$M$14, 2, FALSE), "-")</f>
        <v>NATIONAL</v>
      </c>
      <c r="P12" s="16" t="b">
        <f>ISTEXT('Inputs and eligible population'!$E$12)</f>
        <v>1</v>
      </c>
      <c r="V12" s="138" t="s">
        <v>75</v>
      </c>
    </row>
    <row r="13" spans="2:106" s="19" customFormat="1" ht="45.95" customHeight="1">
      <c r="B13" s="200" t="s">
        <v>76</v>
      </c>
      <c r="C13" s="200" t="s">
        <v>77</v>
      </c>
      <c r="D13" s="26" t="s">
        <v>903</v>
      </c>
      <c r="E13" s="26" t="s">
        <v>997</v>
      </c>
      <c r="F13" s="200" t="s">
        <v>80</v>
      </c>
      <c r="G13" s="26" t="s">
        <v>905</v>
      </c>
      <c r="H13" s="26" t="s">
        <v>906</v>
      </c>
      <c r="I13" s="200" t="s">
        <v>80</v>
      </c>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89">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201" t="str">
        <f>IF((OR('Inputs and eligible population'!E11="&lt;select&gt;",'Inputs and eligible population'!E11="")), "-", 'Inputs and eligible population'!E12)</f>
        <v>England</v>
      </c>
      <c r="C14" s="20">
        <f>IF(OR(B14="", B14="-"), "",VLOOKUP((CONCATENATE($N7," - ",$B14)),$C$23:$GL$532,4,FALSE))</f>
        <v>57106398</v>
      </c>
      <c r="D14" s="90">
        <f>IF(OR(C14="", C14="-"), "",VLOOKUP((CONCATENATE($N7," - ",$B14)),$C$23:$GL$532,2,FALSE))</f>
        <v>21895402</v>
      </c>
      <c r="E14" s="90">
        <f>IF(OR(D14="", D14="-"), "",VLOOKUP((CONCATENATE($N7," - ",$B14)),$C$23:$GL$532,3,FALSE))</f>
        <v>23324090</v>
      </c>
      <c r="F14" s="20">
        <f>IFERROR(D14+E14, "")</f>
        <v>45219492</v>
      </c>
      <c r="G14" s="90">
        <f>IF(OR(C14="", C14="-"), "",VLOOKUP((CONCATENATE($N7," - ",$B14)),$C$23:$GL$550,9,FALSE))</f>
        <v>2086902</v>
      </c>
      <c r="H14" s="90">
        <f>IF(OR(C14="", C14="-"), "",VLOOKUP((CONCATENATE($N7," - ",$B14)),$C$23:$GL$550,10,FALSE))</f>
        <v>1981582</v>
      </c>
      <c r="I14" s="20">
        <f>IFERROR(G14+H14, "")</f>
        <v>4068484</v>
      </c>
      <c r="L14" s="21" t="s">
        <v>83</v>
      </c>
      <c r="M14" s="21" t="s">
        <v>84</v>
      </c>
      <c r="N14" s="21" t="str">
        <f>'Inputs and eligible population'!$E$11</f>
        <v>National</v>
      </c>
      <c r="O14" s="21" t="str">
        <f>IFERROR(VLOOKUP('Inputs and eligible population'!$E$11, $L$5:$M$14, 2, FALSE), "-")</f>
        <v>NATIONAL</v>
      </c>
      <c r="P14" s="16" t="b">
        <f>ISTEXT('Inputs and eligible population'!$E$12)</f>
        <v>1</v>
      </c>
      <c r="V14" s="138" t="s">
        <v>85</v>
      </c>
    </row>
    <row r="15" spans="2:106">
      <c r="B15" s="201" t="str">
        <f>'Inputs and eligible population'!C18</f>
        <v>Manually entered current locality population (n/a)</v>
      </c>
      <c r="C15" s="20" t="str">
        <f>IF(OR('Inputs and eligible population'!E18="",'Inputs and eligible population'!E18="-"),"",'Inputs and eligible population'!E18)</f>
        <v/>
      </c>
      <c r="D15" s="90" t="str">
        <f>IFERROR(C15*($D$23/100000), "")</f>
        <v/>
      </c>
      <c r="E15" s="90" t="str">
        <f>IFERROR(C15*($E$23/100000), "")</f>
        <v/>
      </c>
      <c r="F15" s="20">
        <f>IF('Inputs and eligible population'!E18=0,'Population selection'!F14,'Inputs and eligible population'!E18)</f>
        <v>45219492</v>
      </c>
      <c r="G15" s="90">
        <f>IFERROR(F15*($D$23/100000), "")</f>
        <v>17338057.622639999</v>
      </c>
      <c r="H15" s="90">
        <f>IFERROR(F15*($E$23/100000), "")</f>
        <v>18464080.749539495</v>
      </c>
      <c r="I15" s="20">
        <v>2011508</v>
      </c>
      <c r="L15" s="21"/>
      <c r="M15" s="21"/>
      <c r="N15" s="21"/>
      <c r="O15" s="21"/>
      <c r="P15" s="21"/>
      <c r="V15" s="138" t="s">
        <v>86</v>
      </c>
    </row>
    <row r="16" spans="2:106" ht="15">
      <c r="B16" s="202" t="s">
        <v>87</v>
      </c>
      <c r="C16" s="203">
        <f>IF(C15&gt;0,C14,C15)</f>
        <v>57106398</v>
      </c>
      <c r="D16" s="203">
        <f>IF(D15&gt;0,D14,D15)</f>
        <v>21895402</v>
      </c>
      <c r="E16" s="203">
        <f>IF(E15&gt;0,E14,E15)</f>
        <v>23324090</v>
      </c>
      <c r="F16" s="203">
        <f>SUM(F15)</f>
        <v>45219492</v>
      </c>
      <c r="G16" s="203">
        <f>IF(G15&gt;0,G14,G15)</f>
        <v>2086902</v>
      </c>
      <c r="H16" s="203">
        <f>IF(H15&gt;0,H14,H15)</f>
        <v>1981582</v>
      </c>
      <c r="I16" s="203">
        <f>SUM(I14)</f>
        <v>4068484</v>
      </c>
      <c r="L16" s="22"/>
      <c r="M16" s="22"/>
      <c r="P16" s="376">
        <f>COUNTIF(P6:P14, TRUE)</f>
        <v>9</v>
      </c>
    </row>
    <row r="17" spans="1:194" ht="15">
      <c r="Q17" s="23"/>
      <c r="R17" s="23"/>
    </row>
    <row r="18" spans="1:194" ht="45.6" customHeight="1">
      <c r="B18" s="89"/>
      <c r="C18" s="142"/>
      <c r="D18" s="26" t="s">
        <v>72</v>
      </c>
      <c r="E18" s="26" t="s">
        <v>72</v>
      </c>
      <c r="F18" s="89"/>
      <c r="I18" s="89"/>
      <c r="J18" s="89"/>
      <c r="K18" s="24"/>
      <c r="N18" s="24"/>
    </row>
    <row r="19" spans="1:194" ht="23.1" customHeight="1">
      <c r="D19" s="204">
        <v>2</v>
      </c>
      <c r="E19" s="204">
        <v>3</v>
      </c>
      <c r="F19" s="204">
        <v>4</v>
      </c>
      <c r="G19" s="204">
        <v>5</v>
      </c>
      <c r="H19" s="204">
        <v>6</v>
      </c>
      <c r="K19" s="24"/>
    </row>
    <row r="20" spans="1:194" s="1" customFormat="1" ht="48" customHeight="1">
      <c r="A20" s="123" t="s">
        <v>48</v>
      </c>
      <c r="B20" s="122" t="s">
        <v>88</v>
      </c>
      <c r="C20" s="122" t="s">
        <v>89</v>
      </c>
      <c r="D20" s="81" t="s">
        <v>90</v>
      </c>
      <c r="E20" s="81" t="s">
        <v>90</v>
      </c>
      <c r="F20" s="81" t="s">
        <v>91</v>
      </c>
      <c r="G20" s="81" t="s">
        <v>91</v>
      </c>
      <c r="H20" s="81" t="s">
        <v>91</v>
      </c>
      <c r="I20" s="681" t="s">
        <v>90</v>
      </c>
      <c r="J20" s="681" t="s">
        <v>90</v>
      </c>
      <c r="K20" s="681" t="s">
        <v>907</v>
      </c>
      <c r="L20" s="681" t="s">
        <v>907</v>
      </c>
      <c r="M20" s="124" t="s">
        <v>92</v>
      </c>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125"/>
      <c r="CZ20" s="497" t="s">
        <v>93</v>
      </c>
      <c r="DA20" s="497"/>
      <c r="DB20" s="497"/>
      <c r="DC20" s="497"/>
      <c r="DD20" s="497"/>
      <c r="DE20" s="497"/>
      <c r="DF20" s="497"/>
      <c r="DG20" s="497"/>
      <c r="DH20" s="497"/>
      <c r="DI20" s="497"/>
      <c r="DJ20" s="497"/>
      <c r="DK20" s="497"/>
      <c r="DL20" s="497"/>
      <c r="DM20" s="497"/>
      <c r="DN20" s="497"/>
      <c r="DO20" s="497"/>
      <c r="DP20" s="497"/>
      <c r="DQ20" s="497"/>
      <c r="DR20" s="497"/>
      <c r="DS20" s="497"/>
      <c r="DT20" s="497"/>
      <c r="DU20" s="497"/>
      <c r="DV20" s="497"/>
      <c r="DW20" s="497"/>
      <c r="DX20" s="497"/>
      <c r="DY20" s="497"/>
      <c r="DZ20" s="497"/>
      <c r="EA20" s="497"/>
      <c r="EB20" s="497"/>
      <c r="EC20" s="497"/>
      <c r="ED20" s="497"/>
      <c r="EE20" s="497"/>
      <c r="EF20" s="497"/>
      <c r="EG20" s="497"/>
      <c r="EH20" s="497"/>
      <c r="EI20" s="497"/>
      <c r="EJ20" s="497"/>
      <c r="EK20" s="497"/>
      <c r="EL20" s="497"/>
      <c r="EM20" s="497"/>
      <c r="EN20" s="497"/>
      <c r="EO20" s="497"/>
      <c r="EP20" s="497"/>
      <c r="EQ20" s="497"/>
      <c r="ER20" s="497"/>
      <c r="ES20" s="497"/>
      <c r="ET20" s="497"/>
      <c r="EU20" s="497"/>
      <c r="EV20" s="497"/>
      <c r="EW20" s="497"/>
      <c r="EX20" s="497"/>
      <c r="EY20" s="497"/>
      <c r="EZ20" s="497"/>
      <c r="FA20" s="497"/>
      <c r="FB20" s="497"/>
      <c r="FC20" s="497"/>
      <c r="FD20" s="497"/>
      <c r="FE20" s="497"/>
      <c r="FF20" s="497"/>
      <c r="FG20" s="497"/>
      <c r="FH20" s="497"/>
      <c r="FI20" s="497"/>
      <c r="FJ20" s="497"/>
      <c r="FK20" s="497"/>
      <c r="FL20" s="497"/>
      <c r="FM20" s="497"/>
      <c r="FN20" s="497"/>
      <c r="FO20" s="497"/>
      <c r="FP20" s="497"/>
      <c r="FQ20" s="497"/>
      <c r="FR20" s="497"/>
      <c r="FS20" s="497"/>
      <c r="FT20" s="497"/>
      <c r="FU20" s="497"/>
      <c r="FV20" s="497"/>
      <c r="FW20" s="497"/>
      <c r="FX20" s="497"/>
      <c r="FY20" s="497"/>
      <c r="FZ20" s="497"/>
      <c r="GA20" s="497"/>
      <c r="GB20" s="497"/>
      <c r="GC20" s="497"/>
      <c r="GD20" s="497"/>
      <c r="GE20" s="497"/>
      <c r="GF20" s="497"/>
      <c r="GG20" s="497"/>
      <c r="GH20" s="497"/>
      <c r="GI20" s="497"/>
      <c r="GJ20" s="497"/>
      <c r="GK20" s="497"/>
      <c r="GL20" s="121"/>
    </row>
    <row r="21" spans="1:194" s="8" customFormat="1" ht="30">
      <c r="A21" s="123"/>
      <c r="B21" s="122"/>
      <c r="C21" s="122"/>
      <c r="D21" s="25" t="s">
        <v>78</v>
      </c>
      <c r="E21" s="26" t="s">
        <v>79</v>
      </c>
      <c r="F21" s="81" t="s">
        <v>94</v>
      </c>
      <c r="G21" s="80" t="s">
        <v>92</v>
      </c>
      <c r="H21" s="80" t="s">
        <v>93</v>
      </c>
      <c r="I21" s="81" t="s">
        <v>92</v>
      </c>
      <c r="J21" s="80" t="s">
        <v>93</v>
      </c>
      <c r="K21" s="81" t="s">
        <v>92</v>
      </c>
      <c r="L21" s="27" t="s">
        <v>93</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0" t="s">
        <v>95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0" t="s">
        <v>95</v>
      </c>
    </row>
    <row r="22" spans="1:194" s="1" customFormat="1">
      <c r="A22" s="30"/>
      <c r="B22" s="71"/>
      <c r="C22" s="59"/>
      <c r="D22" s="77"/>
      <c r="E22" s="77"/>
      <c r="F22" s="498"/>
      <c r="G22" s="498"/>
      <c r="H22" s="77"/>
      <c r="I22" s="77"/>
      <c r="J22" s="77"/>
      <c r="K22" s="498"/>
      <c r="L22" s="77"/>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8"/>
      <c r="AY22" s="498"/>
      <c r="AZ22" s="498"/>
      <c r="BA22" s="498"/>
      <c r="BB22" s="498"/>
      <c r="BC22" s="498"/>
      <c r="BD22" s="498"/>
      <c r="BE22" s="498"/>
      <c r="BF22" s="498"/>
      <c r="BG22" s="498"/>
      <c r="BH22" s="498"/>
      <c r="BI22" s="498"/>
      <c r="BJ22" s="498"/>
      <c r="BK22" s="498"/>
      <c r="BL22" s="498"/>
      <c r="BM22" s="498"/>
      <c r="BN22" s="498"/>
      <c r="BO22" s="498"/>
      <c r="BP22" s="498"/>
      <c r="BQ22" s="498"/>
      <c r="BR22" s="498"/>
      <c r="BS22" s="498"/>
      <c r="BT22" s="498"/>
      <c r="BU22" s="498"/>
      <c r="BV22" s="498"/>
      <c r="BW22" s="498"/>
      <c r="BX22" s="498"/>
      <c r="BY22" s="498"/>
      <c r="BZ22" s="498"/>
      <c r="CA22" s="498"/>
      <c r="CB22" s="498"/>
      <c r="CC22" s="498"/>
      <c r="CD22" s="498"/>
      <c r="CE22" s="498"/>
      <c r="CF22" s="498"/>
      <c r="CG22" s="498"/>
      <c r="CH22" s="498"/>
      <c r="CI22" s="498"/>
      <c r="CJ22" s="498"/>
      <c r="CK22" s="498"/>
      <c r="CL22" s="498"/>
      <c r="CM22" s="498"/>
      <c r="CN22" s="498"/>
      <c r="CO22" s="498"/>
      <c r="CP22" s="498"/>
      <c r="CQ22" s="498"/>
      <c r="CR22" s="498"/>
      <c r="CS22" s="498"/>
      <c r="CT22" s="498"/>
      <c r="CU22" s="498"/>
      <c r="CV22" s="498"/>
      <c r="CW22" s="498"/>
      <c r="CX22" s="498"/>
      <c r="CY22" s="77"/>
      <c r="CZ22" s="498"/>
      <c r="DA22" s="498"/>
      <c r="DB22" s="498"/>
      <c r="DC22" s="498"/>
      <c r="DD22" s="498"/>
      <c r="DE22" s="498"/>
      <c r="DF22" s="498"/>
      <c r="DG22" s="498"/>
      <c r="DH22" s="498"/>
      <c r="DI22" s="498"/>
      <c r="DJ22" s="498"/>
      <c r="DK22" s="498"/>
      <c r="DL22" s="498"/>
      <c r="DM22" s="498"/>
      <c r="DN22" s="498"/>
      <c r="DO22" s="498"/>
      <c r="DP22" s="498"/>
      <c r="DQ22" s="498"/>
      <c r="DR22" s="498"/>
      <c r="DS22" s="498"/>
      <c r="DT22" s="498"/>
      <c r="DU22" s="498"/>
      <c r="DV22" s="498"/>
      <c r="DW22" s="498"/>
      <c r="DX22" s="498"/>
      <c r="DY22" s="498"/>
      <c r="DZ22" s="498"/>
      <c r="EA22" s="498"/>
      <c r="EB22" s="498"/>
      <c r="EC22" s="498"/>
      <c r="ED22" s="498"/>
      <c r="EE22" s="498"/>
      <c r="EF22" s="498"/>
      <c r="EG22" s="498"/>
      <c r="EH22" s="498"/>
      <c r="EI22" s="498"/>
      <c r="EJ22" s="498"/>
      <c r="EK22" s="498"/>
      <c r="EL22" s="498"/>
      <c r="EM22" s="498"/>
      <c r="EN22" s="498"/>
      <c r="EO22" s="498"/>
      <c r="EP22" s="498"/>
      <c r="EQ22" s="498"/>
      <c r="ER22" s="498"/>
      <c r="ES22" s="498"/>
      <c r="ET22" s="498"/>
      <c r="EU22" s="498"/>
      <c r="EV22" s="498"/>
      <c r="EW22" s="498"/>
      <c r="EX22" s="498"/>
      <c r="EY22" s="498"/>
      <c r="EZ22" s="498"/>
      <c r="FA22" s="498"/>
      <c r="FB22" s="498"/>
      <c r="FC22" s="498"/>
      <c r="FD22" s="498"/>
      <c r="FE22" s="498"/>
      <c r="FF22" s="498"/>
      <c r="FG22" s="498"/>
      <c r="FH22" s="498"/>
      <c r="FI22" s="498"/>
      <c r="FJ22" s="498"/>
      <c r="FK22" s="498"/>
      <c r="FL22" s="498"/>
      <c r="FM22" s="498"/>
      <c r="FN22" s="498"/>
      <c r="FO22" s="498"/>
      <c r="FP22" s="498"/>
      <c r="FQ22" s="498"/>
      <c r="FR22" s="498"/>
      <c r="FS22" s="498"/>
      <c r="FT22" s="498"/>
      <c r="FU22" s="498"/>
      <c r="FV22" s="498"/>
      <c r="FW22" s="498"/>
      <c r="FX22" s="498"/>
      <c r="FY22" s="498"/>
      <c r="FZ22" s="498"/>
      <c r="GA22" s="498"/>
      <c r="GB22" s="498"/>
      <c r="GC22" s="498"/>
      <c r="GD22" s="498"/>
      <c r="GE22" s="498"/>
      <c r="GF22" s="498"/>
      <c r="GG22" s="498"/>
      <c r="GH22" s="498"/>
      <c r="GI22" s="498"/>
      <c r="GJ22" s="498"/>
      <c r="GK22" s="498"/>
      <c r="GL22" s="77"/>
    </row>
    <row r="23" spans="1:194" s="69" customFormat="1" ht="21.75" customHeight="1">
      <c r="A23" s="64" t="s">
        <v>46</v>
      </c>
      <c r="B23" s="65" t="s">
        <v>46</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(SUM(J25:J27)/SUM($F$25:$F$27))*100000</f>
        <v>40832.127768130376</v>
      </c>
      <c r="K23" s="67">
        <f t="shared" ref="K23" si="0">(SUM(K25:K27)/SUM($F$25:$F$27))*100000</f>
        <v>3661.1455376591784</v>
      </c>
      <c r="L23" s="68">
        <f t="shared" ref="L23:AQ23" si="1">(SUM(L25:L27)/SUM($F$25:$F$27))*100000</f>
        <v>3475.7205478271499</v>
      </c>
      <c r="M23" s="67">
        <f t="shared" si="1"/>
        <v>532.8456332735899</v>
      </c>
      <c r="N23" s="67">
        <f t="shared" si="1"/>
        <v>529.49076986970942</v>
      </c>
      <c r="O23" s="67">
        <f t="shared" si="1"/>
        <v>549.82751738128979</v>
      </c>
      <c r="P23" s="67">
        <f t="shared" si="1"/>
        <v>561.95329705114261</v>
      </c>
      <c r="Q23" s="67">
        <f t="shared" si="1"/>
        <v>569.4353665130343</v>
      </c>
      <c r="R23" s="67">
        <f t="shared" si="1"/>
        <v>583.2313371724448</v>
      </c>
      <c r="S23" s="67">
        <f t="shared" si="1"/>
        <v>601.57608425524631</v>
      </c>
      <c r="T23" s="67">
        <f t="shared" si="1"/>
        <v>595.77868720767731</v>
      </c>
      <c r="U23" s="67">
        <f t="shared" si="1"/>
        <v>599.54385764656479</v>
      </c>
      <c r="V23" s="67">
        <f t="shared" si="1"/>
        <v>615.73891767536895</v>
      </c>
      <c r="W23" s="67">
        <f t="shared" si="1"/>
        <v>631.85030724997569</v>
      </c>
      <c r="X23" s="67">
        <f t="shared" si="1"/>
        <v>634.54867939784504</v>
      </c>
      <c r="Y23" s="67">
        <f t="shared" si="1"/>
        <v>625.67156601692966</v>
      </c>
      <c r="Z23" s="67">
        <f t="shared" si="1"/>
        <v>621.70365563133294</v>
      </c>
      <c r="AA23" s="67">
        <f t="shared" si="1"/>
        <v>626.95558567942203</v>
      </c>
      <c r="AB23" s="67">
        <f t="shared" si="1"/>
        <v>603.73864368681234</v>
      </c>
      <c r="AC23" s="67">
        <f t="shared" si="1"/>
        <v>590.26287341942691</v>
      </c>
      <c r="AD23" s="67">
        <f t="shared" si="1"/>
        <v>592.81321322525446</v>
      </c>
      <c r="AE23" s="67">
        <f t="shared" si="1"/>
        <v>594.02321671672598</v>
      </c>
      <c r="AF23" s="67">
        <f t="shared" si="1"/>
        <v>594.89210220262305</v>
      </c>
      <c r="AG23" s="67">
        <f t="shared" si="1"/>
        <v>592.38520667109037</v>
      </c>
      <c r="AH23" s="67">
        <f t="shared" si="1"/>
        <v>592.83895798039214</v>
      </c>
      <c r="AI23" s="67">
        <f t="shared" si="1"/>
        <v>603.42970662516018</v>
      </c>
      <c r="AJ23" s="67">
        <f t="shared" si="1"/>
        <v>625.78902646224537</v>
      </c>
      <c r="AK23" s="67">
        <f t="shared" si="1"/>
        <v>628.04651967838174</v>
      </c>
      <c r="AL23" s="67">
        <f t="shared" si="1"/>
        <v>638.27684175122192</v>
      </c>
      <c r="AM23" s="67">
        <f t="shared" si="1"/>
        <v>628.25247771948318</v>
      </c>
      <c r="AN23" s="67">
        <f t="shared" si="1"/>
        <v>633.79564531006747</v>
      </c>
      <c r="AO23" s="67">
        <f t="shared" si="1"/>
        <v>648.14191011054618</v>
      </c>
      <c r="AP23" s="67">
        <f t="shared" si="1"/>
        <v>648.62140617498574</v>
      </c>
      <c r="AQ23" s="67">
        <f t="shared" si="1"/>
        <v>667.46334884138378</v>
      </c>
      <c r="AR23" s="67">
        <f t="shared" ref="AR23:BW23" si="2">(SUM(AR25:AR27)/SUM($F$25:$F$27))*100000</f>
        <v>677.41047860770948</v>
      </c>
      <c r="AS23" s="67">
        <f t="shared" si="2"/>
        <v>674.72497883740903</v>
      </c>
      <c r="AT23" s="67">
        <f t="shared" si="2"/>
        <v>669.70957872714746</v>
      </c>
      <c r="AU23" s="67">
        <f t="shared" si="2"/>
        <v>675.3138901111837</v>
      </c>
      <c r="AV23" s="67">
        <f t="shared" si="2"/>
        <v>660.29504358273277</v>
      </c>
      <c r="AW23" s="67">
        <f t="shared" si="2"/>
        <v>659.59832614681909</v>
      </c>
      <c r="AX23" s="67">
        <f t="shared" si="2"/>
        <v>657.68355998345328</v>
      </c>
      <c r="AY23" s="67">
        <f t="shared" si="2"/>
        <v>637.04913874059332</v>
      </c>
      <c r="AZ23" s="67">
        <f t="shared" si="2"/>
        <v>638.00491277508013</v>
      </c>
      <c r="BA23" s="67">
        <f t="shared" si="2"/>
        <v>636.86409831304115</v>
      </c>
      <c r="BB23" s="67">
        <f t="shared" si="2"/>
        <v>642.70172154051272</v>
      </c>
      <c r="BC23" s="67">
        <f t="shared" si="2"/>
        <v>648.68254996843768</v>
      </c>
      <c r="BD23" s="67">
        <f t="shared" si="2"/>
        <v>623.21776904286844</v>
      </c>
      <c r="BE23" s="67">
        <f t="shared" si="2"/>
        <v>581.62711711792747</v>
      </c>
      <c r="BF23" s="67">
        <f t="shared" si="2"/>
        <v>572.58105378142102</v>
      </c>
      <c r="BG23" s="67">
        <f t="shared" si="2"/>
        <v>585.15575761898731</v>
      </c>
      <c r="BH23" s="67">
        <f t="shared" si="2"/>
        <v>597.62426434161068</v>
      </c>
      <c r="BI23" s="67">
        <f t="shared" si="2"/>
        <v>605.1980494936804</v>
      </c>
      <c r="BJ23" s="67">
        <f t="shared" si="2"/>
        <v>629.71671066793942</v>
      </c>
      <c r="BK23" s="67">
        <f t="shared" si="2"/>
        <v>653.06076738904142</v>
      </c>
      <c r="BL23" s="67">
        <f t="shared" si="2"/>
        <v>674.28249085847995</v>
      </c>
      <c r="BM23" s="67">
        <f t="shared" si="2"/>
        <v>657.68999617223756</v>
      </c>
      <c r="BN23" s="67">
        <f t="shared" si="2"/>
        <v>672.65252604882483</v>
      </c>
      <c r="BO23" s="67">
        <f t="shared" si="2"/>
        <v>670.11184052617386</v>
      </c>
      <c r="BP23" s="67">
        <f t="shared" si="2"/>
        <v>675.43295960369562</v>
      </c>
      <c r="BQ23" s="67">
        <f t="shared" si="2"/>
        <v>669.89944629628792</v>
      </c>
      <c r="BR23" s="67">
        <f t="shared" si="2"/>
        <v>671.39907828305843</v>
      </c>
      <c r="BS23" s="67">
        <f t="shared" si="2"/>
        <v>661.30069808029884</v>
      </c>
      <c r="BT23" s="67">
        <f t="shared" si="2"/>
        <v>645.42262034912756</v>
      </c>
      <c r="BU23" s="67">
        <f t="shared" si="2"/>
        <v>629.58959593944712</v>
      </c>
      <c r="BV23" s="67">
        <f t="shared" si="2"/>
        <v>607.49415984252312</v>
      </c>
      <c r="BW23" s="67">
        <f t="shared" si="2"/>
        <v>581.1798019974101</v>
      </c>
      <c r="BX23" s="67">
        <f t="shared" ref="BX23:DC23" si="3">(SUM(BX25:BX27)/SUM($F$25:$F$27))*100000</f>
        <v>563.22283528886999</v>
      </c>
      <c r="BY23" s="67">
        <f t="shared" si="3"/>
        <v>546.33266687134824</v>
      </c>
      <c r="BZ23" s="67">
        <f t="shared" si="3"/>
        <v>520.23231230331714</v>
      </c>
      <c r="CA23" s="67">
        <f t="shared" si="3"/>
        <v>498.67107987550031</v>
      </c>
      <c r="CB23" s="67">
        <f t="shared" si="3"/>
        <v>474.50319098999222</v>
      </c>
      <c r="CC23" s="67">
        <f t="shared" si="3"/>
        <v>471.31727754170282</v>
      </c>
      <c r="CD23" s="67">
        <f t="shared" si="3"/>
        <v>460.8005450679558</v>
      </c>
      <c r="CE23" s="67">
        <f t="shared" si="3"/>
        <v>441.10580738762155</v>
      </c>
      <c r="CF23" s="67">
        <f t="shared" si="3"/>
        <v>440.48632421712085</v>
      </c>
      <c r="CG23" s="67">
        <f t="shared" si="3"/>
        <v>440.44127089563</v>
      </c>
      <c r="CH23" s="67">
        <f t="shared" si="3"/>
        <v>446.9917020309764</v>
      </c>
      <c r="CI23" s="67">
        <f t="shared" si="3"/>
        <v>464.58985121478474</v>
      </c>
      <c r="CJ23" s="67">
        <f t="shared" si="3"/>
        <v>496.60989041728891</v>
      </c>
      <c r="CK23" s="67">
        <f t="shared" si="3"/>
        <v>372.86611580077749</v>
      </c>
      <c r="CL23" s="67">
        <f t="shared" si="3"/>
        <v>353.41595329425144</v>
      </c>
      <c r="CM23" s="67">
        <f t="shared" si="3"/>
        <v>343.86143104377555</v>
      </c>
      <c r="CN23" s="67">
        <f t="shared" si="3"/>
        <v>307.50500964776654</v>
      </c>
      <c r="CO23" s="67">
        <f t="shared" si="3"/>
        <v>264.45173382156548</v>
      </c>
      <c r="CP23" s="67">
        <f t="shared" si="3"/>
        <v>225.77184827437972</v>
      </c>
      <c r="CQ23" s="67">
        <f t="shared" si="3"/>
        <v>223.76375737363981</v>
      </c>
      <c r="CR23" s="67">
        <f t="shared" si="3"/>
        <v>210.79000983143928</v>
      </c>
      <c r="CS23" s="67">
        <f t="shared" si="3"/>
        <v>192.77029028225118</v>
      </c>
      <c r="CT23" s="67">
        <f t="shared" si="3"/>
        <v>170.78266034746633</v>
      </c>
      <c r="CU23" s="67">
        <f t="shared" si="3"/>
        <v>148.58907237157996</v>
      </c>
      <c r="CV23" s="67">
        <f t="shared" si="3"/>
        <v>128.63527809267276</v>
      </c>
      <c r="CW23" s="67">
        <f t="shared" si="3"/>
        <v>106.47548010790464</v>
      </c>
      <c r="CX23" s="67">
        <f t="shared" si="3"/>
        <v>90.040672046880687</v>
      </c>
      <c r="CY23" s="68">
        <f t="shared" si="3"/>
        <v>297.93278787813352</v>
      </c>
      <c r="CZ23" s="67">
        <f t="shared" si="3"/>
        <v>508.36880732642953</v>
      </c>
      <c r="DA23" s="67">
        <f t="shared" si="3"/>
        <v>504.89487443003725</v>
      </c>
      <c r="DB23" s="67">
        <f t="shared" si="3"/>
        <v>525.46976092664124</v>
      </c>
      <c r="DC23" s="67">
        <f t="shared" si="3"/>
        <v>534.85372417432995</v>
      </c>
      <c r="DD23" s="67">
        <f t="shared" ref="DD23:EI23" si="4">(SUM(DD25:DD27)/SUM($F$25:$F$27))*100000</f>
        <v>543.93679559634677</v>
      </c>
      <c r="DE23" s="67">
        <f t="shared" si="4"/>
        <v>557.29993256000489</v>
      </c>
      <c r="DF23" s="67">
        <f t="shared" si="4"/>
        <v>573.03802318511509</v>
      </c>
      <c r="DG23" s="67">
        <f t="shared" si="4"/>
        <v>569.09424850745984</v>
      </c>
      <c r="DH23" s="67">
        <f t="shared" si="4"/>
        <v>572.68564184916784</v>
      </c>
      <c r="DI23" s="67">
        <f t="shared" si="4"/>
        <v>586.64734436977733</v>
      </c>
      <c r="DJ23" s="67">
        <f t="shared" si="4"/>
        <v>603.807832716245</v>
      </c>
      <c r="DK23" s="67">
        <f t="shared" si="4"/>
        <v>603.50050470178871</v>
      </c>
      <c r="DL23" s="67">
        <f t="shared" si="4"/>
        <v>596.44161465247294</v>
      </c>
      <c r="DM23" s="67">
        <f t="shared" si="4"/>
        <v>591.81721301086509</v>
      </c>
      <c r="DN23" s="67">
        <f t="shared" si="4"/>
        <v>597.83344047710443</v>
      </c>
      <c r="DO23" s="67">
        <f t="shared" si="4"/>
        <v>573.05733175146827</v>
      </c>
      <c r="DP23" s="67">
        <f t="shared" si="4"/>
        <v>559.01517687105365</v>
      </c>
      <c r="DQ23" s="67">
        <f t="shared" si="4"/>
        <v>557.55577106418571</v>
      </c>
      <c r="DR23" s="67">
        <f t="shared" si="4"/>
        <v>557.61047866885326</v>
      </c>
      <c r="DS23" s="67">
        <f t="shared" si="4"/>
        <v>557.58312486651948</v>
      </c>
      <c r="DT23" s="67">
        <f t="shared" si="4"/>
        <v>567.31464230856693</v>
      </c>
      <c r="DU23" s="67">
        <f t="shared" si="4"/>
        <v>570.64537000450582</v>
      </c>
      <c r="DV23" s="67">
        <f t="shared" si="4"/>
        <v>580.61824452596909</v>
      </c>
      <c r="DW23" s="67">
        <f t="shared" si="4"/>
        <v>610.22471293431465</v>
      </c>
      <c r="DX23" s="67">
        <f t="shared" si="4"/>
        <v>624.48891632779203</v>
      </c>
      <c r="DY23" s="67">
        <f t="shared" si="4"/>
        <v>640.78695537714691</v>
      </c>
      <c r="DZ23" s="67">
        <f t="shared" si="4"/>
        <v>632.77711843493262</v>
      </c>
      <c r="EA23" s="67">
        <f t="shared" si="4"/>
        <v>649.74130302347533</v>
      </c>
      <c r="EB23" s="67">
        <f t="shared" si="4"/>
        <v>673.28649064409046</v>
      </c>
      <c r="EC23" s="67">
        <f t="shared" si="4"/>
        <v>678.88919298093072</v>
      </c>
      <c r="ED23" s="67">
        <f t="shared" si="4"/>
        <v>703.3322289369728</v>
      </c>
      <c r="EE23" s="67">
        <f t="shared" si="4"/>
        <v>714.9382863624835</v>
      </c>
      <c r="EF23" s="67">
        <f t="shared" si="4"/>
        <v>717.95203176078951</v>
      </c>
      <c r="EG23" s="67">
        <f t="shared" si="4"/>
        <v>715.57386000494523</v>
      </c>
      <c r="EH23" s="67">
        <f t="shared" si="4"/>
        <v>727.69159443881756</v>
      </c>
      <c r="EI23" s="67">
        <f t="shared" si="4"/>
        <v>713.05731019023585</v>
      </c>
      <c r="EJ23" s="67">
        <f t="shared" ref="EJ23:FO23" si="5">(SUM(EJ25:EJ27)/SUM($F$25:$F$27))*100000</f>
        <v>703.81172500141236</v>
      </c>
      <c r="EK23" s="67">
        <f t="shared" si="5"/>
        <v>700.19458690456668</v>
      </c>
      <c r="EL23" s="67">
        <f t="shared" si="5"/>
        <v>678.54646592816016</v>
      </c>
      <c r="EM23" s="67">
        <f t="shared" si="5"/>
        <v>678.95194582157876</v>
      </c>
      <c r="EN23" s="67">
        <f t="shared" si="5"/>
        <v>673.13363116046037</v>
      </c>
      <c r="EO23" s="67">
        <f t="shared" si="5"/>
        <v>681.16599476342026</v>
      </c>
      <c r="EP23" s="67">
        <f t="shared" si="5"/>
        <v>681.81444078345078</v>
      </c>
      <c r="EQ23" s="67">
        <f t="shared" si="5"/>
        <v>651.33908688920837</v>
      </c>
      <c r="ER23" s="67">
        <f t="shared" si="5"/>
        <v>604.36939018768589</v>
      </c>
      <c r="ES23" s="67">
        <f t="shared" si="5"/>
        <v>591.61286401695963</v>
      </c>
      <c r="ET23" s="67">
        <f t="shared" si="5"/>
        <v>603.59382943916296</v>
      </c>
      <c r="EU23" s="67">
        <f t="shared" si="5"/>
        <v>615.55065915342459</v>
      </c>
      <c r="EV23" s="67">
        <f t="shared" si="5"/>
        <v>623.97723931943028</v>
      </c>
      <c r="EW23" s="67">
        <f t="shared" si="5"/>
        <v>647.99709586289669</v>
      </c>
      <c r="EX23" s="67">
        <f t="shared" si="5"/>
        <v>672.13280380448271</v>
      </c>
      <c r="EY23" s="67">
        <f t="shared" si="5"/>
        <v>700.41502637043311</v>
      </c>
      <c r="EZ23" s="67">
        <f t="shared" si="5"/>
        <v>681.77099650915602</v>
      </c>
      <c r="FA23" s="67">
        <f t="shared" si="5"/>
        <v>696.78179780162634</v>
      </c>
      <c r="FB23" s="67">
        <f t="shared" si="5"/>
        <v>694.05446280422723</v>
      </c>
      <c r="FC23" s="67">
        <f t="shared" si="5"/>
        <v>696.62732927080026</v>
      </c>
      <c r="FD23" s="67">
        <f t="shared" si="5"/>
        <v>696.1494422535568</v>
      </c>
      <c r="FE23" s="67">
        <f t="shared" si="5"/>
        <v>697.68286423144559</v>
      </c>
      <c r="FF23" s="67">
        <f t="shared" si="5"/>
        <v>687.55230308476393</v>
      </c>
      <c r="FG23" s="67">
        <f t="shared" si="5"/>
        <v>669.79646727573709</v>
      </c>
      <c r="FH23" s="67">
        <f t="shared" si="5"/>
        <v>653.14121974884665</v>
      </c>
      <c r="FI23" s="67">
        <f t="shared" si="5"/>
        <v>626.60803148506318</v>
      </c>
      <c r="FJ23" s="67">
        <f t="shared" si="5"/>
        <v>600.47066883152172</v>
      </c>
      <c r="FK23" s="67">
        <f t="shared" si="5"/>
        <v>584.64408061062568</v>
      </c>
      <c r="FL23" s="67">
        <f t="shared" si="5"/>
        <v>567.34038706370461</v>
      </c>
      <c r="FM23" s="67">
        <f t="shared" si="5"/>
        <v>544.63029493786837</v>
      </c>
      <c r="FN23" s="67">
        <f t="shared" si="5"/>
        <v>522.41257125404036</v>
      </c>
      <c r="FO23" s="67">
        <f t="shared" si="5"/>
        <v>502.57462837325284</v>
      </c>
      <c r="FP23" s="67">
        <f t="shared" ref="FP23:GL23" si="6">(SUM(FP25:FP27)/SUM($F$25:$F$27))*100000</f>
        <v>503.58993715399549</v>
      </c>
      <c r="FQ23" s="67">
        <f t="shared" si="6"/>
        <v>493.09734038818999</v>
      </c>
      <c r="FR23" s="67">
        <f t="shared" si="6"/>
        <v>478.75751177649573</v>
      </c>
      <c r="FS23" s="67">
        <f t="shared" si="6"/>
        <v>479.09219359328574</v>
      </c>
      <c r="FT23" s="67">
        <f t="shared" si="6"/>
        <v>485.81640182581162</v>
      </c>
      <c r="FU23" s="67">
        <f t="shared" si="6"/>
        <v>492.89620948867679</v>
      </c>
      <c r="FV23" s="67">
        <f t="shared" si="6"/>
        <v>518.11802428763417</v>
      </c>
      <c r="FW23" s="67">
        <f t="shared" si="6"/>
        <v>554.55972518503677</v>
      </c>
      <c r="FX23" s="67">
        <f t="shared" si="6"/>
        <v>422.9541459683528</v>
      </c>
      <c r="FY23" s="67">
        <f t="shared" si="6"/>
        <v>406.15891133540117</v>
      </c>
      <c r="FZ23" s="67">
        <f t="shared" si="6"/>
        <v>397.62291596006031</v>
      </c>
      <c r="GA23" s="67">
        <f t="shared" si="6"/>
        <v>364.35908327496645</v>
      </c>
      <c r="GB23" s="67">
        <f t="shared" si="6"/>
        <v>320.57047288014508</v>
      </c>
      <c r="GC23" s="67">
        <f t="shared" si="6"/>
        <v>281.34672938067564</v>
      </c>
      <c r="GD23" s="67">
        <f t="shared" si="6"/>
        <v>283.68467495661724</v>
      </c>
      <c r="GE23" s="67">
        <f t="shared" si="6"/>
        <v>272.9764658665336</v>
      </c>
      <c r="GF23" s="67">
        <f t="shared" si="6"/>
        <v>255.86424893594915</v>
      </c>
      <c r="GG23" s="67">
        <f t="shared" si="6"/>
        <v>233.61112621380687</v>
      </c>
      <c r="GH23" s="67">
        <f t="shared" si="6"/>
        <v>211.13595497860203</v>
      </c>
      <c r="GI23" s="67">
        <f t="shared" si="6"/>
        <v>188.92466748355847</v>
      </c>
      <c r="GJ23" s="67">
        <f t="shared" si="6"/>
        <v>164.09867829484313</v>
      </c>
      <c r="GK23" s="67">
        <f t="shared" si="6"/>
        <v>144.45382107758823</v>
      </c>
      <c r="GL23" s="68">
        <f t="shared" si="6"/>
        <v>611.08233508983903</v>
      </c>
    </row>
    <row r="24" spans="1:194" s="1" customFormat="1" ht="21.75" customHeight="1">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c r="A25" s="73" t="s">
        <v>56</v>
      </c>
      <c r="B25" s="537" t="s">
        <v>96</v>
      </c>
      <c r="C25" s="74" t="s">
        <v>97</v>
      </c>
      <c r="D25" s="76">
        <f t="shared" ref="D25:E27" si="7">I25</f>
        <v>21895402</v>
      </c>
      <c r="E25" s="76">
        <f t="shared" si="7"/>
        <v>23324090</v>
      </c>
      <c r="F25" s="499">
        <f>G25+H25</f>
        <v>57106398</v>
      </c>
      <c r="G25" s="499">
        <f>SUM(M25:CY25)</f>
        <v>27983290</v>
      </c>
      <c r="H25" s="75">
        <f>SUM(CZ25:GL25)</f>
        <v>29123108</v>
      </c>
      <c r="I25" s="75">
        <f>SUM(AE25:CY25)</f>
        <v>21895402</v>
      </c>
      <c r="J25" s="75">
        <f>SUM(DR25:GL25)</f>
        <v>23324090</v>
      </c>
      <c r="K25" s="500">
        <f>SUM(Y25:AD25)</f>
        <v>2086902</v>
      </c>
      <c r="L25" s="76">
        <f>SUM(DL25:DQ25)</f>
        <v>1981582</v>
      </c>
      <c r="M25" s="499">
        <v>305120</v>
      </c>
      <c r="N25" s="499">
        <v>303019</v>
      </c>
      <c r="O25" s="499">
        <v>314737</v>
      </c>
      <c r="P25" s="499">
        <v>321299</v>
      </c>
      <c r="Q25" s="499">
        <v>325230</v>
      </c>
      <c r="R25" s="499">
        <v>333023</v>
      </c>
      <c r="S25" s="499">
        <v>343154</v>
      </c>
      <c r="T25" s="499">
        <v>339729</v>
      </c>
      <c r="U25" s="499">
        <v>341966</v>
      </c>
      <c r="V25" s="499">
        <v>351482</v>
      </c>
      <c r="W25" s="499">
        <v>360539</v>
      </c>
      <c r="X25" s="499">
        <v>361688</v>
      </c>
      <c r="Y25" s="499">
        <v>356777</v>
      </c>
      <c r="Z25" s="499">
        <v>354079</v>
      </c>
      <c r="AA25" s="499">
        <v>357199</v>
      </c>
      <c r="AB25" s="499">
        <v>344190</v>
      </c>
      <c r="AC25" s="499">
        <v>336612</v>
      </c>
      <c r="AD25" s="499">
        <v>338045</v>
      </c>
      <c r="AE25" s="499">
        <v>339142</v>
      </c>
      <c r="AF25" s="499">
        <v>339234</v>
      </c>
      <c r="AG25" s="499">
        <v>338398</v>
      </c>
      <c r="AH25" s="499">
        <v>338465</v>
      </c>
      <c r="AI25" s="499">
        <v>345338</v>
      </c>
      <c r="AJ25" s="499">
        <v>358287</v>
      </c>
      <c r="AK25" s="499">
        <v>360304</v>
      </c>
      <c r="AL25" s="499">
        <v>365799</v>
      </c>
      <c r="AM25" s="499">
        <v>360324</v>
      </c>
      <c r="AN25" s="499">
        <v>364086</v>
      </c>
      <c r="AO25" s="499">
        <v>372653</v>
      </c>
      <c r="AP25" s="499">
        <v>372807</v>
      </c>
      <c r="AQ25" s="499">
        <v>383710</v>
      </c>
      <c r="AR25" s="499">
        <v>389563</v>
      </c>
      <c r="AS25" s="499">
        <v>387640</v>
      </c>
      <c r="AT25" s="499">
        <v>384620</v>
      </c>
      <c r="AU25" s="499">
        <v>387905</v>
      </c>
      <c r="AV25" s="499">
        <v>378829</v>
      </c>
      <c r="AW25" s="499">
        <v>378199</v>
      </c>
      <c r="AX25" s="499">
        <v>377186</v>
      </c>
      <c r="AY25" s="499">
        <v>365502</v>
      </c>
      <c r="AZ25" s="499">
        <v>366111</v>
      </c>
      <c r="BA25" s="499">
        <v>365728</v>
      </c>
      <c r="BB25" s="499">
        <v>369097</v>
      </c>
      <c r="BC25" s="499">
        <v>371802</v>
      </c>
      <c r="BD25" s="499">
        <v>357560</v>
      </c>
      <c r="BE25" s="499">
        <v>334069</v>
      </c>
      <c r="BF25" s="499">
        <v>328458</v>
      </c>
      <c r="BG25" s="499">
        <v>335746</v>
      </c>
      <c r="BH25" s="499">
        <v>342585</v>
      </c>
      <c r="BI25" s="499">
        <v>346685</v>
      </c>
      <c r="BJ25" s="499">
        <v>360442</v>
      </c>
      <c r="BK25" s="499">
        <v>373390</v>
      </c>
      <c r="BL25" s="499">
        <v>385375</v>
      </c>
      <c r="BM25" s="499">
        <v>375807</v>
      </c>
      <c r="BN25" s="499">
        <v>383988</v>
      </c>
      <c r="BO25" s="499">
        <v>382566</v>
      </c>
      <c r="BP25" s="499">
        <v>385629</v>
      </c>
      <c r="BQ25" s="499">
        <v>381742</v>
      </c>
      <c r="BR25" s="499">
        <v>381998</v>
      </c>
      <c r="BS25" s="499">
        <v>376164</v>
      </c>
      <c r="BT25" s="499">
        <v>367036</v>
      </c>
      <c r="BU25" s="499">
        <v>357672</v>
      </c>
      <c r="BV25" s="499">
        <v>344928</v>
      </c>
      <c r="BW25" s="499">
        <v>329857</v>
      </c>
      <c r="BX25" s="499">
        <v>319451</v>
      </c>
      <c r="BY25" s="499">
        <v>309724</v>
      </c>
      <c r="BZ25" s="499">
        <v>294558</v>
      </c>
      <c r="CA25" s="499">
        <v>282293</v>
      </c>
      <c r="CB25" s="499">
        <v>268536</v>
      </c>
      <c r="CC25" s="499">
        <v>266443</v>
      </c>
      <c r="CD25" s="499">
        <v>260410</v>
      </c>
      <c r="CE25" s="499">
        <v>249450</v>
      </c>
      <c r="CF25" s="499">
        <v>249080</v>
      </c>
      <c r="CG25" s="499">
        <v>249070</v>
      </c>
      <c r="CH25" s="499">
        <v>252982</v>
      </c>
      <c r="CI25" s="499">
        <v>263625</v>
      </c>
      <c r="CJ25" s="499">
        <v>283090</v>
      </c>
      <c r="CK25" s="499">
        <v>211587</v>
      </c>
      <c r="CL25" s="499">
        <v>200401</v>
      </c>
      <c r="CM25" s="499">
        <v>195036</v>
      </c>
      <c r="CN25" s="499">
        <v>174093</v>
      </c>
      <c r="CO25" s="499">
        <v>149572</v>
      </c>
      <c r="CP25" s="499">
        <v>127665</v>
      </c>
      <c r="CQ25" s="499">
        <v>127183</v>
      </c>
      <c r="CR25" s="499">
        <v>120061</v>
      </c>
      <c r="CS25" s="499">
        <v>109873</v>
      </c>
      <c r="CT25" s="499">
        <v>97456</v>
      </c>
      <c r="CU25" s="499">
        <v>84705</v>
      </c>
      <c r="CV25" s="499">
        <v>73428</v>
      </c>
      <c r="CW25" s="499">
        <v>60864</v>
      </c>
      <c r="CX25" s="499">
        <v>51376</v>
      </c>
      <c r="CY25" s="499">
        <v>170964</v>
      </c>
      <c r="CZ25" s="499">
        <v>291186</v>
      </c>
      <c r="DA25" s="499">
        <v>289546</v>
      </c>
      <c r="DB25" s="499">
        <v>300800</v>
      </c>
      <c r="DC25" s="499">
        <v>305906</v>
      </c>
      <c r="DD25" s="499">
        <v>310539</v>
      </c>
      <c r="DE25" s="499">
        <v>318263</v>
      </c>
      <c r="DF25" s="499">
        <v>326932</v>
      </c>
      <c r="DG25" s="499">
        <v>324633</v>
      </c>
      <c r="DH25" s="499">
        <v>326780</v>
      </c>
      <c r="DI25" s="499">
        <v>334543</v>
      </c>
      <c r="DJ25" s="499">
        <v>344341</v>
      </c>
      <c r="DK25" s="499">
        <v>343967</v>
      </c>
      <c r="DL25" s="499">
        <v>339949</v>
      </c>
      <c r="DM25" s="499">
        <v>337345</v>
      </c>
      <c r="DN25" s="499">
        <v>340474</v>
      </c>
      <c r="DO25" s="499">
        <v>326885</v>
      </c>
      <c r="DP25" s="499">
        <v>319023</v>
      </c>
      <c r="DQ25" s="499">
        <v>317906</v>
      </c>
      <c r="DR25" s="499">
        <v>318297</v>
      </c>
      <c r="DS25" s="499">
        <v>319325</v>
      </c>
      <c r="DT25" s="499">
        <v>325075</v>
      </c>
      <c r="DU25" s="499">
        <v>327194</v>
      </c>
      <c r="DV25" s="499">
        <v>333614</v>
      </c>
      <c r="DW25" s="499">
        <v>350669</v>
      </c>
      <c r="DX25" s="499">
        <v>358581</v>
      </c>
      <c r="DY25" s="499">
        <v>367839</v>
      </c>
      <c r="DZ25" s="499">
        <v>363988</v>
      </c>
      <c r="EA25" s="499">
        <v>374022</v>
      </c>
      <c r="EB25" s="499">
        <v>387522</v>
      </c>
      <c r="EC25" s="499">
        <v>390671</v>
      </c>
      <c r="ED25" s="499">
        <v>404331</v>
      </c>
      <c r="EE25" s="499">
        <v>410921</v>
      </c>
      <c r="EF25" s="499">
        <v>413176</v>
      </c>
      <c r="EG25" s="499">
        <v>411450</v>
      </c>
      <c r="EH25" s="499">
        <v>417983</v>
      </c>
      <c r="EI25" s="499">
        <v>409203</v>
      </c>
      <c r="EJ25" s="499">
        <v>404000</v>
      </c>
      <c r="EK25" s="499">
        <v>401928</v>
      </c>
      <c r="EL25" s="499">
        <v>389436</v>
      </c>
      <c r="EM25" s="499">
        <v>389518</v>
      </c>
      <c r="EN25" s="499">
        <v>386124</v>
      </c>
      <c r="EO25" s="499">
        <v>390735</v>
      </c>
      <c r="EP25" s="499">
        <v>390956</v>
      </c>
      <c r="EQ25" s="499">
        <v>373536</v>
      </c>
      <c r="ER25" s="499">
        <v>346385</v>
      </c>
      <c r="ES25" s="499">
        <v>339293</v>
      </c>
      <c r="ET25" s="499">
        <v>345871</v>
      </c>
      <c r="EU25" s="499">
        <v>353016</v>
      </c>
      <c r="EV25" s="499">
        <v>356906</v>
      </c>
      <c r="EW25" s="499">
        <v>370244</v>
      </c>
      <c r="EX25" s="499">
        <v>384214</v>
      </c>
      <c r="EY25" s="499">
        <v>399644</v>
      </c>
      <c r="EZ25" s="499">
        <v>389031</v>
      </c>
      <c r="FA25" s="499">
        <v>397139</v>
      </c>
      <c r="FB25" s="499">
        <v>395547</v>
      </c>
      <c r="FC25" s="499">
        <v>396676</v>
      </c>
      <c r="FD25" s="499">
        <v>396578</v>
      </c>
      <c r="FE25" s="499">
        <v>396708</v>
      </c>
      <c r="FF25" s="499">
        <v>390539</v>
      </c>
      <c r="FG25" s="499">
        <v>380695</v>
      </c>
      <c r="FH25" s="499">
        <v>371143</v>
      </c>
      <c r="FI25" s="499">
        <v>355407</v>
      </c>
      <c r="FJ25" s="499">
        <v>340408</v>
      </c>
      <c r="FK25" s="499">
        <v>331322</v>
      </c>
      <c r="FL25" s="499">
        <v>321164</v>
      </c>
      <c r="FM25" s="499">
        <v>308551</v>
      </c>
      <c r="FN25" s="499">
        <v>295719</v>
      </c>
      <c r="FO25" s="499">
        <v>284931</v>
      </c>
      <c r="FP25" s="499">
        <v>285437</v>
      </c>
      <c r="FQ25" s="499">
        <v>278929</v>
      </c>
      <c r="FR25" s="499">
        <v>271460</v>
      </c>
      <c r="FS25" s="499">
        <v>271487</v>
      </c>
      <c r="FT25" s="499">
        <v>275610</v>
      </c>
      <c r="FU25" s="499">
        <v>280129</v>
      </c>
      <c r="FV25" s="499">
        <v>294843</v>
      </c>
      <c r="FW25" s="499">
        <v>316380</v>
      </c>
      <c r="FX25" s="499">
        <v>240292</v>
      </c>
      <c r="FY25" s="499">
        <v>230370</v>
      </c>
      <c r="FZ25" s="499">
        <v>225985</v>
      </c>
      <c r="GA25" s="499">
        <v>206546</v>
      </c>
      <c r="GB25" s="499">
        <v>181398</v>
      </c>
      <c r="GC25" s="499">
        <v>159103</v>
      </c>
      <c r="GD25" s="499">
        <v>161482</v>
      </c>
      <c r="GE25" s="499">
        <v>155577</v>
      </c>
      <c r="GF25" s="499">
        <v>145759</v>
      </c>
      <c r="GG25" s="499">
        <v>132931</v>
      </c>
      <c r="GH25" s="499">
        <v>120255</v>
      </c>
      <c r="GI25" s="499">
        <v>107758</v>
      </c>
      <c r="GJ25" s="499">
        <v>93505</v>
      </c>
      <c r="GK25" s="499">
        <v>82264</v>
      </c>
      <c r="GL25" s="499">
        <v>349365</v>
      </c>
    </row>
    <row r="26" spans="1:194" s="8" customFormat="1" ht="15">
      <c r="A26" s="32" t="s">
        <v>56</v>
      </c>
      <c r="B26" s="538" t="s">
        <v>98</v>
      </c>
      <c r="C26" s="33" t="s">
        <v>99</v>
      </c>
      <c r="D26" s="34">
        <f t="shared" si="7"/>
        <v>1217054</v>
      </c>
      <c r="E26" s="34">
        <f t="shared" si="7"/>
        <v>1294957</v>
      </c>
      <c r="F26" s="35">
        <f>G26+H26</f>
        <v>3131640</v>
      </c>
      <c r="G26" s="35">
        <f>SUM(M26:CY26)</f>
        <v>1534884</v>
      </c>
      <c r="H26" s="36">
        <f>SUM(CZ26:GL26)</f>
        <v>1596756</v>
      </c>
      <c r="I26" s="36">
        <f>SUM(AE26:CY26)</f>
        <v>1217054</v>
      </c>
      <c r="J26" s="36">
        <f>SUM(DR26:GL26)</f>
        <v>1294957</v>
      </c>
      <c r="K26" s="500">
        <f t="shared" ref="K26:K27" si="8">SUM(Y26:AD26)</f>
        <v>112046</v>
      </c>
      <c r="L26" s="76">
        <f t="shared" ref="L26:L27" si="9">SUM(DL26:DQ26)</f>
        <v>105828</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c r="A27" s="37" t="s">
        <v>56</v>
      </c>
      <c r="B27" s="539" t="s">
        <v>100</v>
      </c>
      <c r="C27" s="38" t="s">
        <v>101</v>
      </c>
      <c r="D27" s="40">
        <f t="shared" si="7"/>
        <v>716297</v>
      </c>
      <c r="E27" s="40">
        <f t="shared" si="7"/>
        <v>757541</v>
      </c>
      <c r="F27" s="41">
        <f>G27+H27</f>
        <v>1910543</v>
      </c>
      <c r="G27" s="41">
        <f>SUM(M27:CY27)</f>
        <v>939947</v>
      </c>
      <c r="H27" s="42">
        <f>SUM(CZ27:GL27)</f>
        <v>970596</v>
      </c>
      <c r="I27" s="42">
        <f>SUM(AE27:CY27)</f>
        <v>716297</v>
      </c>
      <c r="J27" s="42">
        <f>SUM(DR27:GL27)</f>
        <v>757541</v>
      </c>
      <c r="K27" s="500">
        <f t="shared" si="8"/>
        <v>76402</v>
      </c>
      <c r="L27" s="76">
        <f t="shared" si="9"/>
        <v>72701</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c r="A28" s="43"/>
      <c r="B28" s="540"/>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c r="A29" s="82" t="s">
        <v>83</v>
      </c>
      <c r="B29" s="541" t="s">
        <v>102</v>
      </c>
      <c r="C29" s="71" t="str">
        <f t="shared" ref="C29:C92" si="10">CONCATENATE(A29," - ",B29)</f>
        <v xml:space="preserve">England – CCGs - Barnsley </v>
      </c>
      <c r="D29" s="60">
        <f t="shared" ref="D29:D60" si="11">I29</f>
        <v>95316</v>
      </c>
      <c r="E29" s="60">
        <f t="shared" ref="E29:E60" si="12">J29</f>
        <v>100485</v>
      </c>
      <c r="F29" s="501">
        <f>G29+H29</f>
        <v>246482</v>
      </c>
      <c r="G29" s="501">
        <f>SUM(M29:CY29)</f>
        <v>121223</v>
      </c>
      <c r="H29" s="61">
        <f>SUM(CZ29:GL29)</f>
        <v>125259</v>
      </c>
      <c r="I29" s="61">
        <f>SUM(AE29:CY29)</f>
        <v>95316</v>
      </c>
      <c r="J29" s="61">
        <f>SUM(DR29:GL29)</f>
        <v>100485</v>
      </c>
      <c r="K29" s="502">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c r="A30" s="86" t="s">
        <v>83</v>
      </c>
      <c r="B30" s="541" t="s">
        <v>103</v>
      </c>
      <c r="C30" s="30" t="str">
        <f t="shared" si="10"/>
        <v xml:space="preserve">England – CCGs - Basildon and Brentwood </v>
      </c>
      <c r="D30" s="50">
        <f t="shared" si="11"/>
        <v>98404</v>
      </c>
      <c r="E30" s="50">
        <f t="shared" si="12"/>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c r="A31" s="86" t="s">
        <v>83</v>
      </c>
      <c r="B31" s="541" t="s">
        <v>104</v>
      </c>
      <c r="C31" s="30" t="str">
        <f t="shared" si="10"/>
        <v xml:space="preserve">England – CCGs - Bassetlaw </v>
      </c>
      <c r="D31" s="50">
        <f t="shared" si="11"/>
        <v>47388</v>
      </c>
      <c r="E31" s="50">
        <f t="shared" si="12"/>
        <v>49144</v>
      </c>
      <c r="F31" s="51">
        <f t="shared" ref="F31:F94" si="13">G31+H31</f>
        <v>120012</v>
      </c>
      <c r="G31" s="51">
        <f t="shared" ref="G31:G94" si="14">SUM(M31:CY31)</f>
        <v>59485</v>
      </c>
      <c r="H31" s="52">
        <f t="shared" ref="H31:H94" si="15">SUM(CZ31:GL31)</f>
        <v>60527</v>
      </c>
      <c r="I31" s="52">
        <f t="shared" ref="I31:I94" si="16">SUM(AE31:CY31)</f>
        <v>47388</v>
      </c>
      <c r="J31" s="52">
        <f t="shared" ref="J31:J94" si="17">SUM(DR31:GL31)</f>
        <v>49144</v>
      </c>
      <c r="K31" s="49">
        <f t="shared" ref="K31:K94" si="18">SUM(M31:AD31)</f>
        <v>12097</v>
      </c>
      <c r="L31" s="50">
        <f t="shared" ref="L31:L94" si="19">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c r="A32" s="86" t="s">
        <v>83</v>
      </c>
      <c r="B32" s="541" t="s">
        <v>105</v>
      </c>
      <c r="C32" s="30" t="str">
        <f t="shared" si="10"/>
        <v xml:space="preserve">England – CCGs - Bath and North East Somerset, Swindon and Wiltshire </v>
      </c>
      <c r="D32" s="50">
        <f t="shared" si="11"/>
        <v>372192</v>
      </c>
      <c r="E32" s="50">
        <f t="shared" si="12"/>
        <v>388592</v>
      </c>
      <c r="F32" s="51">
        <f t="shared" si="13"/>
        <v>953852</v>
      </c>
      <c r="G32" s="51">
        <f t="shared" si="14"/>
        <v>470982</v>
      </c>
      <c r="H32" s="52">
        <f t="shared" si="15"/>
        <v>482870</v>
      </c>
      <c r="I32" s="52">
        <f t="shared" si="16"/>
        <v>372192</v>
      </c>
      <c r="J32" s="52">
        <f t="shared" si="17"/>
        <v>388592</v>
      </c>
      <c r="K32" s="49">
        <f t="shared" si="18"/>
        <v>98790</v>
      </c>
      <c r="L32" s="50">
        <f t="shared" si="19"/>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c r="A33" s="86" t="s">
        <v>83</v>
      </c>
      <c r="B33" s="541" t="s">
        <v>106</v>
      </c>
      <c r="C33" s="30" t="str">
        <f t="shared" si="10"/>
        <v xml:space="preserve">England – CCGs - Bedfordshire, Luton and Milton Keynes </v>
      </c>
      <c r="D33" s="50">
        <f t="shared" si="11"/>
        <v>380018</v>
      </c>
      <c r="E33" s="50">
        <f t="shared" si="12"/>
        <v>395348</v>
      </c>
      <c r="F33" s="51">
        <f t="shared" si="13"/>
        <v>1015380</v>
      </c>
      <c r="G33" s="51">
        <f t="shared" si="14"/>
        <v>503181</v>
      </c>
      <c r="H33" s="52">
        <f t="shared" si="15"/>
        <v>512199</v>
      </c>
      <c r="I33" s="52">
        <f t="shared" si="16"/>
        <v>380018</v>
      </c>
      <c r="J33" s="52">
        <f t="shared" si="17"/>
        <v>395348</v>
      </c>
      <c r="K33" s="49">
        <f t="shared" si="18"/>
        <v>123163</v>
      </c>
      <c r="L33" s="50">
        <f t="shared" si="19"/>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c r="A34" s="86" t="s">
        <v>83</v>
      </c>
      <c r="B34" s="541" t="s">
        <v>107</v>
      </c>
      <c r="C34" s="30" t="str">
        <f t="shared" si="10"/>
        <v xml:space="preserve">England – CCGs - Berkshire West </v>
      </c>
      <c r="D34" s="50">
        <f t="shared" si="11"/>
        <v>198017</v>
      </c>
      <c r="E34" s="50">
        <f t="shared" si="12"/>
        <v>205919</v>
      </c>
      <c r="F34" s="51">
        <f t="shared" si="13"/>
        <v>518002</v>
      </c>
      <c r="G34" s="51">
        <f t="shared" si="14"/>
        <v>256499</v>
      </c>
      <c r="H34" s="52">
        <f t="shared" si="15"/>
        <v>261503</v>
      </c>
      <c r="I34" s="52">
        <f t="shared" si="16"/>
        <v>198017</v>
      </c>
      <c r="J34" s="52">
        <f t="shared" si="17"/>
        <v>205919</v>
      </c>
      <c r="K34" s="49">
        <f t="shared" si="18"/>
        <v>58482</v>
      </c>
      <c r="L34" s="50">
        <f t="shared" si="19"/>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c r="A35" s="86" t="s">
        <v>83</v>
      </c>
      <c r="B35" s="541" t="s">
        <v>108</v>
      </c>
      <c r="C35" s="30" t="str">
        <f t="shared" si="10"/>
        <v xml:space="preserve">England – CCGs - Birmingham and Solihull </v>
      </c>
      <c r="D35" s="50">
        <f t="shared" si="11"/>
        <v>438007</v>
      </c>
      <c r="E35" s="50">
        <f t="shared" si="12"/>
        <v>471299</v>
      </c>
      <c r="F35" s="51">
        <f t="shared" si="13"/>
        <v>1199381</v>
      </c>
      <c r="G35" s="51">
        <f t="shared" si="14"/>
        <v>586025</v>
      </c>
      <c r="H35" s="52">
        <f t="shared" si="15"/>
        <v>613356</v>
      </c>
      <c r="I35" s="52">
        <f t="shared" si="16"/>
        <v>438007</v>
      </c>
      <c r="J35" s="52">
        <f t="shared" si="17"/>
        <v>471299</v>
      </c>
      <c r="K35" s="49">
        <f t="shared" si="18"/>
        <v>148018</v>
      </c>
      <c r="L35" s="50">
        <f t="shared" si="19"/>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c r="A36" s="86" t="s">
        <v>83</v>
      </c>
      <c r="B36" s="541" t="s">
        <v>109</v>
      </c>
      <c r="C36" s="30" t="str">
        <f t="shared" si="10"/>
        <v xml:space="preserve">England – CCGs - Black Country and West Birmingham </v>
      </c>
      <c r="D36" s="50">
        <f t="shared" si="11"/>
        <v>519259</v>
      </c>
      <c r="E36" s="50">
        <f t="shared" si="12"/>
        <v>546163</v>
      </c>
      <c r="F36" s="51">
        <f t="shared" si="13"/>
        <v>1398835</v>
      </c>
      <c r="G36" s="51">
        <f t="shared" si="14"/>
        <v>690615</v>
      </c>
      <c r="H36" s="52">
        <f t="shared" si="15"/>
        <v>708220</v>
      </c>
      <c r="I36" s="52">
        <f t="shared" si="16"/>
        <v>519259</v>
      </c>
      <c r="J36" s="52">
        <f t="shared" si="17"/>
        <v>546163</v>
      </c>
      <c r="K36" s="49">
        <f t="shared" si="18"/>
        <v>171356</v>
      </c>
      <c r="L36" s="50">
        <f t="shared" si="19"/>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c r="A37" s="86" t="s">
        <v>83</v>
      </c>
      <c r="B37" s="541" t="s">
        <v>110</v>
      </c>
      <c r="C37" s="30" t="str">
        <f t="shared" si="10"/>
        <v xml:space="preserve">England – CCGs - Blackburn with Darwen </v>
      </c>
      <c r="D37" s="50">
        <f t="shared" si="11"/>
        <v>57058</v>
      </c>
      <c r="E37" s="50">
        <f t="shared" si="12"/>
        <v>58704</v>
      </c>
      <c r="F37" s="51">
        <f t="shared" si="13"/>
        <v>155762</v>
      </c>
      <c r="G37" s="51">
        <f t="shared" si="14"/>
        <v>77331</v>
      </c>
      <c r="H37" s="52">
        <f t="shared" si="15"/>
        <v>78431</v>
      </c>
      <c r="I37" s="52">
        <f t="shared" si="16"/>
        <v>57058</v>
      </c>
      <c r="J37" s="52">
        <f t="shared" si="17"/>
        <v>58704</v>
      </c>
      <c r="K37" s="49">
        <f t="shared" si="18"/>
        <v>20273</v>
      </c>
      <c r="L37" s="50">
        <f t="shared" si="19"/>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c r="A38" s="86" t="s">
        <v>83</v>
      </c>
      <c r="B38" s="541" t="s">
        <v>111</v>
      </c>
      <c r="C38" s="30" t="str">
        <f t="shared" si="10"/>
        <v xml:space="preserve">England – CCGs - Blackpool </v>
      </c>
      <c r="D38" s="50">
        <f t="shared" si="11"/>
        <v>55562</v>
      </c>
      <c r="E38" s="50">
        <f t="shared" si="12"/>
        <v>57783</v>
      </c>
      <c r="F38" s="51">
        <f t="shared" si="13"/>
        <v>141574</v>
      </c>
      <c r="G38" s="51">
        <f t="shared" si="14"/>
        <v>70014</v>
      </c>
      <c r="H38" s="52">
        <f t="shared" si="15"/>
        <v>71560</v>
      </c>
      <c r="I38" s="52">
        <f t="shared" si="16"/>
        <v>55562</v>
      </c>
      <c r="J38" s="52">
        <f t="shared" si="17"/>
        <v>57783</v>
      </c>
      <c r="K38" s="49">
        <f t="shared" si="18"/>
        <v>14452</v>
      </c>
      <c r="L38" s="50">
        <f t="shared" si="19"/>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c r="A39" s="86" t="s">
        <v>83</v>
      </c>
      <c r="B39" s="541" t="s">
        <v>112</v>
      </c>
      <c r="C39" s="30" t="str">
        <f t="shared" si="10"/>
        <v xml:space="preserve">England – CCGs - Bolton </v>
      </c>
      <c r="D39" s="50">
        <f t="shared" si="11"/>
        <v>110558</v>
      </c>
      <c r="E39" s="50">
        <f t="shared" si="12"/>
        <v>115887</v>
      </c>
      <c r="F39" s="51">
        <f t="shared" si="13"/>
        <v>298903</v>
      </c>
      <c r="G39" s="51">
        <f t="shared" si="14"/>
        <v>147723</v>
      </c>
      <c r="H39" s="52">
        <f t="shared" si="15"/>
        <v>151180</v>
      </c>
      <c r="I39" s="52">
        <f t="shared" si="16"/>
        <v>110558</v>
      </c>
      <c r="J39" s="52">
        <f t="shared" si="17"/>
        <v>115887</v>
      </c>
      <c r="K39" s="49">
        <f t="shared" si="18"/>
        <v>37165</v>
      </c>
      <c r="L39" s="50">
        <f t="shared" si="19"/>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c r="A40" s="86" t="s">
        <v>83</v>
      </c>
      <c r="B40" s="541" t="s">
        <v>113</v>
      </c>
      <c r="C40" s="30" t="str">
        <f t="shared" si="10"/>
        <v xml:space="preserve">England – CCGs - Bradford District and Craven </v>
      </c>
      <c r="D40" s="50">
        <f t="shared" si="11"/>
        <v>220192</v>
      </c>
      <c r="E40" s="50">
        <f t="shared" si="12"/>
        <v>234216</v>
      </c>
      <c r="F40" s="51">
        <f t="shared" si="13"/>
        <v>604251</v>
      </c>
      <c r="G40" s="51">
        <f t="shared" si="14"/>
        <v>296243</v>
      </c>
      <c r="H40" s="52">
        <f t="shared" si="15"/>
        <v>308008</v>
      </c>
      <c r="I40" s="52">
        <f t="shared" si="16"/>
        <v>220192</v>
      </c>
      <c r="J40" s="52">
        <f t="shared" si="17"/>
        <v>234216</v>
      </c>
      <c r="K40" s="49">
        <f t="shared" si="18"/>
        <v>76051</v>
      </c>
      <c r="L40" s="50">
        <f t="shared" si="19"/>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c r="A41" s="86" t="s">
        <v>83</v>
      </c>
      <c r="B41" s="541" t="s">
        <v>114</v>
      </c>
      <c r="C41" s="30" t="str">
        <f t="shared" si="10"/>
        <v xml:space="preserve">England – CCGs - Brighton and Hove </v>
      </c>
      <c r="D41" s="50">
        <f t="shared" si="11"/>
        <v>112188</v>
      </c>
      <c r="E41" s="50">
        <f t="shared" si="12"/>
        <v>118923</v>
      </c>
      <c r="F41" s="51">
        <f t="shared" si="13"/>
        <v>277965</v>
      </c>
      <c r="G41" s="51">
        <f t="shared" si="14"/>
        <v>136030</v>
      </c>
      <c r="H41" s="52">
        <f t="shared" si="15"/>
        <v>141935</v>
      </c>
      <c r="I41" s="52">
        <f t="shared" si="16"/>
        <v>112188</v>
      </c>
      <c r="J41" s="52">
        <f t="shared" si="17"/>
        <v>118923</v>
      </c>
      <c r="K41" s="49">
        <f t="shared" si="18"/>
        <v>23842</v>
      </c>
      <c r="L41" s="50">
        <f t="shared" si="19"/>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c r="A42" s="86" t="s">
        <v>83</v>
      </c>
      <c r="B42" s="541" t="s">
        <v>115</v>
      </c>
      <c r="C42" s="30" t="str">
        <f t="shared" si="10"/>
        <v xml:space="preserve">England – CCGs - Bristol, North Somerset and South Gloucestershire </v>
      </c>
      <c r="D42" s="50">
        <f t="shared" si="11"/>
        <v>390782</v>
      </c>
      <c r="E42" s="50">
        <f t="shared" si="12"/>
        <v>407039</v>
      </c>
      <c r="F42" s="51">
        <f t="shared" si="13"/>
        <v>992934</v>
      </c>
      <c r="G42" s="51">
        <f t="shared" si="14"/>
        <v>490777</v>
      </c>
      <c r="H42" s="52">
        <f t="shared" si="15"/>
        <v>502157</v>
      </c>
      <c r="I42" s="52">
        <f t="shared" si="16"/>
        <v>390782</v>
      </c>
      <c r="J42" s="52">
        <f t="shared" si="17"/>
        <v>407039</v>
      </c>
      <c r="K42" s="49">
        <f t="shared" si="18"/>
        <v>99995</v>
      </c>
      <c r="L42" s="50">
        <f t="shared" si="19"/>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c r="A43" s="86" t="s">
        <v>83</v>
      </c>
      <c r="B43" s="541" t="s">
        <v>116</v>
      </c>
      <c r="C43" s="30" t="str">
        <f t="shared" si="10"/>
        <v xml:space="preserve">England – CCGs - Buckinghamshire </v>
      </c>
      <c r="D43" s="50">
        <f t="shared" si="11"/>
        <v>211021</v>
      </c>
      <c r="E43" s="50">
        <f t="shared" si="12"/>
        <v>225900</v>
      </c>
      <c r="F43" s="51">
        <f t="shared" si="13"/>
        <v>563488</v>
      </c>
      <c r="G43" s="51">
        <f t="shared" si="14"/>
        <v>275644</v>
      </c>
      <c r="H43" s="52">
        <f t="shared" si="15"/>
        <v>287844</v>
      </c>
      <c r="I43" s="52">
        <f t="shared" si="16"/>
        <v>211021</v>
      </c>
      <c r="J43" s="52">
        <f t="shared" si="17"/>
        <v>225900</v>
      </c>
      <c r="K43" s="49">
        <f t="shared" si="18"/>
        <v>64623</v>
      </c>
      <c r="L43" s="50">
        <f t="shared" si="19"/>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c r="A44" s="86" t="s">
        <v>83</v>
      </c>
      <c r="B44" s="541" t="s">
        <v>117</v>
      </c>
      <c r="C44" s="30" t="str">
        <f t="shared" si="10"/>
        <v xml:space="preserve">England – CCGs - Bury </v>
      </c>
      <c r="D44" s="50">
        <f t="shared" si="11"/>
        <v>73049</v>
      </c>
      <c r="E44" s="50">
        <f t="shared" si="12"/>
        <v>77651</v>
      </c>
      <c r="F44" s="51">
        <f t="shared" si="13"/>
        <v>194606</v>
      </c>
      <c r="G44" s="51">
        <f t="shared" si="14"/>
        <v>95665</v>
      </c>
      <c r="H44" s="52">
        <f t="shared" si="15"/>
        <v>98941</v>
      </c>
      <c r="I44" s="52">
        <f t="shared" si="16"/>
        <v>73049</v>
      </c>
      <c r="J44" s="52">
        <f t="shared" si="17"/>
        <v>77651</v>
      </c>
      <c r="K44" s="49">
        <f t="shared" si="18"/>
        <v>22616</v>
      </c>
      <c r="L44" s="50">
        <f t="shared" si="19"/>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c r="A45" s="86" t="s">
        <v>83</v>
      </c>
      <c r="B45" s="541" t="s">
        <v>118</v>
      </c>
      <c r="C45" s="30" t="str">
        <f t="shared" si="10"/>
        <v xml:space="preserve">England – CCGs - Calderdale </v>
      </c>
      <c r="D45" s="50">
        <f t="shared" si="11"/>
        <v>78458</v>
      </c>
      <c r="E45" s="50">
        <f t="shared" si="12"/>
        <v>84126</v>
      </c>
      <c r="F45" s="51">
        <f t="shared" si="13"/>
        <v>207699</v>
      </c>
      <c r="G45" s="51">
        <f t="shared" si="14"/>
        <v>101550</v>
      </c>
      <c r="H45" s="52">
        <f t="shared" si="15"/>
        <v>106149</v>
      </c>
      <c r="I45" s="52">
        <f t="shared" si="16"/>
        <v>78458</v>
      </c>
      <c r="J45" s="52">
        <f t="shared" si="17"/>
        <v>84126</v>
      </c>
      <c r="K45" s="49">
        <f t="shared" si="18"/>
        <v>23092</v>
      </c>
      <c r="L45" s="50">
        <f t="shared" si="19"/>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c r="A46" s="86" t="s">
        <v>83</v>
      </c>
      <c r="B46" s="541" t="s">
        <v>119</v>
      </c>
      <c r="C46" s="30" t="str">
        <f t="shared" si="10"/>
        <v xml:space="preserve">England – CCGs - Cambridgeshire and Peterborough </v>
      </c>
      <c r="D46" s="50">
        <f t="shared" si="11"/>
        <v>364079</v>
      </c>
      <c r="E46" s="50">
        <f t="shared" si="12"/>
        <v>381082</v>
      </c>
      <c r="F46" s="51">
        <f t="shared" si="13"/>
        <v>944517</v>
      </c>
      <c r="G46" s="51">
        <f t="shared" si="14"/>
        <v>466419</v>
      </c>
      <c r="H46" s="52">
        <f t="shared" si="15"/>
        <v>478098</v>
      </c>
      <c r="I46" s="52">
        <f t="shared" si="16"/>
        <v>364079</v>
      </c>
      <c r="J46" s="52">
        <f t="shared" si="17"/>
        <v>381082</v>
      </c>
      <c r="K46" s="49">
        <f t="shared" si="18"/>
        <v>102340</v>
      </c>
      <c r="L46" s="50">
        <f t="shared" si="19"/>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c r="A47" s="86" t="s">
        <v>83</v>
      </c>
      <c r="B47" s="541" t="s">
        <v>120</v>
      </c>
      <c r="C47" s="30" t="str">
        <f t="shared" si="10"/>
        <v xml:space="preserve">England – CCGs - Cannock Chase </v>
      </c>
      <c r="D47" s="50">
        <f t="shared" si="11"/>
        <v>53814</v>
      </c>
      <c r="E47" s="50">
        <f t="shared" si="12"/>
        <v>56470</v>
      </c>
      <c r="F47" s="51">
        <f t="shared" si="13"/>
        <v>137726</v>
      </c>
      <c r="G47" s="51">
        <f t="shared" si="14"/>
        <v>67795</v>
      </c>
      <c r="H47" s="52">
        <f t="shared" si="15"/>
        <v>69931</v>
      </c>
      <c r="I47" s="52">
        <f t="shared" si="16"/>
        <v>53814</v>
      </c>
      <c r="J47" s="52">
        <f t="shared" si="17"/>
        <v>56470</v>
      </c>
      <c r="K47" s="49">
        <f t="shared" si="18"/>
        <v>13981</v>
      </c>
      <c r="L47" s="50">
        <f t="shared" si="19"/>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c r="A48" s="86" t="s">
        <v>83</v>
      </c>
      <c r="B48" s="541" t="s">
        <v>121</v>
      </c>
      <c r="C48" s="30" t="str">
        <f t="shared" si="10"/>
        <v xml:space="preserve">England – CCGs - Castle Point and Rochford </v>
      </c>
      <c r="D48" s="50">
        <f t="shared" si="11"/>
        <v>68069</v>
      </c>
      <c r="E48" s="50">
        <f t="shared" si="12"/>
        <v>74355</v>
      </c>
      <c r="F48" s="51">
        <f t="shared" si="13"/>
        <v>176947</v>
      </c>
      <c r="G48" s="51">
        <f t="shared" si="14"/>
        <v>85739</v>
      </c>
      <c r="H48" s="52">
        <f t="shared" si="15"/>
        <v>91208</v>
      </c>
      <c r="I48" s="52">
        <f t="shared" si="16"/>
        <v>68069</v>
      </c>
      <c r="J48" s="52">
        <f t="shared" si="17"/>
        <v>74355</v>
      </c>
      <c r="K48" s="49">
        <f t="shared" si="18"/>
        <v>17670</v>
      </c>
      <c r="L48" s="50">
        <f t="shared" si="19"/>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c r="A49" s="86" t="s">
        <v>83</v>
      </c>
      <c r="B49" s="541" t="s">
        <v>122</v>
      </c>
      <c r="C49" s="30" t="str">
        <f t="shared" si="10"/>
        <v xml:space="preserve">England – CCGs - Cheshire </v>
      </c>
      <c r="D49" s="50">
        <f t="shared" si="11"/>
        <v>298582</v>
      </c>
      <c r="E49" s="50">
        <f t="shared" si="12"/>
        <v>318975</v>
      </c>
      <c r="F49" s="51">
        <f t="shared" si="13"/>
        <v>768221</v>
      </c>
      <c r="G49" s="51">
        <f t="shared" si="14"/>
        <v>376029</v>
      </c>
      <c r="H49" s="52">
        <f t="shared" si="15"/>
        <v>392192</v>
      </c>
      <c r="I49" s="52">
        <f t="shared" si="16"/>
        <v>298582</v>
      </c>
      <c r="J49" s="52">
        <f t="shared" si="17"/>
        <v>318975</v>
      </c>
      <c r="K49" s="49">
        <f t="shared" si="18"/>
        <v>77447</v>
      </c>
      <c r="L49" s="50">
        <f t="shared" si="19"/>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c r="A50" s="86" t="s">
        <v>83</v>
      </c>
      <c r="B50" s="541" t="s">
        <v>123</v>
      </c>
      <c r="C50" s="30" t="str">
        <f t="shared" si="10"/>
        <v xml:space="preserve">England – CCGs - Chorley and South Ribble </v>
      </c>
      <c r="D50" s="50">
        <f t="shared" si="11"/>
        <v>70741</v>
      </c>
      <c r="E50" s="50">
        <f t="shared" si="12"/>
        <v>73178</v>
      </c>
      <c r="F50" s="51">
        <f t="shared" si="13"/>
        <v>180465</v>
      </c>
      <c r="G50" s="51">
        <f t="shared" si="14"/>
        <v>89548</v>
      </c>
      <c r="H50" s="52">
        <f t="shared" si="15"/>
        <v>90917</v>
      </c>
      <c r="I50" s="52">
        <f t="shared" si="16"/>
        <v>70741</v>
      </c>
      <c r="J50" s="52">
        <f t="shared" si="17"/>
        <v>73178</v>
      </c>
      <c r="K50" s="49">
        <f t="shared" si="18"/>
        <v>18807</v>
      </c>
      <c r="L50" s="50">
        <f t="shared" si="19"/>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c r="A51" s="86" t="s">
        <v>83</v>
      </c>
      <c r="B51" s="541" t="s">
        <v>124</v>
      </c>
      <c r="C51" s="30" t="str">
        <f t="shared" si="10"/>
        <v xml:space="preserve">England – CCGs - County Durham </v>
      </c>
      <c r="D51" s="50">
        <f t="shared" si="11"/>
        <v>206649</v>
      </c>
      <c r="E51" s="50">
        <f t="shared" si="12"/>
        <v>221937</v>
      </c>
      <c r="F51" s="51">
        <f t="shared" si="13"/>
        <v>528127</v>
      </c>
      <c r="G51" s="51">
        <f t="shared" si="14"/>
        <v>257850</v>
      </c>
      <c r="H51" s="52">
        <f t="shared" si="15"/>
        <v>270277</v>
      </c>
      <c r="I51" s="52">
        <f t="shared" si="16"/>
        <v>206649</v>
      </c>
      <c r="J51" s="52">
        <f t="shared" si="17"/>
        <v>221937</v>
      </c>
      <c r="K51" s="49">
        <f t="shared" si="18"/>
        <v>51201</v>
      </c>
      <c r="L51" s="50">
        <f t="shared" si="19"/>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c r="A52" s="86" t="s">
        <v>83</v>
      </c>
      <c r="B52" s="541" t="s">
        <v>125</v>
      </c>
      <c r="C52" s="30" t="str">
        <f t="shared" si="10"/>
        <v xml:space="preserve">England – CCGs - Coventry and Warwickshire </v>
      </c>
      <c r="D52" s="50">
        <f t="shared" si="11"/>
        <v>374777</v>
      </c>
      <c r="E52" s="50">
        <f t="shared" si="12"/>
        <v>386977</v>
      </c>
      <c r="F52" s="51">
        <f t="shared" si="13"/>
        <v>963204</v>
      </c>
      <c r="G52" s="51">
        <f t="shared" si="14"/>
        <v>477693</v>
      </c>
      <c r="H52" s="52">
        <f t="shared" si="15"/>
        <v>485511</v>
      </c>
      <c r="I52" s="52">
        <f t="shared" si="16"/>
        <v>374777</v>
      </c>
      <c r="J52" s="52">
        <f t="shared" si="17"/>
        <v>386977</v>
      </c>
      <c r="K52" s="49">
        <f t="shared" si="18"/>
        <v>102916</v>
      </c>
      <c r="L52" s="50">
        <f t="shared" si="19"/>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c r="A53" s="86" t="s">
        <v>83</v>
      </c>
      <c r="B53" s="541" t="s">
        <v>126</v>
      </c>
      <c r="C53" s="30" t="str">
        <f t="shared" si="10"/>
        <v xml:space="preserve">England – CCGs - Derby and Derbyshire </v>
      </c>
      <c r="D53" s="50">
        <f t="shared" si="11"/>
        <v>403652</v>
      </c>
      <c r="E53" s="50">
        <f t="shared" si="12"/>
        <v>423874</v>
      </c>
      <c r="F53" s="51">
        <f t="shared" si="13"/>
        <v>1033491</v>
      </c>
      <c r="G53" s="51">
        <f t="shared" si="14"/>
        <v>508629</v>
      </c>
      <c r="H53" s="52">
        <f t="shared" si="15"/>
        <v>524862</v>
      </c>
      <c r="I53" s="52">
        <f t="shared" si="16"/>
        <v>403652</v>
      </c>
      <c r="J53" s="52">
        <f t="shared" si="17"/>
        <v>423874</v>
      </c>
      <c r="K53" s="49">
        <f t="shared" si="18"/>
        <v>104977</v>
      </c>
      <c r="L53" s="50">
        <f t="shared" si="19"/>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c r="A54" s="86" t="s">
        <v>83</v>
      </c>
      <c r="B54" s="541" t="s">
        <v>127</v>
      </c>
      <c r="C54" s="30" t="str">
        <f t="shared" si="10"/>
        <v xml:space="preserve">England – CCGs - Devon </v>
      </c>
      <c r="D54" s="50">
        <f t="shared" si="11"/>
        <v>486049</v>
      </c>
      <c r="E54" s="50">
        <f t="shared" si="12"/>
        <v>522875</v>
      </c>
      <c r="F54" s="51">
        <f t="shared" si="13"/>
        <v>1232660</v>
      </c>
      <c r="G54" s="51">
        <f t="shared" si="14"/>
        <v>600962</v>
      </c>
      <c r="H54" s="52">
        <f t="shared" si="15"/>
        <v>631698</v>
      </c>
      <c r="I54" s="52">
        <f t="shared" si="16"/>
        <v>486049</v>
      </c>
      <c r="J54" s="52">
        <f t="shared" si="17"/>
        <v>522875</v>
      </c>
      <c r="K54" s="49">
        <f t="shared" si="18"/>
        <v>114913</v>
      </c>
      <c r="L54" s="50">
        <f t="shared" si="19"/>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c r="A55" s="86" t="s">
        <v>83</v>
      </c>
      <c r="B55" s="541" t="s">
        <v>128</v>
      </c>
      <c r="C55" s="30" t="str">
        <f t="shared" si="10"/>
        <v xml:space="preserve">England – CCGs - Doncaster </v>
      </c>
      <c r="D55" s="50">
        <f t="shared" si="11"/>
        <v>121112</v>
      </c>
      <c r="E55" s="50">
        <f t="shared" si="12"/>
        <v>124796</v>
      </c>
      <c r="F55" s="51">
        <f t="shared" si="13"/>
        <v>311027</v>
      </c>
      <c r="G55" s="51">
        <f t="shared" si="14"/>
        <v>154552</v>
      </c>
      <c r="H55" s="52">
        <f t="shared" si="15"/>
        <v>156475</v>
      </c>
      <c r="I55" s="52">
        <f t="shared" si="16"/>
        <v>121112</v>
      </c>
      <c r="J55" s="52">
        <f t="shared" si="17"/>
        <v>124796</v>
      </c>
      <c r="K55" s="49">
        <f t="shared" si="18"/>
        <v>33440</v>
      </c>
      <c r="L55" s="50">
        <f t="shared" si="19"/>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c r="A56" s="86" t="s">
        <v>83</v>
      </c>
      <c r="B56" s="541" t="s">
        <v>129</v>
      </c>
      <c r="C56" s="30" t="str">
        <f t="shared" si="10"/>
        <v xml:space="preserve">England – CCGs - Dorset </v>
      </c>
      <c r="D56" s="50">
        <f t="shared" si="11"/>
        <v>310533</v>
      </c>
      <c r="E56" s="50">
        <f t="shared" si="12"/>
        <v>334681</v>
      </c>
      <c r="F56" s="51">
        <f t="shared" si="13"/>
        <v>785172</v>
      </c>
      <c r="G56" s="51">
        <f t="shared" si="14"/>
        <v>382244</v>
      </c>
      <c r="H56" s="52">
        <f t="shared" si="15"/>
        <v>402928</v>
      </c>
      <c r="I56" s="52">
        <f t="shared" si="16"/>
        <v>310533</v>
      </c>
      <c r="J56" s="52">
        <f t="shared" si="17"/>
        <v>334681</v>
      </c>
      <c r="K56" s="49">
        <f t="shared" si="18"/>
        <v>71711</v>
      </c>
      <c r="L56" s="50">
        <f t="shared" si="19"/>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c r="A57" s="86" t="s">
        <v>83</v>
      </c>
      <c r="B57" s="541" t="s">
        <v>130</v>
      </c>
      <c r="C57" s="30" t="str">
        <f t="shared" si="10"/>
        <v xml:space="preserve">England – CCGs - East and North Hertfordshire </v>
      </c>
      <c r="D57" s="50">
        <f t="shared" si="11"/>
        <v>216500</v>
      </c>
      <c r="E57" s="50">
        <f t="shared" si="12"/>
        <v>232375</v>
      </c>
      <c r="F57" s="51">
        <f t="shared" si="13"/>
        <v>574319</v>
      </c>
      <c r="G57" s="51">
        <f t="shared" si="14"/>
        <v>280730</v>
      </c>
      <c r="H57" s="52">
        <f t="shared" si="15"/>
        <v>293589</v>
      </c>
      <c r="I57" s="52">
        <f t="shared" si="16"/>
        <v>216500</v>
      </c>
      <c r="J57" s="52">
        <f t="shared" si="17"/>
        <v>232375</v>
      </c>
      <c r="K57" s="49">
        <f t="shared" si="18"/>
        <v>64230</v>
      </c>
      <c r="L57" s="50">
        <f t="shared" si="19"/>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c r="A58" s="86" t="s">
        <v>83</v>
      </c>
      <c r="B58" s="541" t="s">
        <v>131</v>
      </c>
      <c r="C58" s="30" t="str">
        <f t="shared" si="10"/>
        <v xml:space="preserve">England – CCGs - East Lancashire </v>
      </c>
      <c r="D58" s="50">
        <f t="shared" si="11"/>
        <v>150451</v>
      </c>
      <c r="E58" s="50">
        <f t="shared" si="12"/>
        <v>157689</v>
      </c>
      <c r="F58" s="51">
        <f t="shared" si="13"/>
        <v>397081</v>
      </c>
      <c r="G58" s="51">
        <f t="shared" si="14"/>
        <v>195994</v>
      </c>
      <c r="H58" s="52">
        <f t="shared" si="15"/>
        <v>201087</v>
      </c>
      <c r="I58" s="52">
        <f t="shared" si="16"/>
        <v>150451</v>
      </c>
      <c r="J58" s="52">
        <f t="shared" si="17"/>
        <v>157689</v>
      </c>
      <c r="K58" s="49">
        <f t="shared" si="18"/>
        <v>45543</v>
      </c>
      <c r="L58" s="50">
        <f t="shared" si="19"/>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c r="A59" s="86" t="s">
        <v>83</v>
      </c>
      <c r="B59" s="541" t="s">
        <v>132</v>
      </c>
      <c r="C59" s="30" t="str">
        <f t="shared" si="10"/>
        <v xml:space="preserve">England – CCGs - East Leicestershire and Rutland </v>
      </c>
      <c r="D59" s="50">
        <f t="shared" si="11"/>
        <v>136127</v>
      </c>
      <c r="E59" s="50">
        <f t="shared" si="12"/>
        <v>143488</v>
      </c>
      <c r="F59" s="51">
        <f t="shared" si="13"/>
        <v>350329</v>
      </c>
      <c r="G59" s="51">
        <f t="shared" si="14"/>
        <v>172533</v>
      </c>
      <c r="H59" s="52">
        <f t="shared" si="15"/>
        <v>177796</v>
      </c>
      <c r="I59" s="52">
        <f t="shared" si="16"/>
        <v>136127</v>
      </c>
      <c r="J59" s="52">
        <f t="shared" si="17"/>
        <v>143488</v>
      </c>
      <c r="K59" s="49">
        <f t="shared" si="18"/>
        <v>36406</v>
      </c>
      <c r="L59" s="50">
        <f t="shared" si="19"/>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c r="A60" s="86" t="s">
        <v>83</v>
      </c>
      <c r="B60" s="541" t="s">
        <v>133</v>
      </c>
      <c r="C60" s="30" t="str">
        <f t="shared" si="10"/>
        <v xml:space="preserve">England – CCGs - East Riding of Yorkshire </v>
      </c>
      <c r="D60" s="50">
        <f t="shared" si="11"/>
        <v>127859</v>
      </c>
      <c r="E60" s="50">
        <f t="shared" si="12"/>
        <v>136544</v>
      </c>
      <c r="F60" s="51">
        <f t="shared" si="13"/>
        <v>321772</v>
      </c>
      <c r="G60" s="51">
        <f t="shared" si="14"/>
        <v>157610</v>
      </c>
      <c r="H60" s="52">
        <f t="shared" si="15"/>
        <v>164162</v>
      </c>
      <c r="I60" s="52">
        <f t="shared" si="16"/>
        <v>127859</v>
      </c>
      <c r="J60" s="52">
        <f t="shared" si="17"/>
        <v>136544</v>
      </c>
      <c r="K60" s="49">
        <f t="shared" si="18"/>
        <v>29751</v>
      </c>
      <c r="L60" s="50">
        <f t="shared" si="19"/>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c r="A61" s="86" t="s">
        <v>83</v>
      </c>
      <c r="B61" s="541" t="s">
        <v>134</v>
      </c>
      <c r="C61" s="30" t="str">
        <f t="shared" si="10"/>
        <v xml:space="preserve">England – CCGs - East Staffordshire </v>
      </c>
      <c r="D61" s="50">
        <f t="shared" ref="D61:D92" si="20">I61</f>
        <v>53308</v>
      </c>
      <c r="E61" s="50">
        <f t="shared" ref="E61:E92" si="21">J61</f>
        <v>54265</v>
      </c>
      <c r="F61" s="51">
        <f t="shared" si="13"/>
        <v>136641</v>
      </c>
      <c r="G61" s="51">
        <f t="shared" si="14"/>
        <v>68173</v>
      </c>
      <c r="H61" s="52">
        <f t="shared" si="15"/>
        <v>68468</v>
      </c>
      <c r="I61" s="52">
        <f t="shared" si="16"/>
        <v>53308</v>
      </c>
      <c r="J61" s="52">
        <f t="shared" si="17"/>
        <v>54265</v>
      </c>
      <c r="K61" s="49">
        <f t="shared" si="18"/>
        <v>14865</v>
      </c>
      <c r="L61" s="50">
        <f t="shared" si="19"/>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c r="A62" s="86" t="s">
        <v>83</v>
      </c>
      <c r="B62" s="541" t="s">
        <v>135</v>
      </c>
      <c r="C62" s="30" t="str">
        <f t="shared" si="10"/>
        <v xml:space="preserve">England – CCGs - East Sussex </v>
      </c>
      <c r="D62" s="50">
        <f t="shared" si="20"/>
        <v>211669</v>
      </c>
      <c r="E62" s="50">
        <f t="shared" si="21"/>
        <v>236310</v>
      </c>
      <c r="F62" s="51">
        <f t="shared" si="13"/>
        <v>550720</v>
      </c>
      <c r="G62" s="51">
        <f t="shared" si="14"/>
        <v>264509</v>
      </c>
      <c r="H62" s="52">
        <f t="shared" si="15"/>
        <v>286211</v>
      </c>
      <c r="I62" s="52">
        <f t="shared" si="16"/>
        <v>211669</v>
      </c>
      <c r="J62" s="52">
        <f t="shared" si="17"/>
        <v>236310</v>
      </c>
      <c r="K62" s="49">
        <f t="shared" si="18"/>
        <v>52840</v>
      </c>
      <c r="L62" s="50">
        <f t="shared" si="19"/>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c r="A63" s="86" t="s">
        <v>83</v>
      </c>
      <c r="B63" s="541" t="s">
        <v>136</v>
      </c>
      <c r="C63" s="30" t="str">
        <f t="shared" si="10"/>
        <v xml:space="preserve">England – CCGs - Frimley </v>
      </c>
      <c r="D63" s="50">
        <f t="shared" si="20"/>
        <v>291456</v>
      </c>
      <c r="E63" s="50">
        <f t="shared" si="21"/>
        <v>305607</v>
      </c>
      <c r="F63" s="51">
        <f t="shared" si="13"/>
        <v>773481</v>
      </c>
      <c r="G63" s="51">
        <f t="shared" si="14"/>
        <v>382291</v>
      </c>
      <c r="H63" s="52">
        <f t="shared" si="15"/>
        <v>391190</v>
      </c>
      <c r="I63" s="52">
        <f t="shared" si="16"/>
        <v>291456</v>
      </c>
      <c r="J63" s="52">
        <f t="shared" si="17"/>
        <v>305607</v>
      </c>
      <c r="K63" s="49">
        <f t="shared" si="18"/>
        <v>90835</v>
      </c>
      <c r="L63" s="50">
        <f t="shared" si="19"/>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c r="A64" s="86" t="s">
        <v>83</v>
      </c>
      <c r="B64" s="541" t="s">
        <v>137</v>
      </c>
      <c r="C64" s="30" t="str">
        <f t="shared" si="10"/>
        <v xml:space="preserve">England – CCGs - Fylde and Wyre </v>
      </c>
      <c r="D64" s="50">
        <f t="shared" si="20"/>
        <v>79777</v>
      </c>
      <c r="E64" s="50">
        <f t="shared" si="21"/>
        <v>85496</v>
      </c>
      <c r="F64" s="51">
        <f t="shared" si="13"/>
        <v>200205</v>
      </c>
      <c r="G64" s="51">
        <f t="shared" si="14"/>
        <v>97647</v>
      </c>
      <c r="H64" s="52">
        <f t="shared" si="15"/>
        <v>102558</v>
      </c>
      <c r="I64" s="52">
        <f t="shared" si="16"/>
        <v>79777</v>
      </c>
      <c r="J64" s="52">
        <f t="shared" si="17"/>
        <v>85496</v>
      </c>
      <c r="K64" s="49">
        <f t="shared" si="18"/>
        <v>17870</v>
      </c>
      <c r="L64" s="50">
        <f t="shared" si="19"/>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c r="A65" s="86" t="s">
        <v>83</v>
      </c>
      <c r="B65" s="541" t="s">
        <v>138</v>
      </c>
      <c r="C65" s="30" t="str">
        <f t="shared" si="10"/>
        <v xml:space="preserve">England – CCGs - Gloucestershire </v>
      </c>
      <c r="D65" s="50">
        <f t="shared" si="20"/>
        <v>253430</v>
      </c>
      <c r="E65" s="50">
        <f t="shared" si="21"/>
        <v>270225</v>
      </c>
      <c r="F65" s="51">
        <f t="shared" si="13"/>
        <v>652409</v>
      </c>
      <c r="G65" s="51">
        <f t="shared" si="14"/>
        <v>318898</v>
      </c>
      <c r="H65" s="52">
        <f t="shared" si="15"/>
        <v>333511</v>
      </c>
      <c r="I65" s="52">
        <f t="shared" si="16"/>
        <v>253430</v>
      </c>
      <c r="J65" s="52">
        <f t="shared" si="17"/>
        <v>270225</v>
      </c>
      <c r="K65" s="49">
        <f t="shared" si="18"/>
        <v>65468</v>
      </c>
      <c r="L65" s="50">
        <f t="shared" si="19"/>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c r="A66" s="86" t="s">
        <v>83</v>
      </c>
      <c r="B66" s="541" t="s">
        <v>139</v>
      </c>
      <c r="C66" s="30" t="str">
        <f t="shared" si="10"/>
        <v xml:space="preserve">England – CCGs - Greater Preston </v>
      </c>
      <c r="D66" s="50">
        <f t="shared" si="20"/>
        <v>82261</v>
      </c>
      <c r="E66" s="50">
        <f t="shared" si="21"/>
        <v>84615</v>
      </c>
      <c r="F66" s="51">
        <f t="shared" si="13"/>
        <v>211590</v>
      </c>
      <c r="G66" s="51">
        <f t="shared" si="14"/>
        <v>105156</v>
      </c>
      <c r="H66" s="52">
        <f t="shared" si="15"/>
        <v>106434</v>
      </c>
      <c r="I66" s="52">
        <f t="shared" si="16"/>
        <v>82261</v>
      </c>
      <c r="J66" s="52">
        <f t="shared" si="17"/>
        <v>84615</v>
      </c>
      <c r="K66" s="49">
        <f t="shared" si="18"/>
        <v>22895</v>
      </c>
      <c r="L66" s="50">
        <f t="shared" si="19"/>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c r="A67" s="86" t="s">
        <v>83</v>
      </c>
      <c r="B67" s="541" t="s">
        <v>140</v>
      </c>
      <c r="C67" s="30" t="str">
        <f t="shared" si="10"/>
        <v xml:space="preserve">England – CCGs - Halton </v>
      </c>
      <c r="D67" s="50">
        <f t="shared" si="20"/>
        <v>49092</v>
      </c>
      <c r="E67" s="50">
        <f t="shared" si="21"/>
        <v>52326</v>
      </c>
      <c r="F67" s="51">
        <f t="shared" si="13"/>
        <v>128964</v>
      </c>
      <c r="G67" s="51">
        <f t="shared" si="14"/>
        <v>63227</v>
      </c>
      <c r="H67" s="52">
        <f t="shared" si="15"/>
        <v>65737</v>
      </c>
      <c r="I67" s="52">
        <f t="shared" si="16"/>
        <v>49092</v>
      </c>
      <c r="J67" s="52">
        <f t="shared" si="17"/>
        <v>52326</v>
      </c>
      <c r="K67" s="49">
        <f t="shared" si="18"/>
        <v>14135</v>
      </c>
      <c r="L67" s="50">
        <f t="shared" si="19"/>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c r="A68" s="86" t="s">
        <v>83</v>
      </c>
      <c r="B68" s="541" t="s">
        <v>141</v>
      </c>
      <c r="C68" s="30" t="str">
        <f t="shared" si="10"/>
        <v xml:space="preserve">England – CCGs - Hampshire, Southampton and Isle of Wight </v>
      </c>
      <c r="D68" s="50">
        <f t="shared" si="20"/>
        <v>635840</v>
      </c>
      <c r="E68" s="50">
        <f t="shared" si="21"/>
        <v>678433</v>
      </c>
      <c r="F68" s="51">
        <f t="shared" si="13"/>
        <v>1633632</v>
      </c>
      <c r="G68" s="51">
        <f t="shared" si="14"/>
        <v>799558</v>
      </c>
      <c r="H68" s="52">
        <f t="shared" si="15"/>
        <v>834074</v>
      </c>
      <c r="I68" s="52">
        <f t="shared" si="16"/>
        <v>635840</v>
      </c>
      <c r="J68" s="52">
        <f t="shared" si="17"/>
        <v>678433</v>
      </c>
      <c r="K68" s="49">
        <f t="shared" si="18"/>
        <v>163718</v>
      </c>
      <c r="L68" s="50">
        <f t="shared" si="19"/>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c r="A69" s="86" t="s">
        <v>83</v>
      </c>
      <c r="B69" s="541" t="s">
        <v>142</v>
      </c>
      <c r="C69" s="30" t="str">
        <f t="shared" si="10"/>
        <v xml:space="preserve">England – CCGs - Herefordshire and Worcestershire </v>
      </c>
      <c r="D69" s="50">
        <f t="shared" si="20"/>
        <v>311771</v>
      </c>
      <c r="E69" s="50">
        <f t="shared" si="21"/>
        <v>333199</v>
      </c>
      <c r="F69" s="51">
        <f t="shared" si="13"/>
        <v>797935</v>
      </c>
      <c r="G69" s="51">
        <f t="shared" si="14"/>
        <v>390507</v>
      </c>
      <c r="H69" s="52">
        <f t="shared" si="15"/>
        <v>407428</v>
      </c>
      <c r="I69" s="52">
        <f t="shared" si="16"/>
        <v>311771</v>
      </c>
      <c r="J69" s="52">
        <f t="shared" si="17"/>
        <v>333199</v>
      </c>
      <c r="K69" s="49">
        <f t="shared" si="18"/>
        <v>78736</v>
      </c>
      <c r="L69" s="50">
        <f t="shared" si="19"/>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c r="A70" s="86" t="s">
        <v>83</v>
      </c>
      <c r="B70" s="541" t="s">
        <v>143</v>
      </c>
      <c r="C70" s="30" t="str">
        <f t="shared" si="10"/>
        <v xml:space="preserve">England – CCGs - Herts Valleys </v>
      </c>
      <c r="D70" s="50">
        <f t="shared" si="20"/>
        <v>225346</v>
      </c>
      <c r="E70" s="50">
        <f t="shared" si="21"/>
        <v>243317</v>
      </c>
      <c r="F70" s="51">
        <f t="shared" si="13"/>
        <v>609741</v>
      </c>
      <c r="G70" s="51">
        <f t="shared" si="14"/>
        <v>297532</v>
      </c>
      <c r="H70" s="52">
        <f t="shared" si="15"/>
        <v>312209</v>
      </c>
      <c r="I70" s="52">
        <f t="shared" si="16"/>
        <v>225346</v>
      </c>
      <c r="J70" s="52">
        <f t="shared" si="17"/>
        <v>243317</v>
      </c>
      <c r="K70" s="49">
        <f t="shared" si="18"/>
        <v>72186</v>
      </c>
      <c r="L70" s="50">
        <f t="shared" si="19"/>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c r="A71" s="86" t="s">
        <v>83</v>
      </c>
      <c r="B71" s="541" t="s">
        <v>144</v>
      </c>
      <c r="C71" s="30" t="str">
        <f t="shared" si="10"/>
        <v xml:space="preserve">England – CCGs - Heywood, Middleton and Rochdale </v>
      </c>
      <c r="D71" s="50">
        <f t="shared" si="20"/>
        <v>82750</v>
      </c>
      <c r="E71" s="50">
        <f t="shared" si="21"/>
        <v>88568</v>
      </c>
      <c r="F71" s="51">
        <f t="shared" si="13"/>
        <v>226992</v>
      </c>
      <c r="G71" s="51">
        <f t="shared" si="14"/>
        <v>111355</v>
      </c>
      <c r="H71" s="52">
        <f t="shared" si="15"/>
        <v>115637</v>
      </c>
      <c r="I71" s="52">
        <f t="shared" si="16"/>
        <v>82750</v>
      </c>
      <c r="J71" s="52">
        <f t="shared" si="17"/>
        <v>88568</v>
      </c>
      <c r="K71" s="49">
        <f t="shared" si="18"/>
        <v>28605</v>
      </c>
      <c r="L71" s="50">
        <f t="shared" si="19"/>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c r="A72" s="86" t="s">
        <v>83</v>
      </c>
      <c r="B72" s="541" t="s">
        <v>145</v>
      </c>
      <c r="C72" s="30" t="str">
        <f t="shared" si="10"/>
        <v xml:space="preserve">England – CCGs - Hull </v>
      </c>
      <c r="D72" s="50">
        <f t="shared" si="20"/>
        <v>103768</v>
      </c>
      <c r="E72" s="50">
        <f t="shared" si="21"/>
        <v>104915</v>
      </c>
      <c r="F72" s="51">
        <f t="shared" si="13"/>
        <v>268852</v>
      </c>
      <c r="G72" s="51">
        <f t="shared" si="14"/>
        <v>134568</v>
      </c>
      <c r="H72" s="52">
        <f t="shared" si="15"/>
        <v>134284</v>
      </c>
      <c r="I72" s="52">
        <f t="shared" si="16"/>
        <v>103768</v>
      </c>
      <c r="J72" s="52">
        <f t="shared" si="17"/>
        <v>104915</v>
      </c>
      <c r="K72" s="49">
        <f t="shared" si="18"/>
        <v>30800</v>
      </c>
      <c r="L72" s="50">
        <f t="shared" si="19"/>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c r="A73" s="86" t="s">
        <v>83</v>
      </c>
      <c r="B73" s="541" t="s">
        <v>146</v>
      </c>
      <c r="C73" s="30" t="str">
        <f t="shared" si="10"/>
        <v xml:space="preserve">England – CCGs - Ipswich and East Suffolk </v>
      </c>
      <c r="D73" s="50">
        <f t="shared" si="20"/>
        <v>162999</v>
      </c>
      <c r="E73" s="50">
        <f t="shared" si="21"/>
        <v>170803</v>
      </c>
      <c r="F73" s="51">
        <f t="shared" si="13"/>
        <v>414449</v>
      </c>
      <c r="G73" s="51">
        <f t="shared" si="14"/>
        <v>204167</v>
      </c>
      <c r="H73" s="52">
        <f t="shared" si="15"/>
        <v>210282</v>
      </c>
      <c r="I73" s="52">
        <f t="shared" si="16"/>
        <v>162999</v>
      </c>
      <c r="J73" s="52">
        <f t="shared" si="17"/>
        <v>170803</v>
      </c>
      <c r="K73" s="49">
        <f t="shared" si="18"/>
        <v>41168</v>
      </c>
      <c r="L73" s="50">
        <f t="shared" si="19"/>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c r="A74" s="86" t="s">
        <v>83</v>
      </c>
      <c r="B74" s="541" t="s">
        <v>147</v>
      </c>
      <c r="C74" s="30" t="str">
        <f t="shared" si="10"/>
        <v xml:space="preserve">England – CCGs - Kent and Medway </v>
      </c>
      <c r="D74" s="50">
        <f t="shared" si="20"/>
        <v>705391</v>
      </c>
      <c r="E74" s="50">
        <f t="shared" si="21"/>
        <v>762802</v>
      </c>
      <c r="F74" s="51">
        <f t="shared" si="13"/>
        <v>1875893</v>
      </c>
      <c r="G74" s="51">
        <f t="shared" si="14"/>
        <v>914637</v>
      </c>
      <c r="H74" s="52">
        <f t="shared" si="15"/>
        <v>961256</v>
      </c>
      <c r="I74" s="52">
        <f t="shared" si="16"/>
        <v>705391</v>
      </c>
      <c r="J74" s="52">
        <f t="shared" si="17"/>
        <v>762802</v>
      </c>
      <c r="K74" s="49">
        <f t="shared" si="18"/>
        <v>209246</v>
      </c>
      <c r="L74" s="50">
        <f t="shared" si="19"/>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c r="A75" s="86" t="s">
        <v>83</v>
      </c>
      <c r="B75" s="541" t="s">
        <v>148</v>
      </c>
      <c r="C75" s="30" t="str">
        <f t="shared" si="10"/>
        <v xml:space="preserve">England – CCGs - Kernow </v>
      </c>
      <c r="D75" s="50">
        <f t="shared" si="20"/>
        <v>226093</v>
      </c>
      <c r="E75" s="50">
        <f t="shared" si="21"/>
        <v>245842</v>
      </c>
      <c r="F75" s="51">
        <f t="shared" si="13"/>
        <v>577694</v>
      </c>
      <c r="G75" s="51">
        <f t="shared" si="14"/>
        <v>280361</v>
      </c>
      <c r="H75" s="52">
        <f t="shared" si="15"/>
        <v>297333</v>
      </c>
      <c r="I75" s="52">
        <f t="shared" si="16"/>
        <v>226093</v>
      </c>
      <c r="J75" s="52">
        <f t="shared" si="17"/>
        <v>245842</v>
      </c>
      <c r="K75" s="49">
        <f t="shared" si="18"/>
        <v>54268</v>
      </c>
      <c r="L75" s="50">
        <f t="shared" si="19"/>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c r="A76" s="86" t="s">
        <v>83</v>
      </c>
      <c r="B76" s="541" t="s">
        <v>149</v>
      </c>
      <c r="C76" s="30" t="str">
        <f t="shared" si="10"/>
        <v xml:space="preserve">England – CCGs - Kirklees </v>
      </c>
      <c r="D76" s="50">
        <f t="shared" si="20"/>
        <v>164518</v>
      </c>
      <c r="E76" s="50">
        <f t="shared" si="21"/>
        <v>174599</v>
      </c>
      <c r="F76" s="51">
        <f t="shared" si="13"/>
        <v>437593</v>
      </c>
      <c r="G76" s="51">
        <f t="shared" si="14"/>
        <v>215001</v>
      </c>
      <c r="H76" s="52">
        <f t="shared" si="15"/>
        <v>222592</v>
      </c>
      <c r="I76" s="52">
        <f t="shared" si="16"/>
        <v>164518</v>
      </c>
      <c r="J76" s="52">
        <f t="shared" si="17"/>
        <v>174599</v>
      </c>
      <c r="K76" s="49">
        <f t="shared" si="18"/>
        <v>50483</v>
      </c>
      <c r="L76" s="50">
        <f t="shared" si="19"/>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c r="A77" s="86" t="s">
        <v>83</v>
      </c>
      <c r="B77" s="541" t="s">
        <v>150</v>
      </c>
      <c r="C77" s="30" t="str">
        <f t="shared" si="10"/>
        <v xml:space="preserve">England – CCGs - Knowsley </v>
      </c>
      <c r="D77" s="50">
        <f t="shared" si="20"/>
        <v>57340</v>
      </c>
      <c r="E77" s="50">
        <f t="shared" si="21"/>
        <v>64955</v>
      </c>
      <c r="F77" s="51">
        <f t="shared" si="13"/>
        <v>157103</v>
      </c>
      <c r="G77" s="51">
        <f t="shared" si="14"/>
        <v>75222</v>
      </c>
      <c r="H77" s="52">
        <f t="shared" si="15"/>
        <v>81881</v>
      </c>
      <c r="I77" s="52">
        <f t="shared" si="16"/>
        <v>57340</v>
      </c>
      <c r="J77" s="52">
        <f t="shared" si="17"/>
        <v>64955</v>
      </c>
      <c r="K77" s="49">
        <f t="shared" si="18"/>
        <v>17882</v>
      </c>
      <c r="L77" s="50">
        <f t="shared" si="19"/>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c r="A78" s="86" t="s">
        <v>83</v>
      </c>
      <c r="B78" s="541" t="s">
        <v>151</v>
      </c>
      <c r="C78" s="30" t="str">
        <f t="shared" si="10"/>
        <v xml:space="preserve">England – CCGs - Leeds </v>
      </c>
      <c r="D78" s="50">
        <f t="shared" si="20"/>
        <v>313860</v>
      </c>
      <c r="E78" s="50">
        <f t="shared" si="21"/>
        <v>335972</v>
      </c>
      <c r="F78" s="51">
        <f t="shared" si="13"/>
        <v>822483</v>
      </c>
      <c r="G78" s="51">
        <f t="shared" si="14"/>
        <v>402324</v>
      </c>
      <c r="H78" s="52">
        <f t="shared" si="15"/>
        <v>420159</v>
      </c>
      <c r="I78" s="52">
        <f t="shared" si="16"/>
        <v>313860</v>
      </c>
      <c r="J78" s="52">
        <f t="shared" si="17"/>
        <v>335972</v>
      </c>
      <c r="K78" s="49">
        <f t="shared" si="18"/>
        <v>88464</v>
      </c>
      <c r="L78" s="50">
        <f t="shared" si="19"/>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c r="A79" s="86" t="s">
        <v>83</v>
      </c>
      <c r="B79" s="541" t="s">
        <v>152</v>
      </c>
      <c r="C79" s="30" t="str">
        <f t="shared" si="10"/>
        <v xml:space="preserve">England – CCGs - Leicester City </v>
      </c>
      <c r="D79" s="50">
        <f t="shared" si="20"/>
        <v>140844</v>
      </c>
      <c r="E79" s="50">
        <f t="shared" si="21"/>
        <v>144720</v>
      </c>
      <c r="F79" s="51">
        <f t="shared" si="13"/>
        <v>373399</v>
      </c>
      <c r="G79" s="51">
        <f t="shared" si="14"/>
        <v>186254</v>
      </c>
      <c r="H79" s="52">
        <f t="shared" si="15"/>
        <v>187145</v>
      </c>
      <c r="I79" s="52">
        <f t="shared" si="16"/>
        <v>140844</v>
      </c>
      <c r="J79" s="52">
        <f t="shared" si="17"/>
        <v>144720</v>
      </c>
      <c r="K79" s="49">
        <f t="shared" si="18"/>
        <v>45410</v>
      </c>
      <c r="L79" s="50">
        <f t="shared" si="19"/>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c r="A80" s="86" t="s">
        <v>83</v>
      </c>
      <c r="B80" s="541" t="s">
        <v>153</v>
      </c>
      <c r="C80" s="30" t="str">
        <f t="shared" si="10"/>
        <v xml:space="preserve">England – CCGs - Lincolnshire </v>
      </c>
      <c r="D80" s="50">
        <f t="shared" si="20"/>
        <v>305377</v>
      </c>
      <c r="E80" s="50">
        <f t="shared" si="21"/>
        <v>324135</v>
      </c>
      <c r="F80" s="51">
        <f t="shared" si="13"/>
        <v>775524</v>
      </c>
      <c r="G80" s="51">
        <f t="shared" si="14"/>
        <v>380037</v>
      </c>
      <c r="H80" s="52">
        <f t="shared" si="15"/>
        <v>395487</v>
      </c>
      <c r="I80" s="52">
        <f t="shared" si="16"/>
        <v>305377</v>
      </c>
      <c r="J80" s="52">
        <f t="shared" si="17"/>
        <v>324135</v>
      </c>
      <c r="K80" s="49">
        <f t="shared" si="18"/>
        <v>74660</v>
      </c>
      <c r="L80" s="50">
        <f t="shared" si="19"/>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c r="A81" s="86" t="s">
        <v>83</v>
      </c>
      <c r="B81" s="541" t="s">
        <v>154</v>
      </c>
      <c r="C81" s="30" t="str">
        <f t="shared" si="10"/>
        <v xml:space="preserve">England – CCGs - Liverpool </v>
      </c>
      <c r="D81" s="50">
        <f t="shared" si="20"/>
        <v>194715</v>
      </c>
      <c r="E81" s="50">
        <f t="shared" si="21"/>
        <v>207573</v>
      </c>
      <c r="F81" s="51">
        <f t="shared" si="13"/>
        <v>496770</v>
      </c>
      <c r="G81" s="51">
        <f t="shared" si="14"/>
        <v>243137</v>
      </c>
      <c r="H81" s="52">
        <f t="shared" si="15"/>
        <v>253633</v>
      </c>
      <c r="I81" s="52">
        <f t="shared" si="16"/>
        <v>194715</v>
      </c>
      <c r="J81" s="52">
        <f t="shared" si="17"/>
        <v>207573</v>
      </c>
      <c r="K81" s="49">
        <f t="shared" si="18"/>
        <v>48422</v>
      </c>
      <c r="L81" s="50">
        <f t="shared" si="19"/>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c r="A82" s="86" t="s">
        <v>83</v>
      </c>
      <c r="B82" s="541" t="s">
        <v>155</v>
      </c>
      <c r="C82" s="30" t="str">
        <f t="shared" si="10"/>
        <v xml:space="preserve">England – CCGs - Manchester </v>
      </c>
      <c r="D82" s="50">
        <f t="shared" si="20"/>
        <v>217609</v>
      </c>
      <c r="E82" s="50">
        <f t="shared" si="21"/>
        <v>223000</v>
      </c>
      <c r="F82" s="51">
        <f t="shared" si="13"/>
        <v>568996</v>
      </c>
      <c r="G82" s="51">
        <f t="shared" si="14"/>
        <v>282913</v>
      </c>
      <c r="H82" s="52">
        <f t="shared" si="15"/>
        <v>286083</v>
      </c>
      <c r="I82" s="52">
        <f t="shared" si="16"/>
        <v>217609</v>
      </c>
      <c r="J82" s="52">
        <f t="shared" si="17"/>
        <v>223000</v>
      </c>
      <c r="K82" s="49">
        <f t="shared" si="18"/>
        <v>65304</v>
      </c>
      <c r="L82" s="50">
        <f t="shared" si="19"/>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c r="A83" s="86" t="s">
        <v>83</v>
      </c>
      <c r="B83" s="541" t="s">
        <v>156</v>
      </c>
      <c r="C83" s="30" t="str">
        <f t="shared" si="10"/>
        <v xml:space="preserve">England – CCGs - Mid Essex </v>
      </c>
      <c r="D83" s="50">
        <f t="shared" si="20"/>
        <v>156868</v>
      </c>
      <c r="E83" s="50">
        <f t="shared" si="21"/>
        <v>167704</v>
      </c>
      <c r="F83" s="51">
        <f t="shared" si="13"/>
        <v>408561</v>
      </c>
      <c r="G83" s="51">
        <f t="shared" si="14"/>
        <v>199952</v>
      </c>
      <c r="H83" s="52">
        <f t="shared" si="15"/>
        <v>208609</v>
      </c>
      <c r="I83" s="52">
        <f t="shared" si="16"/>
        <v>156868</v>
      </c>
      <c r="J83" s="52">
        <f t="shared" si="17"/>
        <v>167704</v>
      </c>
      <c r="K83" s="49">
        <f t="shared" si="18"/>
        <v>43084</v>
      </c>
      <c r="L83" s="50">
        <f t="shared" si="19"/>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c r="A84" s="86" t="s">
        <v>83</v>
      </c>
      <c r="B84" s="541" t="s">
        <v>157</v>
      </c>
      <c r="C84" s="30" t="str">
        <f t="shared" si="10"/>
        <v xml:space="preserve">England – CCGs - Morecambe Bay </v>
      </c>
      <c r="D84" s="50">
        <f t="shared" si="20"/>
        <v>132762</v>
      </c>
      <c r="E84" s="50">
        <f t="shared" si="21"/>
        <v>139899</v>
      </c>
      <c r="F84" s="51">
        <f t="shared" si="13"/>
        <v>331197</v>
      </c>
      <c r="G84" s="51">
        <f t="shared" si="14"/>
        <v>162689</v>
      </c>
      <c r="H84" s="52">
        <f t="shared" si="15"/>
        <v>168508</v>
      </c>
      <c r="I84" s="52">
        <f t="shared" si="16"/>
        <v>132762</v>
      </c>
      <c r="J84" s="52">
        <f t="shared" si="17"/>
        <v>139899</v>
      </c>
      <c r="K84" s="49">
        <f t="shared" si="18"/>
        <v>29927</v>
      </c>
      <c r="L84" s="50">
        <f t="shared" si="19"/>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c r="A85" s="86" t="s">
        <v>83</v>
      </c>
      <c r="B85" s="541" t="s">
        <v>158</v>
      </c>
      <c r="C85" s="30" t="str">
        <f t="shared" si="10"/>
        <v xml:space="preserve">England – CCGs - Newcastle Gateshead </v>
      </c>
      <c r="D85" s="50">
        <f t="shared" si="20"/>
        <v>199650</v>
      </c>
      <c r="E85" s="50">
        <f t="shared" si="21"/>
        <v>207359</v>
      </c>
      <c r="F85" s="51">
        <f t="shared" si="13"/>
        <v>505287</v>
      </c>
      <c r="G85" s="51">
        <f t="shared" si="14"/>
        <v>249878</v>
      </c>
      <c r="H85" s="52">
        <f t="shared" si="15"/>
        <v>255409</v>
      </c>
      <c r="I85" s="52">
        <f t="shared" si="16"/>
        <v>199650</v>
      </c>
      <c r="J85" s="52">
        <f t="shared" si="17"/>
        <v>207359</v>
      </c>
      <c r="K85" s="49">
        <f t="shared" si="18"/>
        <v>50228</v>
      </c>
      <c r="L85" s="50">
        <f t="shared" si="19"/>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c r="A86" s="86" t="s">
        <v>83</v>
      </c>
      <c r="B86" s="541" t="s">
        <v>159</v>
      </c>
      <c r="C86" s="30" t="str">
        <f t="shared" si="10"/>
        <v xml:space="preserve">England – CCGs - Norfolk and Waveney </v>
      </c>
      <c r="D86" s="50">
        <f t="shared" si="20"/>
        <v>413052</v>
      </c>
      <c r="E86" s="50">
        <f t="shared" si="21"/>
        <v>438783</v>
      </c>
      <c r="F86" s="51">
        <f t="shared" si="13"/>
        <v>1041932</v>
      </c>
      <c r="G86" s="51">
        <f t="shared" si="14"/>
        <v>510572</v>
      </c>
      <c r="H86" s="52">
        <f t="shared" si="15"/>
        <v>531360</v>
      </c>
      <c r="I86" s="52">
        <f t="shared" si="16"/>
        <v>413052</v>
      </c>
      <c r="J86" s="52">
        <f t="shared" si="17"/>
        <v>438783</v>
      </c>
      <c r="K86" s="49">
        <f t="shared" si="18"/>
        <v>97520</v>
      </c>
      <c r="L86" s="50">
        <f t="shared" si="19"/>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c r="A87" s="86" t="s">
        <v>83</v>
      </c>
      <c r="B87" s="541" t="s">
        <v>160</v>
      </c>
      <c r="C87" s="30" t="str">
        <f t="shared" si="10"/>
        <v xml:space="preserve">England – CCGs - North Central London </v>
      </c>
      <c r="D87" s="50">
        <f t="shared" si="20"/>
        <v>525382</v>
      </c>
      <c r="E87" s="50">
        <f t="shared" si="21"/>
        <v>593171</v>
      </c>
      <c r="F87" s="51">
        <f t="shared" si="13"/>
        <v>1416558</v>
      </c>
      <c r="G87" s="51">
        <f t="shared" si="14"/>
        <v>677387</v>
      </c>
      <c r="H87" s="52">
        <f t="shared" si="15"/>
        <v>739171</v>
      </c>
      <c r="I87" s="52">
        <f t="shared" si="16"/>
        <v>525382</v>
      </c>
      <c r="J87" s="52">
        <f t="shared" si="17"/>
        <v>593171</v>
      </c>
      <c r="K87" s="49">
        <f t="shared" si="18"/>
        <v>152005</v>
      </c>
      <c r="L87" s="50">
        <f t="shared" si="19"/>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c r="A88" s="86" t="s">
        <v>83</v>
      </c>
      <c r="B88" s="541" t="s">
        <v>161</v>
      </c>
      <c r="C88" s="30" t="str">
        <f t="shared" si="10"/>
        <v xml:space="preserve">England – CCGs - North Cumbria </v>
      </c>
      <c r="D88" s="50">
        <f t="shared" si="20"/>
        <v>128441</v>
      </c>
      <c r="E88" s="50">
        <f t="shared" si="21"/>
        <v>134791</v>
      </c>
      <c r="F88" s="51">
        <f t="shared" si="13"/>
        <v>322479</v>
      </c>
      <c r="G88" s="51">
        <f t="shared" si="14"/>
        <v>158765</v>
      </c>
      <c r="H88" s="52">
        <f t="shared" si="15"/>
        <v>163714</v>
      </c>
      <c r="I88" s="52">
        <f t="shared" si="16"/>
        <v>128441</v>
      </c>
      <c r="J88" s="52">
        <f t="shared" si="17"/>
        <v>134791</v>
      </c>
      <c r="K88" s="49">
        <f t="shared" si="18"/>
        <v>30324</v>
      </c>
      <c r="L88" s="50">
        <f t="shared" si="19"/>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c r="A89" s="86" t="s">
        <v>83</v>
      </c>
      <c r="B89" s="541" t="s">
        <v>162</v>
      </c>
      <c r="C89" s="30" t="str">
        <f t="shared" si="10"/>
        <v xml:space="preserve">England – CCGs - North East Essex </v>
      </c>
      <c r="D89" s="50">
        <f t="shared" si="20"/>
        <v>133386</v>
      </c>
      <c r="E89" s="50">
        <f t="shared" si="21"/>
        <v>144225</v>
      </c>
      <c r="F89" s="51">
        <f t="shared" si="13"/>
        <v>345845</v>
      </c>
      <c r="G89" s="51">
        <f t="shared" si="14"/>
        <v>168263</v>
      </c>
      <c r="H89" s="52">
        <f t="shared" si="15"/>
        <v>177582</v>
      </c>
      <c r="I89" s="52">
        <f t="shared" si="16"/>
        <v>133386</v>
      </c>
      <c r="J89" s="52">
        <f t="shared" si="17"/>
        <v>144225</v>
      </c>
      <c r="K89" s="49">
        <f t="shared" si="18"/>
        <v>34877</v>
      </c>
      <c r="L89" s="50">
        <f t="shared" si="19"/>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c r="A90" s="86" t="s">
        <v>83</v>
      </c>
      <c r="B90" s="541" t="s">
        <v>163</v>
      </c>
      <c r="C90" s="30" t="str">
        <f t="shared" si="10"/>
        <v xml:space="preserve">England – CCGs - North East Lincolnshire </v>
      </c>
      <c r="D90" s="50">
        <f t="shared" si="20"/>
        <v>60371</v>
      </c>
      <c r="E90" s="50">
        <f t="shared" si="21"/>
        <v>64235</v>
      </c>
      <c r="F90" s="51">
        <f t="shared" si="13"/>
        <v>157754</v>
      </c>
      <c r="G90" s="51">
        <f t="shared" si="14"/>
        <v>77352</v>
      </c>
      <c r="H90" s="52">
        <f t="shared" si="15"/>
        <v>80402</v>
      </c>
      <c r="I90" s="52">
        <f t="shared" si="16"/>
        <v>60371</v>
      </c>
      <c r="J90" s="52">
        <f t="shared" si="17"/>
        <v>64235</v>
      </c>
      <c r="K90" s="49">
        <f t="shared" si="18"/>
        <v>16981</v>
      </c>
      <c r="L90" s="50">
        <f t="shared" si="19"/>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c r="A91" s="86" t="s">
        <v>83</v>
      </c>
      <c r="B91" s="541" t="s">
        <v>164</v>
      </c>
      <c r="C91" s="30" t="str">
        <f t="shared" si="10"/>
        <v xml:space="preserve">England – CCGs - North East London </v>
      </c>
      <c r="D91" s="50">
        <f t="shared" si="20"/>
        <v>760944</v>
      </c>
      <c r="E91" s="50">
        <f t="shared" si="21"/>
        <v>800228</v>
      </c>
      <c r="F91" s="51">
        <f t="shared" si="13"/>
        <v>2028265</v>
      </c>
      <c r="G91" s="51">
        <f t="shared" si="14"/>
        <v>998819</v>
      </c>
      <c r="H91" s="52">
        <f t="shared" si="15"/>
        <v>1029446</v>
      </c>
      <c r="I91" s="52">
        <f t="shared" si="16"/>
        <v>760944</v>
      </c>
      <c r="J91" s="52">
        <f t="shared" si="17"/>
        <v>800228</v>
      </c>
      <c r="K91" s="49">
        <f t="shared" si="18"/>
        <v>237875</v>
      </c>
      <c r="L91" s="50">
        <f t="shared" si="19"/>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c r="A92" s="86" t="s">
        <v>83</v>
      </c>
      <c r="B92" s="541" t="s">
        <v>165</v>
      </c>
      <c r="C92" s="30" t="str">
        <f t="shared" si="10"/>
        <v xml:space="preserve">England – CCGs - North Lincolnshire </v>
      </c>
      <c r="D92" s="50">
        <f t="shared" si="20"/>
        <v>66371</v>
      </c>
      <c r="E92" s="50">
        <f t="shared" si="21"/>
        <v>69310</v>
      </c>
      <c r="F92" s="51">
        <f t="shared" si="13"/>
        <v>170042</v>
      </c>
      <c r="G92" s="51">
        <f t="shared" si="14"/>
        <v>83843</v>
      </c>
      <c r="H92" s="52">
        <f t="shared" si="15"/>
        <v>86199</v>
      </c>
      <c r="I92" s="52">
        <f t="shared" si="16"/>
        <v>66371</v>
      </c>
      <c r="J92" s="52">
        <f t="shared" si="17"/>
        <v>69310</v>
      </c>
      <c r="K92" s="49">
        <f t="shared" si="18"/>
        <v>17472</v>
      </c>
      <c r="L92" s="50">
        <f t="shared" si="19"/>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c r="A93" s="86" t="s">
        <v>83</v>
      </c>
      <c r="B93" s="541" t="s">
        <v>166</v>
      </c>
      <c r="C93" s="30" t="str">
        <f t="shared" ref="C93:C134" si="22">CONCATENATE(A93," - ",B93)</f>
        <v xml:space="preserve">England – CCGs - North Staffordshire </v>
      </c>
      <c r="D93" s="50">
        <f t="shared" ref="D93:D124" si="23">I93</f>
        <v>84689</v>
      </c>
      <c r="E93" s="50">
        <f t="shared" ref="E93:E124" si="24">J93</f>
        <v>89801</v>
      </c>
      <c r="F93" s="51">
        <f t="shared" si="13"/>
        <v>213148</v>
      </c>
      <c r="G93" s="51">
        <f t="shared" si="14"/>
        <v>104607</v>
      </c>
      <c r="H93" s="52">
        <f t="shared" si="15"/>
        <v>108541</v>
      </c>
      <c r="I93" s="52">
        <f t="shared" si="16"/>
        <v>84689</v>
      </c>
      <c r="J93" s="52">
        <f t="shared" si="17"/>
        <v>89801</v>
      </c>
      <c r="K93" s="49">
        <f t="shared" si="18"/>
        <v>19918</v>
      </c>
      <c r="L93" s="50">
        <f t="shared" si="19"/>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c r="A94" s="86" t="s">
        <v>83</v>
      </c>
      <c r="B94" s="541" t="s">
        <v>167</v>
      </c>
      <c r="C94" s="30" t="str">
        <f t="shared" si="22"/>
        <v xml:space="preserve">England – CCGs - North Tyneside </v>
      </c>
      <c r="D94" s="50">
        <f t="shared" si="23"/>
        <v>80464</v>
      </c>
      <c r="E94" s="50">
        <f t="shared" si="24"/>
        <v>87929</v>
      </c>
      <c r="F94" s="51">
        <f t="shared" si="13"/>
        <v>210487</v>
      </c>
      <c r="G94" s="51">
        <f t="shared" si="14"/>
        <v>102303</v>
      </c>
      <c r="H94" s="52">
        <f t="shared" si="15"/>
        <v>108184</v>
      </c>
      <c r="I94" s="52">
        <f t="shared" si="16"/>
        <v>80464</v>
      </c>
      <c r="J94" s="52">
        <f t="shared" si="17"/>
        <v>87929</v>
      </c>
      <c r="K94" s="49">
        <f t="shared" si="18"/>
        <v>21839</v>
      </c>
      <c r="L94" s="50">
        <f t="shared" si="19"/>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c r="A95" s="86" t="s">
        <v>83</v>
      </c>
      <c r="B95" s="541" t="s">
        <v>168</v>
      </c>
      <c r="C95" s="30" t="str">
        <f t="shared" si="22"/>
        <v xml:space="preserve">England – CCGs - North West London </v>
      </c>
      <c r="D95" s="50">
        <f t="shared" si="23"/>
        <v>811699</v>
      </c>
      <c r="E95" s="50">
        <f t="shared" si="24"/>
        <v>867923</v>
      </c>
      <c r="F95" s="51">
        <f t="shared" ref="F95:F134" si="25">G95+H95</f>
        <v>2116269</v>
      </c>
      <c r="G95" s="51">
        <f t="shared" ref="G95:G134" si="26">SUM(M95:CY95)</f>
        <v>1035418</v>
      </c>
      <c r="H95" s="52">
        <f t="shared" ref="H95:H134" si="27">SUM(CZ95:GL95)</f>
        <v>1080851</v>
      </c>
      <c r="I95" s="52">
        <f t="shared" ref="I95:I134" si="28">SUM(AE95:CY95)</f>
        <v>811699</v>
      </c>
      <c r="J95" s="52">
        <f t="shared" ref="J95:J134" si="29">SUM(DR95:GL95)</f>
        <v>867923</v>
      </c>
      <c r="K95" s="49">
        <f t="shared" ref="K95:K134" si="30">SUM(M95:AD95)</f>
        <v>223719</v>
      </c>
      <c r="L95" s="50">
        <f t="shared" ref="L95:L134" si="3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c r="A96" s="86" t="s">
        <v>83</v>
      </c>
      <c r="B96" s="541" t="s">
        <v>169</v>
      </c>
      <c r="C96" s="30" t="str">
        <f t="shared" si="22"/>
        <v xml:space="preserve">England – CCGs - North Yorkshire </v>
      </c>
      <c r="D96" s="50">
        <f t="shared" si="23"/>
        <v>170980</v>
      </c>
      <c r="E96" s="50">
        <f t="shared" si="24"/>
        <v>180877</v>
      </c>
      <c r="F96" s="51">
        <f t="shared" si="25"/>
        <v>430179</v>
      </c>
      <c r="G96" s="51">
        <f t="shared" si="26"/>
        <v>211387</v>
      </c>
      <c r="H96" s="52">
        <f t="shared" si="27"/>
        <v>218792</v>
      </c>
      <c r="I96" s="52">
        <f t="shared" si="28"/>
        <v>170980</v>
      </c>
      <c r="J96" s="52">
        <f t="shared" si="29"/>
        <v>180877</v>
      </c>
      <c r="K96" s="49">
        <f t="shared" si="30"/>
        <v>40407</v>
      </c>
      <c r="L96" s="50">
        <f t="shared" si="3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c r="A97" s="86" t="s">
        <v>83</v>
      </c>
      <c r="B97" s="541" t="s">
        <v>170</v>
      </c>
      <c r="C97" s="30" t="str">
        <f t="shared" si="22"/>
        <v xml:space="preserve">England – CCGs - Northamptonshire </v>
      </c>
      <c r="D97" s="50">
        <f t="shared" si="23"/>
        <v>296036</v>
      </c>
      <c r="E97" s="50">
        <f t="shared" si="24"/>
        <v>309301</v>
      </c>
      <c r="F97" s="51">
        <f t="shared" si="25"/>
        <v>775246</v>
      </c>
      <c r="G97" s="51">
        <f t="shared" si="26"/>
        <v>382651</v>
      </c>
      <c r="H97" s="52">
        <f t="shared" si="27"/>
        <v>392595</v>
      </c>
      <c r="I97" s="52">
        <f t="shared" si="28"/>
        <v>296036</v>
      </c>
      <c r="J97" s="52">
        <f t="shared" si="29"/>
        <v>309301</v>
      </c>
      <c r="K97" s="49">
        <f t="shared" si="30"/>
        <v>86615</v>
      </c>
      <c r="L97" s="50">
        <f t="shared" si="3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c r="A98" s="86" t="s">
        <v>83</v>
      </c>
      <c r="B98" s="541" t="s">
        <v>171</v>
      </c>
      <c r="C98" s="30" t="str">
        <f t="shared" si="22"/>
        <v xml:space="preserve">England – CCGs - Northumberland </v>
      </c>
      <c r="D98" s="50">
        <f t="shared" si="23"/>
        <v>128234</v>
      </c>
      <c r="E98" s="50">
        <f t="shared" si="24"/>
        <v>137538</v>
      </c>
      <c r="F98" s="51">
        <f t="shared" si="25"/>
        <v>324362</v>
      </c>
      <c r="G98" s="51">
        <f t="shared" si="26"/>
        <v>158454</v>
      </c>
      <c r="H98" s="52">
        <f t="shared" si="27"/>
        <v>165908</v>
      </c>
      <c r="I98" s="52">
        <f t="shared" si="28"/>
        <v>128234</v>
      </c>
      <c r="J98" s="52">
        <f t="shared" si="29"/>
        <v>137538</v>
      </c>
      <c r="K98" s="49">
        <f t="shared" si="30"/>
        <v>30220</v>
      </c>
      <c r="L98" s="50">
        <f t="shared" si="3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c r="A99" s="86" t="s">
        <v>83</v>
      </c>
      <c r="B99" s="541" t="s">
        <v>172</v>
      </c>
      <c r="C99" s="30" t="str">
        <f t="shared" si="22"/>
        <v xml:space="preserve">England – CCGs - Nottingham and Nottinghamshire </v>
      </c>
      <c r="D99" s="50">
        <f t="shared" si="23"/>
        <v>404579</v>
      </c>
      <c r="E99" s="50">
        <f t="shared" si="24"/>
        <v>429003</v>
      </c>
      <c r="F99" s="51">
        <f t="shared" si="25"/>
        <v>1043323</v>
      </c>
      <c r="G99" s="51">
        <f t="shared" si="26"/>
        <v>511972</v>
      </c>
      <c r="H99" s="52">
        <f t="shared" si="27"/>
        <v>531351</v>
      </c>
      <c r="I99" s="52">
        <f t="shared" si="28"/>
        <v>404579</v>
      </c>
      <c r="J99" s="52">
        <f t="shared" si="29"/>
        <v>429003</v>
      </c>
      <c r="K99" s="49">
        <f t="shared" si="30"/>
        <v>107393</v>
      </c>
      <c r="L99" s="50">
        <f t="shared" si="3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c r="A100" s="86" t="s">
        <v>83</v>
      </c>
      <c r="B100" s="541" t="s">
        <v>173</v>
      </c>
      <c r="C100" s="30" t="str">
        <f t="shared" si="22"/>
        <v xml:space="preserve">England – CCGs - Oldham </v>
      </c>
      <c r="D100" s="50">
        <f t="shared" si="23"/>
        <v>87601</v>
      </c>
      <c r="E100" s="50">
        <f t="shared" si="24"/>
        <v>93872</v>
      </c>
      <c r="F100" s="51">
        <f t="shared" si="25"/>
        <v>243912</v>
      </c>
      <c r="G100" s="51">
        <f t="shared" si="26"/>
        <v>119371</v>
      </c>
      <c r="H100" s="52">
        <f t="shared" si="27"/>
        <v>124541</v>
      </c>
      <c r="I100" s="52">
        <f t="shared" si="28"/>
        <v>87601</v>
      </c>
      <c r="J100" s="52">
        <f t="shared" si="29"/>
        <v>93872</v>
      </c>
      <c r="K100" s="49">
        <f t="shared" si="30"/>
        <v>31770</v>
      </c>
      <c r="L100" s="50">
        <f t="shared" si="3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c r="A101" s="86" t="s">
        <v>83</v>
      </c>
      <c r="B101" s="541" t="s">
        <v>174</v>
      </c>
      <c r="C101" s="30" t="str">
        <f t="shared" si="22"/>
        <v xml:space="preserve">England – CCGs - Oxfordshire </v>
      </c>
      <c r="D101" s="50">
        <f t="shared" si="23"/>
        <v>281211</v>
      </c>
      <c r="E101" s="50">
        <f t="shared" si="24"/>
        <v>294623</v>
      </c>
      <c r="F101" s="51">
        <f t="shared" si="25"/>
        <v>721245</v>
      </c>
      <c r="G101" s="51">
        <f t="shared" si="26"/>
        <v>356252</v>
      </c>
      <c r="H101" s="52">
        <f t="shared" si="27"/>
        <v>364993</v>
      </c>
      <c r="I101" s="52">
        <f t="shared" si="28"/>
        <v>281211</v>
      </c>
      <c r="J101" s="52">
        <f t="shared" si="29"/>
        <v>294623</v>
      </c>
      <c r="K101" s="49">
        <f t="shared" si="30"/>
        <v>75041</v>
      </c>
      <c r="L101" s="50">
        <f t="shared" si="3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c r="A102" s="86" t="s">
        <v>83</v>
      </c>
      <c r="B102" s="541" t="s">
        <v>175</v>
      </c>
      <c r="C102" s="30" t="str">
        <f t="shared" si="22"/>
        <v xml:space="preserve">England – CCGs - Portsmouth </v>
      </c>
      <c r="D102" s="50">
        <f t="shared" si="23"/>
        <v>82264</v>
      </c>
      <c r="E102" s="50">
        <f t="shared" si="24"/>
        <v>84108</v>
      </c>
      <c r="F102" s="51">
        <f t="shared" si="25"/>
        <v>208420</v>
      </c>
      <c r="G102" s="51">
        <f t="shared" si="26"/>
        <v>103763</v>
      </c>
      <c r="H102" s="52">
        <f t="shared" si="27"/>
        <v>104657</v>
      </c>
      <c r="I102" s="52">
        <f t="shared" si="28"/>
        <v>82264</v>
      </c>
      <c r="J102" s="52">
        <f t="shared" si="29"/>
        <v>84108</v>
      </c>
      <c r="K102" s="49">
        <f t="shared" si="30"/>
        <v>21499</v>
      </c>
      <c r="L102" s="50">
        <f t="shared" si="3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c r="A103" s="86" t="s">
        <v>83</v>
      </c>
      <c r="B103" s="541" t="s">
        <v>176</v>
      </c>
      <c r="C103" s="30" t="str">
        <f t="shared" si="22"/>
        <v xml:space="preserve">England – CCGs - Rotherham </v>
      </c>
      <c r="D103" s="50">
        <f t="shared" si="23"/>
        <v>102546</v>
      </c>
      <c r="E103" s="50">
        <f t="shared" si="24"/>
        <v>108578</v>
      </c>
      <c r="F103" s="51">
        <f t="shared" si="25"/>
        <v>268354</v>
      </c>
      <c r="G103" s="51">
        <f t="shared" si="26"/>
        <v>131784</v>
      </c>
      <c r="H103" s="52">
        <f t="shared" si="27"/>
        <v>136570</v>
      </c>
      <c r="I103" s="52">
        <f t="shared" si="28"/>
        <v>102546</v>
      </c>
      <c r="J103" s="52">
        <f t="shared" si="29"/>
        <v>108578</v>
      </c>
      <c r="K103" s="49">
        <f t="shared" si="30"/>
        <v>29238</v>
      </c>
      <c r="L103" s="50">
        <f t="shared" si="3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c r="A104" s="86" t="s">
        <v>83</v>
      </c>
      <c r="B104" s="541" t="s">
        <v>177</v>
      </c>
      <c r="C104" s="30" t="str">
        <f t="shared" si="22"/>
        <v xml:space="preserve">England – CCGs - Salford </v>
      </c>
      <c r="D104" s="50">
        <f t="shared" si="23"/>
        <v>108861</v>
      </c>
      <c r="E104" s="50">
        <f t="shared" si="24"/>
        <v>108908</v>
      </c>
      <c r="F104" s="51">
        <f t="shared" si="25"/>
        <v>278064</v>
      </c>
      <c r="G104" s="51">
        <f t="shared" si="26"/>
        <v>139829</v>
      </c>
      <c r="H104" s="52">
        <f t="shared" si="27"/>
        <v>138235</v>
      </c>
      <c r="I104" s="52">
        <f t="shared" si="28"/>
        <v>108861</v>
      </c>
      <c r="J104" s="52">
        <f t="shared" si="29"/>
        <v>108908</v>
      </c>
      <c r="K104" s="49">
        <f t="shared" si="30"/>
        <v>30968</v>
      </c>
      <c r="L104" s="50">
        <f t="shared" si="3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c r="A105" s="86" t="s">
        <v>83</v>
      </c>
      <c r="B105" s="541" t="s">
        <v>178</v>
      </c>
      <c r="C105" s="30" t="str">
        <f t="shared" si="22"/>
        <v xml:space="preserve">England – CCGs - Sheffield </v>
      </c>
      <c r="D105" s="50">
        <f t="shared" si="23"/>
        <v>221985</v>
      </c>
      <c r="E105" s="50">
        <f t="shared" si="24"/>
        <v>230539</v>
      </c>
      <c r="F105" s="51">
        <f t="shared" si="25"/>
        <v>566242</v>
      </c>
      <c r="G105" s="51">
        <f t="shared" si="26"/>
        <v>280173</v>
      </c>
      <c r="H105" s="52">
        <f t="shared" si="27"/>
        <v>286069</v>
      </c>
      <c r="I105" s="52">
        <f t="shared" si="28"/>
        <v>221985</v>
      </c>
      <c r="J105" s="52">
        <f t="shared" si="29"/>
        <v>230539</v>
      </c>
      <c r="K105" s="49">
        <f t="shared" si="30"/>
        <v>58188</v>
      </c>
      <c r="L105" s="50">
        <f t="shared" si="3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c r="A106" s="86" t="s">
        <v>83</v>
      </c>
      <c r="B106" s="541" t="s">
        <v>179</v>
      </c>
      <c r="C106" s="30" t="str">
        <f t="shared" si="22"/>
        <v xml:space="preserve">England – CCGs - Shropshire, Telford and Wrekin </v>
      </c>
      <c r="D106" s="50">
        <f t="shared" si="23"/>
        <v>202333</v>
      </c>
      <c r="E106" s="50">
        <f t="shared" si="24"/>
        <v>212592</v>
      </c>
      <c r="F106" s="51">
        <f t="shared" si="25"/>
        <v>516049</v>
      </c>
      <c r="G106" s="51">
        <f t="shared" si="26"/>
        <v>254197</v>
      </c>
      <c r="H106" s="52">
        <f t="shared" si="27"/>
        <v>261852</v>
      </c>
      <c r="I106" s="52">
        <f t="shared" si="28"/>
        <v>202333</v>
      </c>
      <c r="J106" s="52">
        <f t="shared" si="29"/>
        <v>212592</v>
      </c>
      <c r="K106" s="49">
        <f t="shared" si="30"/>
        <v>51864</v>
      </c>
      <c r="L106" s="50">
        <f t="shared" si="3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c r="A107" s="86" t="s">
        <v>83</v>
      </c>
      <c r="B107" s="541" t="s">
        <v>180</v>
      </c>
      <c r="C107" s="30" t="str">
        <f t="shared" si="22"/>
        <v xml:space="preserve">England – CCGs - Somerset </v>
      </c>
      <c r="D107" s="50">
        <f t="shared" si="23"/>
        <v>225653</v>
      </c>
      <c r="E107" s="50">
        <f t="shared" si="24"/>
        <v>240687</v>
      </c>
      <c r="F107" s="51">
        <f t="shared" si="25"/>
        <v>576852</v>
      </c>
      <c r="G107" s="51">
        <f t="shared" si="26"/>
        <v>282176</v>
      </c>
      <c r="H107" s="52">
        <f t="shared" si="27"/>
        <v>294676</v>
      </c>
      <c r="I107" s="52">
        <f t="shared" si="28"/>
        <v>225653</v>
      </c>
      <c r="J107" s="52">
        <f t="shared" si="29"/>
        <v>240687</v>
      </c>
      <c r="K107" s="49">
        <f t="shared" si="30"/>
        <v>56523</v>
      </c>
      <c r="L107" s="50">
        <f t="shared" si="3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c r="A108" s="86" t="s">
        <v>83</v>
      </c>
      <c r="B108" s="541" t="s">
        <v>181</v>
      </c>
      <c r="C108" s="30" t="str">
        <f t="shared" si="22"/>
        <v xml:space="preserve">England – CCGs - South East London </v>
      </c>
      <c r="D108" s="50">
        <f t="shared" si="23"/>
        <v>677404</v>
      </c>
      <c r="E108" s="50">
        <f t="shared" si="24"/>
        <v>749378</v>
      </c>
      <c r="F108" s="51">
        <f t="shared" si="25"/>
        <v>1795871</v>
      </c>
      <c r="G108" s="51">
        <f t="shared" si="26"/>
        <v>865549</v>
      </c>
      <c r="H108" s="52">
        <f t="shared" si="27"/>
        <v>930322</v>
      </c>
      <c r="I108" s="52">
        <f t="shared" si="28"/>
        <v>677404</v>
      </c>
      <c r="J108" s="52">
        <f t="shared" si="29"/>
        <v>749378</v>
      </c>
      <c r="K108" s="49">
        <f t="shared" si="30"/>
        <v>188145</v>
      </c>
      <c r="L108" s="50">
        <f t="shared" si="3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c r="A109" s="86" t="s">
        <v>83</v>
      </c>
      <c r="B109" s="541" t="s">
        <v>182</v>
      </c>
      <c r="C109" s="30" t="str">
        <f t="shared" si="22"/>
        <v xml:space="preserve">England – CCGs - South East Staffordshire and Seisdon Peninsula </v>
      </c>
      <c r="D109" s="50">
        <f t="shared" si="23"/>
        <v>92288</v>
      </c>
      <c r="E109" s="50">
        <f t="shared" si="24"/>
        <v>94976</v>
      </c>
      <c r="F109" s="51">
        <f t="shared" si="25"/>
        <v>231486</v>
      </c>
      <c r="G109" s="51">
        <f t="shared" si="26"/>
        <v>114941</v>
      </c>
      <c r="H109" s="52">
        <f t="shared" si="27"/>
        <v>116545</v>
      </c>
      <c r="I109" s="52">
        <f t="shared" si="28"/>
        <v>92288</v>
      </c>
      <c r="J109" s="52">
        <f t="shared" si="29"/>
        <v>94976</v>
      </c>
      <c r="K109" s="49">
        <f t="shared" si="30"/>
        <v>22653</v>
      </c>
      <c r="L109" s="50">
        <f t="shared" si="3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c r="A110" s="86" t="s">
        <v>83</v>
      </c>
      <c r="B110" s="541" t="s">
        <v>183</v>
      </c>
      <c r="C110" s="30" t="str">
        <f t="shared" si="22"/>
        <v xml:space="preserve">England – CCGs - South Sefton </v>
      </c>
      <c r="D110" s="50">
        <f t="shared" si="23"/>
        <v>62707</v>
      </c>
      <c r="E110" s="50">
        <f t="shared" si="24"/>
        <v>68552</v>
      </c>
      <c r="F110" s="51">
        <f t="shared" si="25"/>
        <v>163768</v>
      </c>
      <c r="G110" s="51">
        <f t="shared" si="26"/>
        <v>79420</v>
      </c>
      <c r="H110" s="52">
        <f t="shared" si="27"/>
        <v>84348</v>
      </c>
      <c r="I110" s="52">
        <f t="shared" si="28"/>
        <v>62707</v>
      </c>
      <c r="J110" s="52">
        <f t="shared" si="29"/>
        <v>68552</v>
      </c>
      <c r="K110" s="49">
        <f t="shared" si="30"/>
        <v>16713</v>
      </c>
      <c r="L110" s="50">
        <f t="shared" si="3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c r="A111" s="86" t="s">
        <v>83</v>
      </c>
      <c r="B111" s="541" t="s">
        <v>184</v>
      </c>
      <c r="C111" s="30" t="str">
        <f t="shared" si="22"/>
        <v xml:space="preserve">England – CCGs - South Tyneside </v>
      </c>
      <c r="D111" s="50">
        <f t="shared" si="23"/>
        <v>56904</v>
      </c>
      <c r="E111" s="50">
        <f t="shared" si="24"/>
        <v>61816</v>
      </c>
      <c r="F111" s="51">
        <f t="shared" si="25"/>
        <v>148667</v>
      </c>
      <c r="G111" s="51">
        <f t="shared" si="26"/>
        <v>72355</v>
      </c>
      <c r="H111" s="52">
        <f t="shared" si="27"/>
        <v>76312</v>
      </c>
      <c r="I111" s="52">
        <f t="shared" si="28"/>
        <v>56904</v>
      </c>
      <c r="J111" s="52">
        <f t="shared" si="29"/>
        <v>61816</v>
      </c>
      <c r="K111" s="49">
        <f t="shared" si="30"/>
        <v>15451</v>
      </c>
      <c r="L111" s="50">
        <f t="shared" si="3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c r="A112" s="86" t="s">
        <v>83</v>
      </c>
      <c r="B112" s="541" t="s">
        <v>185</v>
      </c>
      <c r="C112" s="30" t="str">
        <f t="shared" si="22"/>
        <v xml:space="preserve">England – CCGs - South West London </v>
      </c>
      <c r="D112" s="50">
        <f t="shared" si="23"/>
        <v>558793</v>
      </c>
      <c r="E112" s="50">
        <f t="shared" si="24"/>
        <v>624396</v>
      </c>
      <c r="F112" s="51">
        <f t="shared" si="25"/>
        <v>1509217</v>
      </c>
      <c r="G112" s="51">
        <f t="shared" si="26"/>
        <v>725443</v>
      </c>
      <c r="H112" s="52">
        <f t="shared" si="27"/>
        <v>783774</v>
      </c>
      <c r="I112" s="52">
        <f t="shared" si="28"/>
        <v>558793</v>
      </c>
      <c r="J112" s="52">
        <f t="shared" si="29"/>
        <v>624396</v>
      </c>
      <c r="K112" s="49">
        <f t="shared" si="30"/>
        <v>166650</v>
      </c>
      <c r="L112" s="50">
        <f t="shared" si="3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c r="A113" s="86" t="s">
        <v>83</v>
      </c>
      <c r="B113" s="541" t="s">
        <v>186</v>
      </c>
      <c r="C113" s="30" t="str">
        <f t="shared" si="22"/>
        <v xml:space="preserve">England – CCGs - Southend </v>
      </c>
      <c r="D113" s="50">
        <f t="shared" si="23"/>
        <v>68646</v>
      </c>
      <c r="E113" s="50">
        <f t="shared" si="24"/>
        <v>73948</v>
      </c>
      <c r="F113" s="51">
        <f t="shared" si="25"/>
        <v>180915</v>
      </c>
      <c r="G113" s="51">
        <f t="shared" si="26"/>
        <v>88198</v>
      </c>
      <c r="H113" s="52">
        <f t="shared" si="27"/>
        <v>92717</v>
      </c>
      <c r="I113" s="52">
        <f t="shared" si="28"/>
        <v>68646</v>
      </c>
      <c r="J113" s="52">
        <f t="shared" si="29"/>
        <v>73948</v>
      </c>
      <c r="K113" s="49">
        <f t="shared" si="30"/>
        <v>19552</v>
      </c>
      <c r="L113" s="50">
        <f t="shared" si="3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c r="A114" s="86" t="s">
        <v>83</v>
      </c>
      <c r="B114" s="541" t="s">
        <v>187</v>
      </c>
      <c r="C114" s="30" t="str">
        <f t="shared" si="22"/>
        <v xml:space="preserve">England – CCGs - Southport and Formby </v>
      </c>
      <c r="D114" s="50">
        <f t="shared" si="23"/>
        <v>46142</v>
      </c>
      <c r="E114" s="50">
        <f t="shared" si="24"/>
        <v>50191</v>
      </c>
      <c r="F114" s="51">
        <f t="shared" si="25"/>
        <v>117259</v>
      </c>
      <c r="G114" s="51">
        <f t="shared" si="26"/>
        <v>56893</v>
      </c>
      <c r="H114" s="52">
        <f t="shared" si="27"/>
        <v>60366</v>
      </c>
      <c r="I114" s="52">
        <f t="shared" si="28"/>
        <v>46142</v>
      </c>
      <c r="J114" s="52">
        <f t="shared" si="29"/>
        <v>50191</v>
      </c>
      <c r="K114" s="49">
        <f t="shared" si="30"/>
        <v>10751</v>
      </c>
      <c r="L114" s="50">
        <f t="shared" si="3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c r="A115" s="86" t="s">
        <v>83</v>
      </c>
      <c r="B115" s="541" t="s">
        <v>188</v>
      </c>
      <c r="C115" s="30" t="str">
        <f t="shared" si="22"/>
        <v xml:space="preserve">England – CCGs - St Helens </v>
      </c>
      <c r="D115" s="50">
        <f t="shared" si="23"/>
        <v>71708</v>
      </c>
      <c r="E115" s="50">
        <f t="shared" si="24"/>
        <v>76120</v>
      </c>
      <c r="F115" s="51">
        <f t="shared" si="25"/>
        <v>184728</v>
      </c>
      <c r="G115" s="51">
        <f t="shared" si="26"/>
        <v>90663</v>
      </c>
      <c r="H115" s="52">
        <f t="shared" si="27"/>
        <v>94065</v>
      </c>
      <c r="I115" s="52">
        <f t="shared" si="28"/>
        <v>71708</v>
      </c>
      <c r="J115" s="52">
        <f t="shared" si="29"/>
        <v>76120</v>
      </c>
      <c r="K115" s="49">
        <f t="shared" si="30"/>
        <v>18955</v>
      </c>
      <c r="L115" s="50">
        <f t="shared" si="3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c r="A116" s="86" t="s">
        <v>83</v>
      </c>
      <c r="B116" s="541" t="s">
        <v>189</v>
      </c>
      <c r="C116" s="30" t="str">
        <f t="shared" si="22"/>
        <v xml:space="preserve">England – CCGs - Stafford and Surrounds </v>
      </c>
      <c r="D116" s="50">
        <f t="shared" si="23"/>
        <v>63125</v>
      </c>
      <c r="E116" s="50">
        <f t="shared" si="24"/>
        <v>66058</v>
      </c>
      <c r="F116" s="51">
        <f t="shared" si="25"/>
        <v>159235</v>
      </c>
      <c r="G116" s="51">
        <f t="shared" si="26"/>
        <v>78425</v>
      </c>
      <c r="H116" s="52">
        <f t="shared" si="27"/>
        <v>80810</v>
      </c>
      <c r="I116" s="52">
        <f t="shared" si="28"/>
        <v>63125</v>
      </c>
      <c r="J116" s="52">
        <f t="shared" si="29"/>
        <v>66058</v>
      </c>
      <c r="K116" s="49">
        <f t="shared" si="30"/>
        <v>15300</v>
      </c>
      <c r="L116" s="50">
        <f t="shared" si="3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c r="A117" s="86" t="s">
        <v>83</v>
      </c>
      <c r="B117" s="541" t="s">
        <v>190</v>
      </c>
      <c r="C117" s="30" t="str">
        <f t="shared" si="22"/>
        <v xml:space="preserve">England – CCGs - Stockport </v>
      </c>
      <c r="D117" s="50">
        <f t="shared" si="23"/>
        <v>112123</v>
      </c>
      <c r="E117" s="50">
        <f t="shared" si="24"/>
        <v>121529</v>
      </c>
      <c r="F117" s="51">
        <f t="shared" si="25"/>
        <v>297107</v>
      </c>
      <c r="G117" s="51">
        <f t="shared" si="26"/>
        <v>144724</v>
      </c>
      <c r="H117" s="52">
        <f t="shared" si="27"/>
        <v>152383</v>
      </c>
      <c r="I117" s="52">
        <f t="shared" si="28"/>
        <v>112123</v>
      </c>
      <c r="J117" s="52">
        <f t="shared" si="29"/>
        <v>121529</v>
      </c>
      <c r="K117" s="49">
        <f t="shared" si="30"/>
        <v>32601</v>
      </c>
      <c r="L117" s="50">
        <f t="shared" si="3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c r="A118" s="86" t="s">
        <v>83</v>
      </c>
      <c r="B118" s="541" t="s">
        <v>191</v>
      </c>
      <c r="C118" s="30" t="str">
        <f t="shared" si="22"/>
        <v xml:space="preserve">England – CCGs - Stoke on Trent </v>
      </c>
      <c r="D118" s="50">
        <f t="shared" si="23"/>
        <v>102841</v>
      </c>
      <c r="E118" s="50">
        <f t="shared" si="24"/>
        <v>104656</v>
      </c>
      <c r="F118" s="51">
        <f t="shared" si="25"/>
        <v>268013</v>
      </c>
      <c r="G118" s="51">
        <f t="shared" si="26"/>
        <v>133508</v>
      </c>
      <c r="H118" s="52">
        <f t="shared" si="27"/>
        <v>134505</v>
      </c>
      <c r="I118" s="52">
        <f t="shared" si="28"/>
        <v>102841</v>
      </c>
      <c r="J118" s="52">
        <f t="shared" si="29"/>
        <v>104656</v>
      </c>
      <c r="K118" s="49">
        <f t="shared" si="30"/>
        <v>30667</v>
      </c>
      <c r="L118" s="50">
        <f t="shared" si="3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c r="A119" s="86" t="s">
        <v>83</v>
      </c>
      <c r="B119" s="541" t="s">
        <v>192</v>
      </c>
      <c r="C119" s="30" t="str">
        <f t="shared" si="22"/>
        <v xml:space="preserve">England – CCGs - Sunderland </v>
      </c>
      <c r="D119" s="50">
        <f t="shared" si="23"/>
        <v>106856</v>
      </c>
      <c r="E119" s="50">
        <f t="shared" si="24"/>
        <v>115417</v>
      </c>
      <c r="F119" s="51">
        <f t="shared" si="25"/>
        <v>277354</v>
      </c>
      <c r="G119" s="51">
        <f t="shared" si="26"/>
        <v>135038</v>
      </c>
      <c r="H119" s="52">
        <f t="shared" si="27"/>
        <v>142316</v>
      </c>
      <c r="I119" s="52">
        <f t="shared" si="28"/>
        <v>106856</v>
      </c>
      <c r="J119" s="52">
        <f t="shared" si="29"/>
        <v>115417</v>
      </c>
      <c r="K119" s="49">
        <f t="shared" si="30"/>
        <v>28182</v>
      </c>
      <c r="L119" s="50">
        <f t="shared" si="3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c r="A120" s="86" t="s">
        <v>83</v>
      </c>
      <c r="B120" s="541" t="s">
        <v>193</v>
      </c>
      <c r="C120" s="30" t="str">
        <f t="shared" si="22"/>
        <v xml:space="preserve">England – CCGs - Surrey Heartlands </v>
      </c>
      <c r="D120" s="50">
        <f t="shared" si="23"/>
        <v>401515</v>
      </c>
      <c r="E120" s="50">
        <f t="shared" si="24"/>
        <v>431954</v>
      </c>
      <c r="F120" s="51">
        <f t="shared" si="25"/>
        <v>1065363</v>
      </c>
      <c r="G120" s="51">
        <f t="shared" si="26"/>
        <v>519878</v>
      </c>
      <c r="H120" s="52">
        <f t="shared" si="27"/>
        <v>545485</v>
      </c>
      <c r="I120" s="52">
        <f t="shared" si="28"/>
        <v>401515</v>
      </c>
      <c r="J120" s="52">
        <f t="shared" si="29"/>
        <v>431954</v>
      </c>
      <c r="K120" s="49">
        <f t="shared" si="30"/>
        <v>118363</v>
      </c>
      <c r="L120" s="50">
        <f t="shared" si="3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c r="A121" s="86" t="s">
        <v>83</v>
      </c>
      <c r="B121" s="541" t="s">
        <v>194</v>
      </c>
      <c r="C121" s="30" t="str">
        <f t="shared" si="22"/>
        <v xml:space="preserve">England – CCGs - Tameside and Glossop </v>
      </c>
      <c r="D121" s="50">
        <f t="shared" si="23"/>
        <v>100701</v>
      </c>
      <c r="E121" s="50">
        <f t="shared" si="24"/>
        <v>107305</v>
      </c>
      <c r="F121" s="51">
        <f t="shared" si="25"/>
        <v>266216</v>
      </c>
      <c r="G121" s="51">
        <f t="shared" si="26"/>
        <v>130586</v>
      </c>
      <c r="H121" s="52">
        <f t="shared" si="27"/>
        <v>135630</v>
      </c>
      <c r="I121" s="52">
        <f t="shared" si="28"/>
        <v>100701</v>
      </c>
      <c r="J121" s="52">
        <f t="shared" si="29"/>
        <v>107305</v>
      </c>
      <c r="K121" s="49">
        <f t="shared" si="30"/>
        <v>29885</v>
      </c>
      <c r="L121" s="50">
        <f t="shared" si="3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c r="A122" s="86" t="s">
        <v>83</v>
      </c>
      <c r="B122" s="541" t="s">
        <v>195</v>
      </c>
      <c r="C122" s="30" t="str">
        <f t="shared" si="22"/>
        <v xml:space="preserve">England – CCGs - Tees Valley </v>
      </c>
      <c r="D122" s="50">
        <f t="shared" si="23"/>
        <v>262723</v>
      </c>
      <c r="E122" s="50">
        <f t="shared" si="24"/>
        <v>278313</v>
      </c>
      <c r="F122" s="51">
        <f t="shared" si="25"/>
        <v>688756</v>
      </c>
      <c r="G122" s="51">
        <f t="shared" si="26"/>
        <v>338264</v>
      </c>
      <c r="H122" s="52">
        <f t="shared" si="27"/>
        <v>350492</v>
      </c>
      <c r="I122" s="52">
        <f t="shared" si="28"/>
        <v>262723</v>
      </c>
      <c r="J122" s="52">
        <f t="shared" si="29"/>
        <v>278313</v>
      </c>
      <c r="K122" s="49">
        <f t="shared" si="30"/>
        <v>75541</v>
      </c>
      <c r="L122" s="50">
        <f t="shared" si="3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c r="A123" s="86" t="s">
        <v>83</v>
      </c>
      <c r="B123" s="541" t="s">
        <v>196</v>
      </c>
      <c r="C123" s="30" t="str">
        <f t="shared" si="22"/>
        <v xml:space="preserve">England – CCGs - Thurrock </v>
      </c>
      <c r="D123" s="50">
        <f t="shared" si="23"/>
        <v>63582</v>
      </c>
      <c r="E123" s="50">
        <f t="shared" si="24"/>
        <v>68415</v>
      </c>
      <c r="F123" s="51">
        <f t="shared" si="25"/>
        <v>176877</v>
      </c>
      <c r="G123" s="51">
        <f t="shared" si="26"/>
        <v>86665</v>
      </c>
      <c r="H123" s="52">
        <f t="shared" si="27"/>
        <v>90212</v>
      </c>
      <c r="I123" s="52">
        <f t="shared" si="28"/>
        <v>63582</v>
      </c>
      <c r="J123" s="52">
        <f t="shared" si="29"/>
        <v>68415</v>
      </c>
      <c r="K123" s="49">
        <f t="shared" si="30"/>
        <v>23083</v>
      </c>
      <c r="L123" s="50">
        <f t="shared" si="3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c r="A124" s="86" t="s">
        <v>83</v>
      </c>
      <c r="B124" s="541" t="s">
        <v>197</v>
      </c>
      <c r="C124" s="30" t="str">
        <f t="shared" si="22"/>
        <v xml:space="preserve">England – CCGs - Trafford </v>
      </c>
      <c r="D124" s="50">
        <f t="shared" si="23"/>
        <v>86869</v>
      </c>
      <c r="E124" s="50">
        <f t="shared" si="24"/>
        <v>94098</v>
      </c>
      <c r="F124" s="51">
        <f t="shared" si="25"/>
        <v>236301</v>
      </c>
      <c r="G124" s="51">
        <f t="shared" si="26"/>
        <v>115249</v>
      </c>
      <c r="H124" s="52">
        <f t="shared" si="27"/>
        <v>121052</v>
      </c>
      <c r="I124" s="52">
        <f t="shared" si="28"/>
        <v>86869</v>
      </c>
      <c r="J124" s="52">
        <f t="shared" si="29"/>
        <v>94098</v>
      </c>
      <c r="K124" s="49">
        <f t="shared" si="30"/>
        <v>28380</v>
      </c>
      <c r="L124" s="50">
        <f t="shared" si="3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c r="A125" s="86" t="s">
        <v>83</v>
      </c>
      <c r="B125" s="541" t="s">
        <v>198</v>
      </c>
      <c r="C125" s="30" t="str">
        <f t="shared" si="22"/>
        <v xml:space="preserve">England – CCGs - Vale of York </v>
      </c>
      <c r="D125" s="50">
        <f t="shared" ref="D125:D134" si="32">I125</f>
        <v>143110</v>
      </c>
      <c r="E125" s="50">
        <f t="shared" ref="E125:E134" si="33">J125</f>
        <v>156416</v>
      </c>
      <c r="F125" s="51">
        <f t="shared" si="25"/>
        <v>364606</v>
      </c>
      <c r="G125" s="51">
        <f t="shared" si="26"/>
        <v>176409</v>
      </c>
      <c r="H125" s="52">
        <f t="shared" si="27"/>
        <v>188197</v>
      </c>
      <c r="I125" s="52">
        <f t="shared" si="28"/>
        <v>143110</v>
      </c>
      <c r="J125" s="52">
        <f t="shared" si="29"/>
        <v>156416</v>
      </c>
      <c r="K125" s="49">
        <f t="shared" si="30"/>
        <v>33299</v>
      </c>
      <c r="L125" s="50">
        <f t="shared" si="3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c r="A126" s="86" t="s">
        <v>83</v>
      </c>
      <c r="B126" s="541" t="s">
        <v>199</v>
      </c>
      <c r="C126" s="30" t="str">
        <f t="shared" si="22"/>
        <v xml:space="preserve">England – CCGs - Wakefield </v>
      </c>
      <c r="D126" s="50">
        <f t="shared" si="32"/>
        <v>137621</v>
      </c>
      <c r="E126" s="50">
        <f t="shared" si="33"/>
        <v>145330</v>
      </c>
      <c r="F126" s="51">
        <f t="shared" si="25"/>
        <v>357729</v>
      </c>
      <c r="G126" s="51">
        <f t="shared" si="26"/>
        <v>176034</v>
      </c>
      <c r="H126" s="52">
        <f t="shared" si="27"/>
        <v>181695</v>
      </c>
      <c r="I126" s="52">
        <f t="shared" si="28"/>
        <v>137621</v>
      </c>
      <c r="J126" s="52">
        <f t="shared" si="29"/>
        <v>145330</v>
      </c>
      <c r="K126" s="49">
        <f t="shared" si="30"/>
        <v>38413</v>
      </c>
      <c r="L126" s="50">
        <f t="shared" si="3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c r="A127" s="86" t="s">
        <v>83</v>
      </c>
      <c r="B127" s="541" t="s">
        <v>200</v>
      </c>
      <c r="C127" s="30" t="str">
        <f t="shared" si="22"/>
        <v xml:space="preserve">England – CCGs - Warrington </v>
      </c>
      <c r="D127" s="50">
        <f t="shared" si="32"/>
        <v>82284</v>
      </c>
      <c r="E127" s="50">
        <f t="shared" si="33"/>
        <v>85828</v>
      </c>
      <c r="F127" s="51">
        <f t="shared" si="25"/>
        <v>211580</v>
      </c>
      <c r="G127" s="51">
        <f t="shared" si="26"/>
        <v>104613</v>
      </c>
      <c r="H127" s="52">
        <f t="shared" si="27"/>
        <v>106967</v>
      </c>
      <c r="I127" s="52">
        <f t="shared" si="28"/>
        <v>82284</v>
      </c>
      <c r="J127" s="52">
        <f t="shared" si="29"/>
        <v>85828</v>
      </c>
      <c r="K127" s="49">
        <f t="shared" si="30"/>
        <v>22329</v>
      </c>
      <c r="L127" s="50">
        <f t="shared" si="3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c r="A128" s="86" t="s">
        <v>83</v>
      </c>
      <c r="B128" s="541" t="s">
        <v>201</v>
      </c>
      <c r="C128" s="30" t="str">
        <f t="shared" si="22"/>
        <v xml:space="preserve">England – CCGs - West Essex </v>
      </c>
      <c r="D128" s="50">
        <f t="shared" si="32"/>
        <v>120034</v>
      </c>
      <c r="E128" s="50">
        <f t="shared" si="33"/>
        <v>130657</v>
      </c>
      <c r="F128" s="51">
        <f t="shared" si="25"/>
        <v>321976</v>
      </c>
      <c r="G128" s="51">
        <f t="shared" si="26"/>
        <v>156557</v>
      </c>
      <c r="H128" s="52">
        <f t="shared" si="27"/>
        <v>165419</v>
      </c>
      <c r="I128" s="52">
        <f t="shared" si="28"/>
        <v>120034</v>
      </c>
      <c r="J128" s="52">
        <f t="shared" si="29"/>
        <v>130657</v>
      </c>
      <c r="K128" s="49">
        <f t="shared" si="30"/>
        <v>36523</v>
      </c>
      <c r="L128" s="50">
        <f t="shared" si="3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c r="A129" s="86" t="s">
        <v>83</v>
      </c>
      <c r="B129" s="541" t="s">
        <v>202</v>
      </c>
      <c r="C129" s="30" t="str">
        <f t="shared" si="22"/>
        <v xml:space="preserve">England – CCGs - West Lancashire </v>
      </c>
      <c r="D129" s="50">
        <f t="shared" si="32"/>
        <v>45960</v>
      </c>
      <c r="E129" s="50">
        <f t="shared" si="33"/>
        <v>51265</v>
      </c>
      <c r="F129" s="51">
        <f t="shared" si="25"/>
        <v>119367</v>
      </c>
      <c r="G129" s="51">
        <f t="shared" si="26"/>
        <v>57283</v>
      </c>
      <c r="H129" s="52">
        <f t="shared" si="27"/>
        <v>62084</v>
      </c>
      <c r="I129" s="52">
        <f t="shared" si="28"/>
        <v>45960</v>
      </c>
      <c r="J129" s="52">
        <f t="shared" si="29"/>
        <v>51265</v>
      </c>
      <c r="K129" s="49">
        <f t="shared" si="30"/>
        <v>11323</v>
      </c>
      <c r="L129" s="50">
        <f t="shared" si="3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c r="A130" s="86" t="s">
        <v>83</v>
      </c>
      <c r="B130" s="541" t="s">
        <v>203</v>
      </c>
      <c r="C130" s="30" t="str">
        <f t="shared" si="22"/>
        <v xml:space="preserve">England – CCGs - West Leicestershire </v>
      </c>
      <c r="D130" s="50">
        <f t="shared" si="32"/>
        <v>163839</v>
      </c>
      <c r="E130" s="50">
        <f t="shared" si="33"/>
        <v>168979</v>
      </c>
      <c r="F130" s="51">
        <f t="shared" si="25"/>
        <v>412977</v>
      </c>
      <c r="G130" s="51">
        <f t="shared" si="26"/>
        <v>205194</v>
      </c>
      <c r="H130" s="52">
        <f t="shared" si="27"/>
        <v>207783</v>
      </c>
      <c r="I130" s="52">
        <f t="shared" si="28"/>
        <v>163839</v>
      </c>
      <c r="J130" s="52">
        <f t="shared" si="29"/>
        <v>168979</v>
      </c>
      <c r="K130" s="49">
        <f t="shared" si="30"/>
        <v>41355</v>
      </c>
      <c r="L130" s="50">
        <f t="shared" si="3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c r="A131" s="86" t="s">
        <v>83</v>
      </c>
      <c r="B131" s="541" t="s">
        <v>204</v>
      </c>
      <c r="C131" s="30" t="str">
        <f t="shared" si="22"/>
        <v xml:space="preserve">England – CCGs - West Suffolk </v>
      </c>
      <c r="D131" s="50">
        <f t="shared" si="32"/>
        <v>93865</v>
      </c>
      <c r="E131" s="50">
        <f t="shared" si="33"/>
        <v>97308</v>
      </c>
      <c r="F131" s="51">
        <f t="shared" si="25"/>
        <v>237473</v>
      </c>
      <c r="G131" s="51">
        <f t="shared" si="26"/>
        <v>117832</v>
      </c>
      <c r="H131" s="52">
        <f t="shared" si="27"/>
        <v>119641</v>
      </c>
      <c r="I131" s="52">
        <f t="shared" si="28"/>
        <v>93865</v>
      </c>
      <c r="J131" s="52">
        <f t="shared" si="29"/>
        <v>97308</v>
      </c>
      <c r="K131" s="49">
        <f t="shared" si="30"/>
        <v>23967</v>
      </c>
      <c r="L131" s="50">
        <f t="shared" si="3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c r="A132" s="86" t="s">
        <v>83</v>
      </c>
      <c r="B132" s="541" t="s">
        <v>205</v>
      </c>
      <c r="C132" s="30" t="str">
        <f t="shared" si="22"/>
        <v xml:space="preserve">England – CCGs - West Sussex </v>
      </c>
      <c r="D132" s="50">
        <f t="shared" si="32"/>
        <v>339620</v>
      </c>
      <c r="E132" s="50">
        <f t="shared" si="33"/>
        <v>370138</v>
      </c>
      <c r="F132" s="51">
        <f t="shared" si="25"/>
        <v>885492</v>
      </c>
      <c r="G132" s="51">
        <f t="shared" si="26"/>
        <v>429875</v>
      </c>
      <c r="H132" s="52">
        <f t="shared" si="27"/>
        <v>455617</v>
      </c>
      <c r="I132" s="52">
        <f t="shared" si="28"/>
        <v>339620</v>
      </c>
      <c r="J132" s="52">
        <f t="shared" si="29"/>
        <v>370138</v>
      </c>
      <c r="K132" s="49">
        <f t="shared" si="30"/>
        <v>90255</v>
      </c>
      <c r="L132" s="50">
        <f t="shared" si="3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c r="A133" s="86" t="s">
        <v>83</v>
      </c>
      <c r="B133" s="541" t="s">
        <v>206</v>
      </c>
      <c r="C133" s="30" t="str">
        <f t="shared" si="22"/>
        <v xml:space="preserve">England – CCGs - Wigan Borough </v>
      </c>
      <c r="D133" s="50">
        <f t="shared" si="32"/>
        <v>129821</v>
      </c>
      <c r="E133" s="50">
        <f t="shared" si="33"/>
        <v>134943</v>
      </c>
      <c r="F133" s="51">
        <f t="shared" si="25"/>
        <v>334110</v>
      </c>
      <c r="G133" s="51">
        <f t="shared" si="26"/>
        <v>165612</v>
      </c>
      <c r="H133" s="52">
        <f t="shared" si="27"/>
        <v>168498</v>
      </c>
      <c r="I133" s="52">
        <f t="shared" si="28"/>
        <v>129821</v>
      </c>
      <c r="J133" s="52">
        <f t="shared" si="29"/>
        <v>134943</v>
      </c>
      <c r="K133" s="49">
        <f t="shared" si="30"/>
        <v>35791</v>
      </c>
      <c r="L133" s="50">
        <f t="shared" si="3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c r="A134" s="86" t="s">
        <v>83</v>
      </c>
      <c r="B134" s="541" t="s">
        <v>207</v>
      </c>
      <c r="C134" s="30" t="str">
        <f t="shared" si="22"/>
        <v xml:space="preserve">England – CCGs - Wirral </v>
      </c>
      <c r="D134" s="50">
        <f t="shared" si="32"/>
        <v>122282</v>
      </c>
      <c r="E134" s="50">
        <f t="shared" si="33"/>
        <v>134481</v>
      </c>
      <c r="F134" s="51">
        <f t="shared" si="25"/>
        <v>322453</v>
      </c>
      <c r="G134" s="51">
        <f t="shared" si="26"/>
        <v>156079</v>
      </c>
      <c r="H134" s="52">
        <f t="shared" si="27"/>
        <v>166374</v>
      </c>
      <c r="I134" s="52">
        <f t="shared" si="28"/>
        <v>122282</v>
      </c>
      <c r="J134" s="52">
        <f t="shared" si="29"/>
        <v>134481</v>
      </c>
      <c r="K134" s="49">
        <f t="shared" si="30"/>
        <v>33797</v>
      </c>
      <c r="L134" s="50">
        <f t="shared" si="3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5" customFormat="1" ht="15">
      <c r="A135" s="112"/>
      <c r="B135" s="542"/>
      <c r="C135" s="112"/>
      <c r="D135" s="114">
        <f t="shared" ref="D135:L135" si="34">SUM(D29:D134)</f>
        <v>21895402</v>
      </c>
      <c r="E135" s="135">
        <f t="shared" si="34"/>
        <v>23324090</v>
      </c>
      <c r="F135" s="114">
        <f t="shared" si="34"/>
        <v>57106398</v>
      </c>
      <c r="G135" s="135">
        <f t="shared" si="34"/>
        <v>27983290</v>
      </c>
      <c r="H135" s="135">
        <f t="shared" si="34"/>
        <v>29123108</v>
      </c>
      <c r="I135" s="135">
        <f t="shared" si="34"/>
        <v>21895402</v>
      </c>
      <c r="J135" s="135">
        <f t="shared" si="34"/>
        <v>23324090</v>
      </c>
      <c r="K135" s="135">
        <f t="shared" si="34"/>
        <v>6087888</v>
      </c>
      <c r="L135" s="135">
        <f t="shared" si="34"/>
        <v>5799018</v>
      </c>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3"/>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3"/>
    </row>
    <row r="136" spans="1:194" s="1" customFormat="1">
      <c r="A136" s="53" t="s">
        <v>62</v>
      </c>
      <c r="B136" s="543" t="s">
        <v>208</v>
      </c>
      <c r="C136" s="30" t="str">
        <f t="shared" ref="C136:C142" si="35">CONCATENATE(A136," - ",B136)</f>
        <v xml:space="preserve">Wales – Health Boards - Aneurin Bevan University Health Board </v>
      </c>
      <c r="D136" s="50">
        <f t="shared" ref="D136:E142" si="36">I136</f>
        <v>227112</v>
      </c>
      <c r="E136" s="50">
        <f t="shared" si="36"/>
        <v>242057</v>
      </c>
      <c r="F136" s="51">
        <f t="shared" ref="F136:F142" si="37">G136+H136</f>
        <v>591396</v>
      </c>
      <c r="G136" s="51">
        <f t="shared" ref="G136:G142" si="38">SUM(M136:CY136)</f>
        <v>289759</v>
      </c>
      <c r="H136" s="52">
        <f t="shared" ref="H136:H142" si="39">SUM(CZ136:GL136)</f>
        <v>301637</v>
      </c>
      <c r="I136" s="52">
        <f t="shared" ref="I136:I142" si="40">SUM(AE136:CY136)</f>
        <v>227112</v>
      </c>
      <c r="J136" s="52">
        <f t="shared" ref="J136:J142" si="41">SUM(DR136:GL136)</f>
        <v>242057</v>
      </c>
      <c r="K136" s="49">
        <f t="shared" ref="K136:K142" si="42">SUM(M136:AD136)</f>
        <v>62647</v>
      </c>
      <c r="L136" s="50">
        <f t="shared" ref="L136:L142" si="43">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c r="A137" s="53" t="s">
        <v>62</v>
      </c>
      <c r="B137" s="544" t="s">
        <v>209</v>
      </c>
      <c r="C137" s="30" t="str">
        <f t="shared" si="35"/>
        <v xml:space="preserve">Wales – Health Boards - Betsi Cadwaladr University Health Board </v>
      </c>
      <c r="D137" s="50">
        <f t="shared" si="36"/>
        <v>268446</v>
      </c>
      <c r="E137" s="50">
        <f t="shared" si="36"/>
        <v>286121</v>
      </c>
      <c r="F137" s="51">
        <f t="shared" si="37"/>
        <v>688201</v>
      </c>
      <c r="G137" s="51">
        <f t="shared" si="38"/>
        <v>337029</v>
      </c>
      <c r="H137" s="52">
        <f t="shared" si="39"/>
        <v>351172</v>
      </c>
      <c r="I137" s="52">
        <f t="shared" si="40"/>
        <v>268446</v>
      </c>
      <c r="J137" s="52">
        <f t="shared" si="41"/>
        <v>286121</v>
      </c>
      <c r="K137" s="49">
        <f t="shared" si="42"/>
        <v>68583</v>
      </c>
      <c r="L137" s="50">
        <f t="shared" si="43"/>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c r="A138" s="53" t="s">
        <v>62</v>
      </c>
      <c r="B138" s="544" t="s">
        <v>210</v>
      </c>
      <c r="C138" s="30" t="str">
        <f t="shared" si="35"/>
        <v xml:space="preserve">Wales – Health Boards - Cardiff and Vale University Health Board </v>
      </c>
      <c r="D138" s="50">
        <f t="shared" si="36"/>
        <v>194209</v>
      </c>
      <c r="E138" s="50">
        <f t="shared" si="36"/>
        <v>208417</v>
      </c>
      <c r="F138" s="51">
        <f t="shared" si="37"/>
        <v>505581</v>
      </c>
      <c r="G138" s="51">
        <f t="shared" si="38"/>
        <v>246725</v>
      </c>
      <c r="H138" s="52">
        <f t="shared" si="39"/>
        <v>258856</v>
      </c>
      <c r="I138" s="52">
        <f t="shared" si="40"/>
        <v>194209</v>
      </c>
      <c r="J138" s="52">
        <f t="shared" si="41"/>
        <v>208417</v>
      </c>
      <c r="K138" s="49">
        <f t="shared" si="42"/>
        <v>52516</v>
      </c>
      <c r="L138" s="50">
        <f t="shared" si="43"/>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c r="A139" s="53" t="s">
        <v>62</v>
      </c>
      <c r="B139" s="544" t="s">
        <v>211</v>
      </c>
      <c r="C139" s="30" t="str">
        <f t="shared" si="35"/>
        <v xml:space="preserve">Wales – Health Boards - Cwm Taf Morgannwg University Health Board </v>
      </c>
      <c r="D139" s="50">
        <f t="shared" si="36"/>
        <v>171617</v>
      </c>
      <c r="E139" s="50">
        <f t="shared" si="36"/>
        <v>181544</v>
      </c>
      <c r="F139" s="51">
        <f t="shared" si="37"/>
        <v>444037</v>
      </c>
      <c r="G139" s="51">
        <f t="shared" si="38"/>
        <v>218245</v>
      </c>
      <c r="H139" s="52">
        <f t="shared" si="39"/>
        <v>225792</v>
      </c>
      <c r="I139" s="52">
        <f t="shared" si="40"/>
        <v>171617</v>
      </c>
      <c r="J139" s="52">
        <f t="shared" si="41"/>
        <v>181544</v>
      </c>
      <c r="K139" s="49">
        <f t="shared" si="42"/>
        <v>46628</v>
      </c>
      <c r="L139" s="50">
        <f t="shared" si="43"/>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c r="A140" s="53" t="s">
        <v>62</v>
      </c>
      <c r="B140" s="544" t="s">
        <v>212</v>
      </c>
      <c r="C140" s="30" t="str">
        <f t="shared" si="35"/>
        <v xml:space="preserve">Wales – Health Boards - Hywel Dda University Health Board </v>
      </c>
      <c r="D140" s="50">
        <f t="shared" si="36"/>
        <v>151075</v>
      </c>
      <c r="E140" s="50">
        <f t="shared" si="36"/>
        <v>162263</v>
      </c>
      <c r="F140" s="51">
        <f t="shared" si="37"/>
        <v>385094</v>
      </c>
      <c r="G140" s="51">
        <f t="shared" si="38"/>
        <v>187853</v>
      </c>
      <c r="H140" s="52">
        <f t="shared" si="39"/>
        <v>197241</v>
      </c>
      <c r="I140" s="52">
        <f t="shared" si="40"/>
        <v>151075</v>
      </c>
      <c r="J140" s="52">
        <f t="shared" si="41"/>
        <v>162263</v>
      </c>
      <c r="K140" s="49">
        <f t="shared" si="42"/>
        <v>36778</v>
      </c>
      <c r="L140" s="50">
        <f t="shared" si="43"/>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c r="A141" s="53" t="s">
        <v>62</v>
      </c>
      <c r="B141" s="544" t="s">
        <v>213</v>
      </c>
      <c r="C141" s="30" t="str">
        <f t="shared" si="35"/>
        <v xml:space="preserve">Wales – Health Boards - Powys Teaching Health Board </v>
      </c>
      <c r="D141" s="50">
        <f t="shared" si="36"/>
        <v>53985</v>
      </c>
      <c r="E141" s="50">
        <f t="shared" si="36"/>
        <v>56355</v>
      </c>
      <c r="F141" s="51">
        <f t="shared" si="37"/>
        <v>133891</v>
      </c>
      <c r="G141" s="51">
        <f t="shared" si="38"/>
        <v>66153</v>
      </c>
      <c r="H141" s="52">
        <f t="shared" si="39"/>
        <v>67738</v>
      </c>
      <c r="I141" s="52">
        <f t="shared" si="40"/>
        <v>53985</v>
      </c>
      <c r="J141" s="52">
        <f t="shared" si="41"/>
        <v>56355</v>
      </c>
      <c r="K141" s="49">
        <f t="shared" si="42"/>
        <v>12168</v>
      </c>
      <c r="L141" s="50">
        <f t="shared" si="43"/>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c r="A142" s="54" t="s">
        <v>62</v>
      </c>
      <c r="B142" s="545" t="s">
        <v>214</v>
      </c>
      <c r="C142" s="43" t="str">
        <f t="shared" si="35"/>
        <v xml:space="preserve">Wales – Health Boards - Swansea Bay University Health Board </v>
      </c>
      <c r="D142" s="56">
        <f t="shared" si="36"/>
        <v>150610</v>
      </c>
      <c r="E142" s="56">
        <f t="shared" si="36"/>
        <v>158200</v>
      </c>
      <c r="F142" s="47">
        <f t="shared" si="37"/>
        <v>383440</v>
      </c>
      <c r="G142" s="47">
        <f t="shared" si="38"/>
        <v>189120</v>
      </c>
      <c r="H142" s="48">
        <f t="shared" si="39"/>
        <v>194320</v>
      </c>
      <c r="I142" s="48">
        <f t="shared" si="40"/>
        <v>150610</v>
      </c>
      <c r="J142" s="48">
        <f t="shared" si="41"/>
        <v>158200</v>
      </c>
      <c r="K142" s="55">
        <f t="shared" si="42"/>
        <v>38510</v>
      </c>
      <c r="L142" s="56">
        <f t="shared" si="43"/>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5" customFormat="1" ht="15">
      <c r="A143" s="116"/>
      <c r="B143" s="546"/>
      <c r="C143" s="116"/>
      <c r="D143" s="40">
        <f>SUM(D136:D142)</f>
        <v>1217054</v>
      </c>
      <c r="E143" s="40">
        <f t="shared" ref="E143:L143" si="44">SUM(E136:E142)</f>
        <v>1294957</v>
      </c>
      <c r="F143" s="40">
        <f t="shared" si="44"/>
        <v>3131640</v>
      </c>
      <c r="G143" s="40">
        <f t="shared" si="44"/>
        <v>1534884</v>
      </c>
      <c r="H143" s="40">
        <f t="shared" si="44"/>
        <v>1596756</v>
      </c>
      <c r="I143" s="40">
        <f t="shared" si="44"/>
        <v>1217054</v>
      </c>
      <c r="J143" s="40">
        <f t="shared" si="44"/>
        <v>1294957</v>
      </c>
      <c r="K143" s="40">
        <f t="shared" si="44"/>
        <v>317830</v>
      </c>
      <c r="L143" s="40">
        <f t="shared" si="44"/>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c r="A144" s="58" t="s">
        <v>65</v>
      </c>
      <c r="B144" s="543" t="s">
        <v>215</v>
      </c>
      <c r="C144" s="71" t="str">
        <f>CONCATENATE(A144," - ",B144)</f>
        <v>NI – Health and Social Care Trusts - Belfast Health and Social Care Trust</v>
      </c>
      <c r="D144" s="60">
        <f t="shared" ref="D144:E148" si="45">I144</f>
        <v>138553.97738288154</v>
      </c>
      <c r="E144" s="60">
        <f t="shared" si="45"/>
        <v>149546.65719477332</v>
      </c>
      <c r="F144" s="501">
        <f>G144+H144</f>
        <v>364103.61922965694</v>
      </c>
      <c r="G144" s="501">
        <f>SUM(M144:CY144)</f>
        <v>177508.17393508262</v>
      </c>
      <c r="H144" s="61">
        <f>SUM(CZ144:GL144)</f>
        <v>186595.44529457431</v>
      </c>
      <c r="I144" s="61">
        <f>SUM(AE144:CY144)</f>
        <v>138553.97738288154</v>
      </c>
      <c r="J144" s="61">
        <f>SUM(DR144:GL144)</f>
        <v>149546.65719477332</v>
      </c>
      <c r="K144" s="502">
        <f>SUM(M144:AD144)</f>
        <v>38954.196552201036</v>
      </c>
      <c r="L144" s="60">
        <f>SUM(CZ144:DQ144)</f>
        <v>37048.788099800979</v>
      </c>
      <c r="M144" s="502">
        <v>2017.8952120383037</v>
      </c>
      <c r="N144" s="502">
        <v>2031.4154300095463</v>
      </c>
      <c r="O144" s="502">
        <v>2025.5722779004586</v>
      </c>
      <c r="P144" s="502">
        <v>2036.6363244919048</v>
      </c>
      <c r="Q144" s="502">
        <v>2174.8657606103957</v>
      </c>
      <c r="R144" s="502">
        <v>2139.1275684252282</v>
      </c>
      <c r="S144" s="502">
        <v>2269.8788621098379</v>
      </c>
      <c r="T144" s="502">
        <v>2199.8731034482757</v>
      </c>
      <c r="U144" s="502">
        <v>2214.1918960244648</v>
      </c>
      <c r="V144" s="502">
        <v>2323.0202012443356</v>
      </c>
      <c r="W144" s="502">
        <v>2319.2258355916892</v>
      </c>
      <c r="X144" s="502">
        <v>2302.9974595842955</v>
      </c>
      <c r="Y144" s="502">
        <v>2256.5049293083684</v>
      </c>
      <c r="Z144" s="502">
        <v>2212.0418107754977</v>
      </c>
      <c r="AA144" s="502">
        <v>2229.1199141767324</v>
      </c>
      <c r="AB144" s="502">
        <v>2134.8894582108355</v>
      </c>
      <c r="AC144" s="502">
        <v>2012.6591474539725</v>
      </c>
      <c r="AD144" s="502">
        <v>2054.2813607968933</v>
      </c>
      <c r="AE144" s="502">
        <v>2265.0450211864404</v>
      </c>
      <c r="AF144" s="502">
        <v>2804.7232134687529</v>
      </c>
      <c r="AG144" s="502">
        <v>2878.6458486407055</v>
      </c>
      <c r="AH144" s="502">
        <v>2648.2416475163518</v>
      </c>
      <c r="AI144" s="502">
        <v>2812.8031562871206</v>
      </c>
      <c r="AJ144" s="502">
        <v>2819.1729711141679</v>
      </c>
      <c r="AK144" s="502">
        <v>2731.7522704339053</v>
      </c>
      <c r="AL144" s="502">
        <v>2754.8174718956493</v>
      </c>
      <c r="AM144" s="502">
        <v>2792.2450211225105</v>
      </c>
      <c r="AN144" s="502">
        <v>2709.9772329246935</v>
      </c>
      <c r="AO144" s="502">
        <v>2693.0545391183132</v>
      </c>
      <c r="AP144" s="502">
        <v>2739.741847362131</v>
      </c>
      <c r="AQ144" s="502">
        <v>2738.9105892047796</v>
      </c>
      <c r="AR144" s="502">
        <v>2711.0666008067833</v>
      </c>
      <c r="AS144" s="502">
        <v>2782.8070289619263</v>
      </c>
      <c r="AT144" s="502">
        <v>2691.3420944220152</v>
      </c>
      <c r="AU144" s="502">
        <v>2575.2371291098634</v>
      </c>
      <c r="AV144" s="502">
        <v>2616.3572226656024</v>
      </c>
      <c r="AW144" s="502">
        <v>2585.9089460686691</v>
      </c>
      <c r="AX144" s="502">
        <v>2533.264568094025</v>
      </c>
      <c r="AY144" s="502">
        <v>2413.1614349775782</v>
      </c>
      <c r="AZ144" s="502">
        <v>2431.4496314496314</v>
      </c>
      <c r="BA144" s="502">
        <v>2293.8903732491299</v>
      </c>
      <c r="BB144" s="502">
        <v>2344.819097470061</v>
      </c>
      <c r="BC144" s="502">
        <v>2403.7633319021038</v>
      </c>
      <c r="BD144" s="502">
        <v>2239.8626248466794</v>
      </c>
      <c r="BE144" s="502">
        <v>2047.4737312365976</v>
      </c>
      <c r="BF144" s="502">
        <v>2052.8353243075835</v>
      </c>
      <c r="BG144" s="502">
        <v>1984.3233076189651</v>
      </c>
      <c r="BH144" s="502">
        <v>1967.3126347206103</v>
      </c>
      <c r="BI144" s="502">
        <v>1977.5348837209303</v>
      </c>
      <c r="BJ144" s="502">
        <v>2084.857469993683</v>
      </c>
      <c r="BK144" s="502">
        <v>2131.2999446158715</v>
      </c>
      <c r="BL144" s="502">
        <v>2143.6819436775263</v>
      </c>
      <c r="BM144" s="502">
        <v>2073.8563380281689</v>
      </c>
      <c r="BN144" s="502">
        <v>2300.7910402197972</v>
      </c>
      <c r="BO144" s="502">
        <v>2326.6164287385909</v>
      </c>
      <c r="BP144" s="502">
        <v>2307.9060786106033</v>
      </c>
      <c r="BQ144" s="502">
        <v>2344.6145362640732</v>
      </c>
      <c r="BR144" s="502">
        <v>2368.012116504854</v>
      </c>
      <c r="BS144" s="502">
        <v>2252.978437722139</v>
      </c>
      <c r="BT144" s="502">
        <v>2241.3179516972359</v>
      </c>
      <c r="BU144" s="502">
        <v>2297.6054466954502</v>
      </c>
      <c r="BV144" s="502">
        <v>2198.0522088353414</v>
      </c>
      <c r="BW144" s="502">
        <v>2021.5031326614003</v>
      </c>
      <c r="BX144" s="502">
        <v>2002.5265144540601</v>
      </c>
      <c r="BY144" s="502">
        <v>1890.3538506703198</v>
      </c>
      <c r="BZ144" s="502">
        <v>1822.7951142631994</v>
      </c>
      <c r="CA144" s="502">
        <v>1687.8206664564279</v>
      </c>
      <c r="CB144" s="502">
        <v>1588.8602704443015</v>
      </c>
      <c r="CC144" s="502">
        <v>1552.3684032476319</v>
      </c>
      <c r="CD144" s="502">
        <v>1527.1244533743056</v>
      </c>
      <c r="CE144" s="502">
        <v>1273.9034871433603</v>
      </c>
      <c r="CF144" s="502">
        <v>1290.2680573978055</v>
      </c>
      <c r="CG144" s="502">
        <v>1292.323121170439</v>
      </c>
      <c r="CH144" s="502">
        <v>1203.3575933400607</v>
      </c>
      <c r="CI144" s="502">
        <v>1137.5975561687032</v>
      </c>
      <c r="CJ144" s="502">
        <v>1181.2559576345984</v>
      </c>
      <c r="CK144" s="502">
        <v>1033.272138554217</v>
      </c>
      <c r="CL144" s="502">
        <v>966.99722735674675</v>
      </c>
      <c r="CM144" s="502">
        <v>986.02355350742448</v>
      </c>
      <c r="CN144" s="502">
        <v>974.00968523002427</v>
      </c>
      <c r="CO144" s="502">
        <v>796.9</v>
      </c>
      <c r="CP144" s="502">
        <v>696.19117288466236</v>
      </c>
      <c r="CQ144" s="502">
        <v>621.99595857539782</v>
      </c>
      <c r="CR144" s="502">
        <v>600.77992957746471</v>
      </c>
      <c r="CS144" s="502">
        <v>583.85111740635818</v>
      </c>
      <c r="CT144" s="502">
        <v>522.79582712369597</v>
      </c>
      <c r="CU144" s="502">
        <v>452.41860465116281</v>
      </c>
      <c r="CV144" s="502">
        <v>372.84571129707109</v>
      </c>
      <c r="CW144" s="502">
        <v>312.34061135371184</v>
      </c>
      <c r="CX144" s="502">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c r="A145" s="58" t="s">
        <v>65</v>
      </c>
      <c r="B145" s="544" t="s">
        <v>216</v>
      </c>
      <c r="C145" s="30" t="str">
        <f>CONCATENATE(A145," - ",B145)</f>
        <v>NI – Health and Social Care Trusts - Northern Health and Social Care Trust</v>
      </c>
      <c r="D145" s="50">
        <f t="shared" si="45"/>
        <v>181512.11865928606</v>
      </c>
      <c r="E145" s="50">
        <f t="shared" si="45"/>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c r="A146" s="58" t="s">
        <v>65</v>
      </c>
      <c r="B146" s="544" t="s">
        <v>217</v>
      </c>
      <c r="C146" s="30" t="str">
        <f>CONCATENATE(A146," - ",B146)</f>
        <v>NI – Health and Social Care Trusts - South Eastern Health and Social Care Trust</v>
      </c>
      <c r="D146" s="50">
        <f t="shared" si="45"/>
        <v>138403.58339795683</v>
      </c>
      <c r="E146" s="50">
        <f t="shared" si="45"/>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c r="A147" s="58" t="s">
        <v>65</v>
      </c>
      <c r="B147" s="544" t="s">
        <v>218</v>
      </c>
      <c r="C147" s="30" t="str">
        <f>CONCATENATE(A147," - ",B147)</f>
        <v>NI – Health and Social Care Trusts - Southern Health and Social Care Trust</v>
      </c>
      <c r="D147" s="50">
        <f t="shared" si="45"/>
        <v>144801.8678593364</v>
      </c>
      <c r="E147" s="50">
        <f t="shared" si="45"/>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c r="A148" s="62" t="s">
        <v>65</v>
      </c>
      <c r="B148" s="545" t="s">
        <v>219</v>
      </c>
      <c r="C148" s="43" t="str">
        <f>CONCATENATE(A148," - ",B148)</f>
        <v>NI – Health and Social Care Trusts - Western Health and Social Care Trust</v>
      </c>
      <c r="D148" s="56">
        <f t="shared" si="45"/>
        <v>113025.45270053911</v>
      </c>
      <c r="E148" s="56">
        <f t="shared" si="45"/>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5" customFormat="1" ht="15">
      <c r="A149" s="116"/>
      <c r="B149" s="546"/>
      <c r="C149" s="116"/>
      <c r="D149" s="40">
        <f>SUM(D144:D148)</f>
        <v>716297</v>
      </c>
      <c r="E149" s="40">
        <f t="shared" ref="E149:L149" si="46">SUM(E144:E148)</f>
        <v>757541.00000000012</v>
      </c>
      <c r="F149" s="40">
        <f t="shared" si="46"/>
        <v>1910543</v>
      </c>
      <c r="G149" s="40">
        <f t="shared" si="46"/>
        <v>939947</v>
      </c>
      <c r="H149" s="40">
        <f t="shared" si="46"/>
        <v>970596.00000000012</v>
      </c>
      <c r="I149" s="40">
        <f t="shared" si="46"/>
        <v>716297</v>
      </c>
      <c r="J149" s="40">
        <f t="shared" si="46"/>
        <v>757541.00000000012</v>
      </c>
      <c r="K149" s="40">
        <f t="shared" si="46"/>
        <v>223649.99999999997</v>
      </c>
      <c r="L149" s="40">
        <f t="shared" si="46"/>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c r="A150" s="72" t="s">
        <v>60</v>
      </c>
      <c r="B150" s="547" t="s">
        <v>220</v>
      </c>
      <c r="C150" s="71" t="str">
        <f>CONCATENATE(A150," - ",B150)</f>
        <v>NHSE regions - East of England</v>
      </c>
      <c r="D150" s="60">
        <f t="shared" ref="D150:E156" si="47">I150</f>
        <v>2447757</v>
      </c>
      <c r="E150" s="60">
        <f t="shared" si="47"/>
        <v>2602371</v>
      </c>
      <c r="F150" s="501">
        <f t="shared" ref="F150:F156" si="48">G150+H150</f>
        <v>6398497</v>
      </c>
      <c r="G150" s="501">
        <f t="shared" ref="G150:G156" si="49">SUM(M150:CY150)</f>
        <v>3138914</v>
      </c>
      <c r="H150" s="61">
        <f t="shared" ref="H150:H156" si="50">SUM(CZ150:GL150)</f>
        <v>3259583</v>
      </c>
      <c r="I150" s="61">
        <f t="shared" ref="I150:I156" si="51">SUM(AE150:CY150)</f>
        <v>2447757</v>
      </c>
      <c r="J150" s="61">
        <f t="shared" ref="J150:J156" si="52">SUM(DR150:GL150)</f>
        <v>2602371</v>
      </c>
      <c r="K150" s="502">
        <f t="shared" ref="K150:K156" si="53">SUM(M150:AD150)</f>
        <v>691157</v>
      </c>
      <c r="L150" s="60">
        <f t="shared" ref="L150:L156" si="54">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c r="A151" s="63" t="s">
        <v>60</v>
      </c>
      <c r="B151" s="547" t="s">
        <v>221</v>
      </c>
      <c r="C151" s="30" t="str">
        <f>CONCATENATE(A151," - ",B151)</f>
        <v>NHSE regions - London</v>
      </c>
      <c r="D151" s="50">
        <f t="shared" si="47"/>
        <v>3334222</v>
      </c>
      <c r="E151" s="50">
        <f t="shared" si="47"/>
        <v>3635096</v>
      </c>
      <c r="F151" s="51">
        <f t="shared" si="48"/>
        <v>8866180</v>
      </c>
      <c r="G151" s="51">
        <f t="shared" si="49"/>
        <v>4302616</v>
      </c>
      <c r="H151" s="52">
        <f t="shared" si="50"/>
        <v>4563564</v>
      </c>
      <c r="I151" s="52">
        <f t="shared" si="51"/>
        <v>3334222</v>
      </c>
      <c r="J151" s="52">
        <f t="shared" si="52"/>
        <v>3635096</v>
      </c>
      <c r="K151" s="49">
        <f t="shared" si="53"/>
        <v>968394</v>
      </c>
      <c r="L151" s="50">
        <f t="shared" si="54"/>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c r="A152" s="63" t="s">
        <v>60</v>
      </c>
      <c r="B152" s="547" t="s">
        <v>222</v>
      </c>
      <c r="C152" s="30" t="str">
        <f t="shared" ref="C152:C199" si="55">CONCATENATE(A152," - ",B152)</f>
        <v>NHSE regions - Midlands</v>
      </c>
      <c r="D152" s="50">
        <f t="shared" si="47"/>
        <v>4213518</v>
      </c>
      <c r="E152" s="50">
        <f t="shared" si="47"/>
        <v>4430007</v>
      </c>
      <c r="F152" s="51">
        <f t="shared" si="48"/>
        <v>10956592</v>
      </c>
      <c r="G152" s="51">
        <f t="shared" si="49"/>
        <v>5398034</v>
      </c>
      <c r="H152" s="52">
        <f t="shared" si="50"/>
        <v>5558558</v>
      </c>
      <c r="I152" s="52">
        <f t="shared" si="51"/>
        <v>4213518</v>
      </c>
      <c r="J152" s="52">
        <f t="shared" si="52"/>
        <v>4430007</v>
      </c>
      <c r="K152" s="49">
        <f t="shared" si="53"/>
        <v>1184516</v>
      </c>
      <c r="L152" s="50">
        <f t="shared" si="54"/>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c r="A153" s="63" t="s">
        <v>60</v>
      </c>
      <c r="B153" s="547" t="s">
        <v>223</v>
      </c>
      <c r="C153" s="30" t="str">
        <f t="shared" si="55"/>
        <v>NHSE regions - North East and Yorkshire</v>
      </c>
      <c r="D153" s="50">
        <f t="shared" si="47"/>
        <v>3172076</v>
      </c>
      <c r="E153" s="50">
        <f t="shared" si="47"/>
        <v>3363922</v>
      </c>
      <c r="F153" s="51">
        <f t="shared" si="48"/>
        <v>8224302</v>
      </c>
      <c r="G153" s="51">
        <f t="shared" si="49"/>
        <v>4037235</v>
      </c>
      <c r="H153" s="52">
        <f t="shared" si="50"/>
        <v>4187067</v>
      </c>
      <c r="I153" s="52">
        <f t="shared" si="51"/>
        <v>3172076</v>
      </c>
      <c r="J153" s="52">
        <f t="shared" si="52"/>
        <v>3363922</v>
      </c>
      <c r="K153" s="49">
        <f t="shared" si="53"/>
        <v>865159</v>
      </c>
      <c r="L153" s="50">
        <f t="shared" si="54"/>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c r="A154" s="63" t="s">
        <v>60</v>
      </c>
      <c r="B154" s="547" t="s">
        <v>224</v>
      </c>
      <c r="C154" s="30" t="str">
        <f t="shared" si="55"/>
        <v>NHSE regions - North West</v>
      </c>
      <c r="D154" s="50">
        <f t="shared" si="47"/>
        <v>2882326</v>
      </c>
      <c r="E154" s="50">
        <f t="shared" si="47"/>
        <v>3051558</v>
      </c>
      <c r="F154" s="51">
        <f t="shared" si="48"/>
        <v>7516113</v>
      </c>
      <c r="G154" s="51">
        <f t="shared" si="49"/>
        <v>3693400</v>
      </c>
      <c r="H154" s="52">
        <f t="shared" si="50"/>
        <v>3822713</v>
      </c>
      <c r="I154" s="52">
        <f t="shared" si="51"/>
        <v>2882326</v>
      </c>
      <c r="J154" s="52">
        <f t="shared" si="52"/>
        <v>3051558</v>
      </c>
      <c r="K154" s="49">
        <f t="shared" si="53"/>
        <v>811074</v>
      </c>
      <c r="L154" s="50">
        <f t="shared" si="54"/>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c r="A155" s="63" t="s">
        <v>60</v>
      </c>
      <c r="B155" s="547" t="s">
        <v>225</v>
      </c>
      <c r="C155" s="30" t="str">
        <f t="shared" si="55"/>
        <v>NHSE regions - South East</v>
      </c>
      <c r="D155" s="50">
        <f t="shared" si="47"/>
        <v>3583214</v>
      </c>
      <c r="E155" s="50">
        <f t="shared" si="47"/>
        <v>3833734</v>
      </c>
      <c r="F155" s="51">
        <f t="shared" si="48"/>
        <v>9379833</v>
      </c>
      <c r="G155" s="51">
        <f t="shared" si="49"/>
        <v>4590013</v>
      </c>
      <c r="H155" s="52">
        <f t="shared" si="50"/>
        <v>4789820</v>
      </c>
      <c r="I155" s="52">
        <f t="shared" si="51"/>
        <v>3583214</v>
      </c>
      <c r="J155" s="52">
        <f t="shared" si="52"/>
        <v>3833734</v>
      </c>
      <c r="K155" s="49">
        <f t="shared" si="53"/>
        <v>1006799</v>
      </c>
      <c r="L155" s="50">
        <f t="shared" si="54"/>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c r="A156" s="139" t="s">
        <v>60</v>
      </c>
      <c r="B156" s="547" t="s">
        <v>226</v>
      </c>
      <c r="C156" s="30" t="str">
        <f t="shared" si="55"/>
        <v>NHSE regions - South West</v>
      </c>
      <c r="D156" s="50">
        <f t="shared" si="47"/>
        <v>2262289</v>
      </c>
      <c r="E156" s="50">
        <f t="shared" si="47"/>
        <v>2407402</v>
      </c>
      <c r="F156" s="51">
        <f t="shared" si="48"/>
        <v>5764881</v>
      </c>
      <c r="G156" s="51">
        <f t="shared" si="49"/>
        <v>2823078</v>
      </c>
      <c r="H156" s="52">
        <f t="shared" si="50"/>
        <v>2941803</v>
      </c>
      <c r="I156" s="52">
        <f t="shared" si="51"/>
        <v>2262289</v>
      </c>
      <c r="J156" s="52">
        <f t="shared" si="52"/>
        <v>2407402</v>
      </c>
      <c r="K156" s="49">
        <f t="shared" si="53"/>
        <v>560789</v>
      </c>
      <c r="L156" s="50">
        <f t="shared" si="54"/>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5" customFormat="1" ht="15">
      <c r="A157" s="117"/>
      <c r="B157" s="548"/>
      <c r="C157" s="112"/>
      <c r="D157" s="118">
        <f>SUM(D150:D156)</f>
        <v>21895402</v>
      </c>
      <c r="E157" s="118">
        <f>SUM(E150:E156)</f>
        <v>23324090</v>
      </c>
      <c r="F157" s="118">
        <f>SUM(F150:F156)</f>
        <v>57106398</v>
      </c>
      <c r="G157" s="118">
        <f t="shared" ref="G157:L157" si="56">SUM(G150:G156)</f>
        <v>27983290</v>
      </c>
      <c r="H157" s="118">
        <f t="shared" si="56"/>
        <v>29123108</v>
      </c>
      <c r="I157" s="118">
        <f t="shared" si="56"/>
        <v>21895402</v>
      </c>
      <c r="J157" s="118">
        <f t="shared" si="56"/>
        <v>23324090</v>
      </c>
      <c r="K157" s="118">
        <f t="shared" si="56"/>
        <v>6087888</v>
      </c>
      <c r="L157" s="118">
        <f t="shared" si="56"/>
        <v>5799018</v>
      </c>
      <c r="M157" s="118"/>
      <c r="N157" s="500"/>
      <c r="O157" s="500"/>
      <c r="P157" s="500"/>
      <c r="Q157" s="500"/>
      <c r="R157" s="500"/>
      <c r="S157" s="500"/>
      <c r="T157" s="500"/>
      <c r="U157" s="500"/>
      <c r="V157" s="500"/>
      <c r="W157" s="500"/>
      <c r="X157" s="500"/>
      <c r="Y157" s="500"/>
      <c r="Z157" s="500"/>
      <c r="AA157" s="500"/>
      <c r="AB157" s="500"/>
      <c r="AC157" s="500"/>
      <c r="AD157" s="500"/>
      <c r="AE157" s="500"/>
      <c r="AF157" s="500"/>
      <c r="AG157" s="500"/>
      <c r="AH157" s="500"/>
      <c r="AI157" s="500"/>
      <c r="AJ157" s="500"/>
      <c r="AK157" s="500"/>
      <c r="AL157" s="500"/>
      <c r="AM157" s="500"/>
      <c r="AN157" s="500"/>
      <c r="AO157" s="500"/>
      <c r="AP157" s="500"/>
      <c r="AQ157" s="500"/>
      <c r="AR157" s="500"/>
      <c r="AS157" s="500"/>
      <c r="AT157" s="500"/>
      <c r="AU157" s="500"/>
      <c r="AV157" s="500"/>
      <c r="AW157" s="500"/>
      <c r="AX157" s="500"/>
      <c r="AY157" s="500"/>
      <c r="AZ157" s="500"/>
      <c r="BA157" s="500"/>
      <c r="BB157" s="500"/>
      <c r="BC157" s="500"/>
      <c r="BD157" s="500"/>
      <c r="BE157" s="500"/>
      <c r="BF157" s="500"/>
      <c r="BG157" s="500"/>
      <c r="BH157" s="500"/>
      <c r="BI157" s="500"/>
      <c r="BJ157" s="500"/>
      <c r="BK157" s="500"/>
      <c r="BL157" s="500"/>
      <c r="BM157" s="500"/>
      <c r="BN157" s="500"/>
      <c r="BO157" s="500"/>
      <c r="BP157" s="500"/>
      <c r="BQ157" s="500"/>
      <c r="BR157" s="500"/>
      <c r="BS157" s="500"/>
      <c r="BT157" s="500"/>
      <c r="BU157" s="500"/>
      <c r="BV157" s="500"/>
      <c r="BW157" s="500"/>
      <c r="BX157" s="500"/>
      <c r="BY157" s="500"/>
      <c r="BZ157" s="500"/>
      <c r="CA157" s="500"/>
      <c r="CB157" s="500"/>
      <c r="CC157" s="500"/>
      <c r="CD157" s="500"/>
      <c r="CE157" s="500"/>
      <c r="CF157" s="500"/>
      <c r="CG157" s="500"/>
      <c r="CH157" s="500"/>
      <c r="CI157" s="500"/>
      <c r="CJ157" s="500"/>
      <c r="CK157" s="500"/>
      <c r="CL157" s="500"/>
      <c r="CM157" s="500"/>
      <c r="CN157" s="500"/>
      <c r="CO157" s="500"/>
      <c r="CP157" s="500"/>
      <c r="CQ157" s="500"/>
      <c r="CR157" s="500"/>
      <c r="CS157" s="500"/>
      <c r="CT157" s="500"/>
      <c r="CU157" s="500"/>
      <c r="CV157" s="500"/>
      <c r="CW157" s="500"/>
      <c r="CX157" s="500"/>
      <c r="CY157" s="76"/>
      <c r="CZ157" s="118"/>
      <c r="DA157" s="500"/>
      <c r="DB157" s="500"/>
      <c r="DC157" s="500"/>
      <c r="DD157" s="500"/>
      <c r="DE157" s="500"/>
      <c r="DF157" s="500"/>
      <c r="DG157" s="500"/>
      <c r="DH157" s="500"/>
      <c r="DI157" s="500"/>
      <c r="DJ157" s="500"/>
      <c r="DK157" s="500"/>
      <c r="DL157" s="500"/>
      <c r="DM157" s="500"/>
      <c r="DN157" s="500"/>
      <c r="DO157" s="500"/>
      <c r="DP157" s="500"/>
      <c r="DQ157" s="500"/>
      <c r="DR157" s="500"/>
      <c r="DS157" s="500"/>
      <c r="DT157" s="500"/>
      <c r="DU157" s="500"/>
      <c r="DV157" s="500"/>
      <c r="DW157" s="500"/>
      <c r="DX157" s="500"/>
      <c r="DY157" s="500"/>
      <c r="DZ157" s="500"/>
      <c r="EA157" s="500"/>
      <c r="EB157" s="500"/>
      <c r="EC157" s="500"/>
      <c r="ED157" s="500"/>
      <c r="EE157" s="500"/>
      <c r="EF157" s="500"/>
      <c r="EG157" s="500"/>
      <c r="EH157" s="500"/>
      <c r="EI157" s="500"/>
      <c r="EJ157" s="500"/>
      <c r="EK157" s="500"/>
      <c r="EL157" s="500"/>
      <c r="EM157" s="500"/>
      <c r="EN157" s="500"/>
      <c r="EO157" s="500"/>
      <c r="EP157" s="500"/>
      <c r="EQ157" s="500"/>
      <c r="ER157" s="500"/>
      <c r="ES157" s="500"/>
      <c r="ET157" s="500"/>
      <c r="EU157" s="500"/>
      <c r="EV157" s="500"/>
      <c r="EW157" s="500"/>
      <c r="EX157" s="500"/>
      <c r="EY157" s="500"/>
      <c r="EZ157" s="500"/>
      <c r="FA157" s="500"/>
      <c r="FB157" s="500"/>
      <c r="FC157" s="500"/>
      <c r="FD157" s="500"/>
      <c r="FE157" s="500"/>
      <c r="FF157" s="500"/>
      <c r="FG157" s="500"/>
      <c r="FH157" s="500"/>
      <c r="FI157" s="500"/>
      <c r="FJ157" s="500"/>
      <c r="FK157" s="500"/>
      <c r="FL157" s="500"/>
      <c r="FM157" s="500"/>
      <c r="FN157" s="500"/>
      <c r="FO157" s="500"/>
      <c r="FP157" s="500"/>
      <c r="FQ157" s="500"/>
      <c r="FR157" s="500"/>
      <c r="FS157" s="500"/>
      <c r="FT157" s="500"/>
      <c r="FU157" s="500"/>
      <c r="FV157" s="500"/>
      <c r="FW157" s="500"/>
      <c r="FX157" s="500"/>
      <c r="FY157" s="500"/>
      <c r="FZ157" s="500"/>
      <c r="GA157" s="500"/>
      <c r="GB157" s="500"/>
      <c r="GC157" s="500"/>
      <c r="GD157" s="500"/>
      <c r="GE157" s="500"/>
      <c r="GF157" s="500"/>
      <c r="GG157" s="500"/>
      <c r="GH157" s="500"/>
      <c r="GI157" s="500"/>
      <c r="GJ157" s="500"/>
      <c r="GK157" s="500"/>
      <c r="GL157" s="76"/>
    </row>
    <row r="158" spans="1:194" s="1" customFormat="1">
      <c r="A158" s="107" t="s">
        <v>52</v>
      </c>
      <c r="B158" s="549" t="s">
        <v>227</v>
      </c>
      <c r="C158" s="503" t="str">
        <f t="shared" si="55"/>
        <v>England ICB - NHS Bath and North East Somerset, Swindon and Wiltshire Integrated Care Board</v>
      </c>
      <c r="D158" s="78">
        <f t="shared" ref="D158:D199" si="57">I158</f>
        <v>372192</v>
      </c>
      <c r="E158" s="78">
        <f t="shared" ref="E158:E199" si="58">J158</f>
        <v>388592</v>
      </c>
      <c r="F158" s="108">
        <f t="shared" ref="F158:F163" si="59">G158+H158</f>
        <v>953852</v>
      </c>
      <c r="G158" s="501">
        <f t="shared" ref="G158:G163" si="60">SUM(M158:CY158)</f>
        <v>470982</v>
      </c>
      <c r="H158" s="61">
        <f t="shared" ref="H158:H163" si="61">SUM(CZ158:GL158)</f>
        <v>482870</v>
      </c>
      <c r="I158" s="501">
        <f t="shared" ref="I158:I163" si="62">SUM(AE158:CY158)</f>
        <v>372192</v>
      </c>
      <c r="J158" s="103">
        <f t="shared" ref="J158:J163" si="63">SUM(DR158:GL158)</f>
        <v>388592</v>
      </c>
      <c r="K158" s="105">
        <f t="shared" ref="K158:K163" si="64">SUM(M158:AD158)</f>
        <v>98790</v>
      </c>
      <c r="L158" s="60">
        <f t="shared" ref="L158:L163" si="65">SUM(CZ158:DQ158)</f>
        <v>94278</v>
      </c>
      <c r="M158" s="105">
        <v>4647</v>
      </c>
      <c r="N158" s="502">
        <v>4706</v>
      </c>
      <c r="O158" s="502">
        <v>4907</v>
      </c>
      <c r="P158" s="502">
        <v>5108</v>
      </c>
      <c r="Q158" s="502">
        <v>5293</v>
      </c>
      <c r="R158" s="502">
        <v>5287</v>
      </c>
      <c r="S158" s="502">
        <v>5628</v>
      </c>
      <c r="T158" s="502">
        <v>5623</v>
      </c>
      <c r="U158" s="502">
        <v>5617</v>
      </c>
      <c r="V158" s="502">
        <v>5799</v>
      </c>
      <c r="W158" s="502">
        <v>6160</v>
      </c>
      <c r="X158" s="502">
        <v>6033</v>
      </c>
      <c r="Y158" s="502">
        <v>5955</v>
      </c>
      <c r="Z158" s="502">
        <v>5803</v>
      </c>
      <c r="AA158" s="502">
        <v>5710</v>
      </c>
      <c r="AB158" s="502">
        <v>5605</v>
      </c>
      <c r="AC158" s="502">
        <v>5496</v>
      </c>
      <c r="AD158" s="502">
        <v>5413</v>
      </c>
      <c r="AE158" s="502">
        <v>5967</v>
      </c>
      <c r="AF158" s="502">
        <v>6678</v>
      </c>
      <c r="AG158" s="502">
        <v>6216</v>
      </c>
      <c r="AH158" s="502">
        <v>5569</v>
      </c>
      <c r="AI158" s="502">
        <v>5932</v>
      </c>
      <c r="AJ158" s="502">
        <v>5961</v>
      </c>
      <c r="AK158" s="502">
        <v>5644</v>
      </c>
      <c r="AL158" s="502">
        <v>5569</v>
      </c>
      <c r="AM158" s="502">
        <v>5603</v>
      </c>
      <c r="AN158" s="502">
        <v>5436</v>
      </c>
      <c r="AO158" s="502">
        <v>5723</v>
      </c>
      <c r="AP158" s="502">
        <v>5509</v>
      </c>
      <c r="AQ158" s="502">
        <v>5906</v>
      </c>
      <c r="AR158" s="502">
        <v>5926</v>
      </c>
      <c r="AS158" s="502">
        <v>5999</v>
      </c>
      <c r="AT158" s="502">
        <v>5968</v>
      </c>
      <c r="AU158" s="502">
        <v>6124</v>
      </c>
      <c r="AV158" s="502">
        <v>6089</v>
      </c>
      <c r="AW158" s="502">
        <v>6037</v>
      </c>
      <c r="AX158" s="502">
        <v>5950</v>
      </c>
      <c r="AY158" s="502">
        <v>6029</v>
      </c>
      <c r="AZ158" s="502">
        <v>5880</v>
      </c>
      <c r="BA158" s="502">
        <v>5821</v>
      </c>
      <c r="BB158" s="502">
        <v>5960</v>
      </c>
      <c r="BC158" s="502">
        <v>6033</v>
      </c>
      <c r="BD158" s="502">
        <v>5922</v>
      </c>
      <c r="BE158" s="502">
        <v>5375</v>
      </c>
      <c r="BF158" s="502">
        <v>5274</v>
      </c>
      <c r="BG158" s="502">
        <v>5437</v>
      </c>
      <c r="BH158" s="502">
        <v>5820</v>
      </c>
      <c r="BI158" s="502">
        <v>5866</v>
      </c>
      <c r="BJ158" s="502">
        <v>6432</v>
      </c>
      <c r="BK158" s="502">
        <v>6631</v>
      </c>
      <c r="BL158" s="502">
        <v>6700</v>
      </c>
      <c r="BM158" s="502">
        <v>6536</v>
      </c>
      <c r="BN158" s="502">
        <v>6527</v>
      </c>
      <c r="BO158" s="502">
        <v>6586</v>
      </c>
      <c r="BP158" s="502">
        <v>6746</v>
      </c>
      <c r="BQ158" s="502">
        <v>6723</v>
      </c>
      <c r="BR158" s="502">
        <v>6887</v>
      </c>
      <c r="BS158" s="502">
        <v>6661</v>
      </c>
      <c r="BT158" s="502">
        <v>6550</v>
      </c>
      <c r="BU158" s="502">
        <v>6440</v>
      </c>
      <c r="BV158" s="502">
        <v>6192</v>
      </c>
      <c r="BW158" s="502">
        <v>5977</v>
      </c>
      <c r="BX158" s="502">
        <v>5691</v>
      </c>
      <c r="BY158" s="502">
        <v>5371</v>
      </c>
      <c r="BZ158" s="502">
        <v>5135</v>
      </c>
      <c r="CA158" s="502">
        <v>4863</v>
      </c>
      <c r="CB158" s="502">
        <v>4730</v>
      </c>
      <c r="CC158" s="502">
        <v>4797</v>
      </c>
      <c r="CD158" s="502">
        <v>4544</v>
      </c>
      <c r="CE158" s="502">
        <v>4485</v>
      </c>
      <c r="CF158" s="502">
        <v>4422</v>
      </c>
      <c r="CG158" s="502">
        <v>4421</v>
      </c>
      <c r="CH158" s="502">
        <v>4529</v>
      </c>
      <c r="CI158" s="502">
        <v>4861</v>
      </c>
      <c r="CJ158" s="502">
        <v>5197</v>
      </c>
      <c r="CK158" s="502">
        <v>3865</v>
      </c>
      <c r="CL158" s="502">
        <v>3773</v>
      </c>
      <c r="CM158" s="502">
        <v>3497</v>
      </c>
      <c r="CN158" s="502">
        <v>3141</v>
      </c>
      <c r="CO158" s="502">
        <v>2804</v>
      </c>
      <c r="CP158" s="502">
        <v>2380</v>
      </c>
      <c r="CQ158" s="502">
        <v>2335</v>
      </c>
      <c r="CR158" s="502">
        <v>2209</v>
      </c>
      <c r="CS158" s="502">
        <v>2008</v>
      </c>
      <c r="CT158" s="502">
        <v>1804</v>
      </c>
      <c r="CU158" s="502">
        <v>1625</v>
      </c>
      <c r="CV158" s="502">
        <v>1368</v>
      </c>
      <c r="CW158" s="502">
        <v>1144</v>
      </c>
      <c r="CX158" s="502">
        <v>1023</v>
      </c>
      <c r="CY158" s="60">
        <v>3359</v>
      </c>
      <c r="CZ158" s="105">
        <v>4395</v>
      </c>
      <c r="DA158" s="502">
        <v>4569</v>
      </c>
      <c r="DB158" s="502">
        <v>4724</v>
      </c>
      <c r="DC158" s="502">
        <v>4830</v>
      </c>
      <c r="DD158" s="502">
        <v>5033</v>
      </c>
      <c r="DE158" s="502">
        <v>5193</v>
      </c>
      <c r="DF158" s="502">
        <v>5362</v>
      </c>
      <c r="DG158" s="502">
        <v>5295</v>
      </c>
      <c r="DH158" s="502">
        <v>5344</v>
      </c>
      <c r="DI158" s="502">
        <v>5565</v>
      </c>
      <c r="DJ158" s="502">
        <v>5551</v>
      </c>
      <c r="DK158" s="502">
        <v>5719</v>
      </c>
      <c r="DL158" s="502">
        <v>5546</v>
      </c>
      <c r="DM158" s="502">
        <v>5549</v>
      </c>
      <c r="DN158" s="502">
        <v>5624</v>
      </c>
      <c r="DO158" s="502">
        <v>5574</v>
      </c>
      <c r="DP158" s="502">
        <v>5184</v>
      </c>
      <c r="DQ158" s="502">
        <v>5221</v>
      </c>
      <c r="DR158" s="502">
        <v>5415</v>
      </c>
      <c r="DS158" s="502">
        <v>5600</v>
      </c>
      <c r="DT158" s="502">
        <v>5189</v>
      </c>
      <c r="DU158" s="502">
        <v>4912</v>
      </c>
      <c r="DV158" s="502">
        <v>5426</v>
      </c>
      <c r="DW158" s="502">
        <v>5137</v>
      </c>
      <c r="DX158" s="502">
        <v>5128</v>
      </c>
      <c r="DY158" s="502">
        <v>5294</v>
      </c>
      <c r="DZ158" s="502">
        <v>5013</v>
      </c>
      <c r="EA158" s="502">
        <v>5302</v>
      </c>
      <c r="EB158" s="502">
        <v>5698</v>
      </c>
      <c r="EC158" s="502">
        <v>5815</v>
      </c>
      <c r="ED158" s="502">
        <v>5939</v>
      </c>
      <c r="EE158" s="502">
        <v>6272</v>
      </c>
      <c r="EF158" s="502">
        <v>6263</v>
      </c>
      <c r="EG158" s="502">
        <v>6313</v>
      </c>
      <c r="EH158" s="502">
        <v>6318</v>
      </c>
      <c r="EI158" s="502">
        <v>6535</v>
      </c>
      <c r="EJ158" s="502">
        <v>6131</v>
      </c>
      <c r="EK158" s="502">
        <v>6244</v>
      </c>
      <c r="EL158" s="502">
        <v>6165</v>
      </c>
      <c r="EM158" s="502">
        <v>5942</v>
      </c>
      <c r="EN158" s="502">
        <v>6211</v>
      </c>
      <c r="EO158" s="502">
        <v>6218</v>
      </c>
      <c r="EP158" s="502">
        <v>6104</v>
      </c>
      <c r="EQ158" s="502">
        <v>5799</v>
      </c>
      <c r="ER158" s="502">
        <v>5574</v>
      </c>
      <c r="ES158" s="502">
        <v>5586</v>
      </c>
      <c r="ET158" s="502">
        <v>5770</v>
      </c>
      <c r="EU158" s="502">
        <v>5831</v>
      </c>
      <c r="EV158" s="502">
        <v>6251</v>
      </c>
      <c r="EW158" s="502">
        <v>6563</v>
      </c>
      <c r="EX158" s="502">
        <v>6923</v>
      </c>
      <c r="EY158" s="502">
        <v>6736</v>
      </c>
      <c r="EZ158" s="502">
        <v>6661</v>
      </c>
      <c r="FA158" s="502">
        <v>6860</v>
      </c>
      <c r="FB158" s="502">
        <v>6795</v>
      </c>
      <c r="FC158" s="502">
        <v>7093</v>
      </c>
      <c r="FD158" s="502">
        <v>7056</v>
      </c>
      <c r="FE158" s="502">
        <v>6890</v>
      </c>
      <c r="FF158" s="502">
        <v>6926</v>
      </c>
      <c r="FG158" s="502">
        <v>6551</v>
      </c>
      <c r="FH158" s="502">
        <v>6513</v>
      </c>
      <c r="FI158" s="502">
        <v>6413</v>
      </c>
      <c r="FJ158" s="502">
        <v>5897</v>
      </c>
      <c r="FK158" s="502">
        <v>5838</v>
      </c>
      <c r="FL158" s="502">
        <v>5643</v>
      </c>
      <c r="FM158" s="502">
        <v>5384</v>
      </c>
      <c r="FN158" s="502">
        <v>5189</v>
      </c>
      <c r="FO158" s="502">
        <v>5034</v>
      </c>
      <c r="FP158" s="502">
        <v>5088</v>
      </c>
      <c r="FQ158" s="502">
        <v>5112</v>
      </c>
      <c r="FR158" s="502">
        <v>4845</v>
      </c>
      <c r="FS158" s="502">
        <v>4831</v>
      </c>
      <c r="FT158" s="502">
        <v>4917</v>
      </c>
      <c r="FU158" s="502">
        <v>5074</v>
      </c>
      <c r="FV158" s="502">
        <v>5409</v>
      </c>
      <c r="FW158" s="502">
        <v>5546</v>
      </c>
      <c r="FX158" s="502">
        <v>4375</v>
      </c>
      <c r="FY158" s="502">
        <v>4296</v>
      </c>
      <c r="FZ158" s="502">
        <v>4189</v>
      </c>
      <c r="GA158" s="502">
        <v>3718</v>
      </c>
      <c r="GB158" s="502">
        <v>3306</v>
      </c>
      <c r="GC158" s="502">
        <v>2846</v>
      </c>
      <c r="GD158" s="502">
        <v>2931</v>
      </c>
      <c r="GE158" s="502">
        <v>2828</v>
      </c>
      <c r="GF158" s="502">
        <v>2632</v>
      </c>
      <c r="GG158" s="502">
        <v>2327</v>
      </c>
      <c r="GH158" s="502">
        <v>2137</v>
      </c>
      <c r="GI158" s="502">
        <v>1982</v>
      </c>
      <c r="GJ158" s="502">
        <v>1693</v>
      </c>
      <c r="GK158" s="502">
        <v>1476</v>
      </c>
      <c r="GL158" s="60">
        <v>6674</v>
      </c>
    </row>
    <row r="159" spans="1:194" s="1" customFormat="1">
      <c r="A159" s="109" t="s">
        <v>52</v>
      </c>
      <c r="B159" s="550" t="s">
        <v>228</v>
      </c>
      <c r="C159" s="136" t="str">
        <f t="shared" si="55"/>
        <v>England ICB - NHS Bedfordshire, Luton and Milton Keynes Integrated Care Board</v>
      </c>
      <c r="D159" s="79">
        <f t="shared" si="57"/>
        <v>380018</v>
      </c>
      <c r="E159" s="79">
        <f t="shared" si="58"/>
        <v>395348</v>
      </c>
      <c r="F159" s="102">
        <f t="shared" si="59"/>
        <v>1015380</v>
      </c>
      <c r="G159" s="51">
        <f t="shared" si="60"/>
        <v>503181</v>
      </c>
      <c r="H159" s="52">
        <f t="shared" si="61"/>
        <v>512199</v>
      </c>
      <c r="I159" s="51">
        <f t="shared" si="62"/>
        <v>380018</v>
      </c>
      <c r="J159" s="104">
        <f t="shared" si="63"/>
        <v>395348</v>
      </c>
      <c r="K159" s="106">
        <f t="shared" si="64"/>
        <v>123163</v>
      </c>
      <c r="L159" s="50">
        <f t="shared" si="65"/>
        <v>116851</v>
      </c>
      <c r="M159" s="106">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6">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c r="A160" s="109" t="s">
        <v>52</v>
      </c>
      <c r="B160" s="550" t="s">
        <v>229</v>
      </c>
      <c r="C160" s="136" t="str">
        <f t="shared" si="55"/>
        <v>England ICB - NHS Birmingham and Solihull Integrated Care Board</v>
      </c>
      <c r="D160" s="79">
        <f t="shared" si="57"/>
        <v>503372</v>
      </c>
      <c r="E160" s="79">
        <f t="shared" si="58"/>
        <v>536150</v>
      </c>
      <c r="F160" s="102">
        <f t="shared" si="59"/>
        <v>1375281</v>
      </c>
      <c r="G160" s="51">
        <f t="shared" si="60"/>
        <v>674927</v>
      </c>
      <c r="H160" s="52">
        <f t="shared" si="61"/>
        <v>700354</v>
      </c>
      <c r="I160" s="51">
        <f t="shared" si="62"/>
        <v>503372</v>
      </c>
      <c r="J160" s="104">
        <f t="shared" si="63"/>
        <v>536150</v>
      </c>
      <c r="K160" s="106">
        <f t="shared" si="64"/>
        <v>171555</v>
      </c>
      <c r="L160" s="50">
        <f t="shared" si="65"/>
        <v>164204</v>
      </c>
      <c r="M160" s="106">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6">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c r="A161" s="109" t="s">
        <v>52</v>
      </c>
      <c r="B161" s="550" t="s">
        <v>230</v>
      </c>
      <c r="C161" s="136" t="str">
        <f t="shared" si="55"/>
        <v>England ICB - NHS Black Country Integrated Care Board</v>
      </c>
      <c r="D161" s="79">
        <f t="shared" si="57"/>
        <v>453894</v>
      </c>
      <c r="E161" s="79">
        <f t="shared" si="58"/>
        <v>481312</v>
      </c>
      <c r="F161" s="102">
        <f t="shared" si="59"/>
        <v>1222935</v>
      </c>
      <c r="G161" s="51">
        <f t="shared" si="60"/>
        <v>601713</v>
      </c>
      <c r="H161" s="52">
        <f t="shared" si="61"/>
        <v>621222</v>
      </c>
      <c r="I161" s="51">
        <f t="shared" si="62"/>
        <v>453894</v>
      </c>
      <c r="J161" s="104">
        <f t="shared" si="63"/>
        <v>481312</v>
      </c>
      <c r="K161" s="106">
        <f t="shared" si="64"/>
        <v>147819</v>
      </c>
      <c r="L161" s="50">
        <f t="shared" si="65"/>
        <v>139910</v>
      </c>
      <c r="M161" s="106">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6">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c r="A162" s="109" t="s">
        <v>52</v>
      </c>
      <c r="B162" s="550" t="s">
        <v>231</v>
      </c>
      <c r="C162" s="136" t="str">
        <f t="shared" si="55"/>
        <v>England ICB - NHS Bristol, North Somerset and South Gloucestershire Integrated Care Board</v>
      </c>
      <c r="D162" s="79">
        <f t="shared" si="57"/>
        <v>390782</v>
      </c>
      <c r="E162" s="79">
        <f t="shared" si="58"/>
        <v>407039</v>
      </c>
      <c r="F162" s="102">
        <f t="shared" si="59"/>
        <v>992934</v>
      </c>
      <c r="G162" s="51">
        <f t="shared" si="60"/>
        <v>490777</v>
      </c>
      <c r="H162" s="52">
        <f t="shared" si="61"/>
        <v>502157</v>
      </c>
      <c r="I162" s="51">
        <f t="shared" si="62"/>
        <v>390782</v>
      </c>
      <c r="J162" s="104">
        <f t="shared" si="63"/>
        <v>407039</v>
      </c>
      <c r="K162" s="106">
        <f t="shared" si="64"/>
        <v>99995</v>
      </c>
      <c r="L162" s="50">
        <f t="shared" si="65"/>
        <v>95118</v>
      </c>
      <c r="M162" s="106">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6">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c r="A163" s="109" t="s">
        <v>52</v>
      </c>
      <c r="B163" s="550" t="s">
        <v>232</v>
      </c>
      <c r="C163" s="136" t="str">
        <f t="shared" si="55"/>
        <v>England ICB - NHS Buckinghamshire, Oxfordshire and Berkshire West Integrated Care Board</v>
      </c>
      <c r="D163" s="79">
        <f t="shared" si="57"/>
        <v>690249</v>
      </c>
      <c r="E163" s="79">
        <f t="shared" si="58"/>
        <v>726442</v>
      </c>
      <c r="F163" s="102">
        <f t="shared" si="59"/>
        <v>1802735</v>
      </c>
      <c r="G163" s="51">
        <f t="shared" si="60"/>
        <v>888395</v>
      </c>
      <c r="H163" s="52">
        <f t="shared" si="61"/>
        <v>914340</v>
      </c>
      <c r="I163" s="51">
        <f t="shared" si="62"/>
        <v>690249</v>
      </c>
      <c r="J163" s="104">
        <f t="shared" si="63"/>
        <v>726442</v>
      </c>
      <c r="K163" s="106">
        <f t="shared" si="64"/>
        <v>198146</v>
      </c>
      <c r="L163" s="50">
        <f t="shared" si="65"/>
        <v>187898</v>
      </c>
      <c r="M163" s="106">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6">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c r="A164" s="109" t="s">
        <v>52</v>
      </c>
      <c r="B164" s="550" t="s">
        <v>233</v>
      </c>
      <c r="C164" s="136" t="str">
        <f t="shared" si="55"/>
        <v>England ICB - NHS Cambridgeshire and Peterborough Integrated Care Board</v>
      </c>
      <c r="D164" s="79">
        <f t="shared" si="57"/>
        <v>357567</v>
      </c>
      <c r="E164" s="79">
        <f t="shared" si="58"/>
        <v>374124</v>
      </c>
      <c r="F164" s="102">
        <f t="shared" ref="F164:F188" si="66">G164+H164</f>
        <v>927342</v>
      </c>
      <c r="G164" s="51">
        <f t="shared" ref="G164:G188" si="67">SUM(M164:CY164)</f>
        <v>457923</v>
      </c>
      <c r="H164" s="52">
        <f t="shared" ref="H164:H188" si="68">SUM(CZ164:GL164)</f>
        <v>469419</v>
      </c>
      <c r="I164" s="51">
        <f t="shared" ref="I164:I188" si="69">SUM(AE164:CY164)</f>
        <v>357567</v>
      </c>
      <c r="J164" s="104">
        <f t="shared" ref="J164:J188" si="70">SUM(DR164:GL164)</f>
        <v>374124</v>
      </c>
      <c r="K164" s="106">
        <f t="shared" ref="K164:K188" si="71">SUM(M164:AD164)</f>
        <v>100356</v>
      </c>
      <c r="L164" s="50">
        <f t="shared" ref="L164:L188" si="72">SUM(CZ164:DQ164)</f>
        <v>95295</v>
      </c>
      <c r="M164" s="106">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6">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c r="A165" s="109" t="s">
        <v>52</v>
      </c>
      <c r="B165" s="550" t="s">
        <v>234</v>
      </c>
      <c r="C165" s="136" t="str">
        <f t="shared" si="55"/>
        <v>England ICB - NHS Cheshire and Merseyside Integrated Care Board</v>
      </c>
      <c r="D165" s="79">
        <f t="shared" si="57"/>
        <v>984852</v>
      </c>
      <c r="E165" s="79">
        <f t="shared" si="58"/>
        <v>1059001</v>
      </c>
      <c r="F165" s="102">
        <f t="shared" si="66"/>
        <v>2550846</v>
      </c>
      <c r="G165" s="51">
        <f t="shared" si="67"/>
        <v>1245283</v>
      </c>
      <c r="H165" s="52">
        <f t="shared" si="68"/>
        <v>1305563</v>
      </c>
      <c r="I165" s="51">
        <f t="shared" si="69"/>
        <v>984852</v>
      </c>
      <c r="J165" s="104">
        <f t="shared" si="70"/>
        <v>1059001</v>
      </c>
      <c r="K165" s="106">
        <f t="shared" si="71"/>
        <v>260431</v>
      </c>
      <c r="L165" s="50">
        <f t="shared" si="72"/>
        <v>246562</v>
      </c>
      <c r="M165" s="106">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6">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c r="A166" s="109" t="s">
        <v>52</v>
      </c>
      <c r="B166" s="550" t="s">
        <v>235</v>
      </c>
      <c r="C166" s="136" t="str">
        <f t="shared" si="55"/>
        <v>England ICB - NHS Cornwall and the Isles of Scilly Integrated Care Board</v>
      </c>
      <c r="D166" s="79">
        <f t="shared" si="57"/>
        <v>226093</v>
      </c>
      <c r="E166" s="79">
        <f t="shared" si="58"/>
        <v>245842</v>
      </c>
      <c r="F166" s="102">
        <f t="shared" si="66"/>
        <v>577694</v>
      </c>
      <c r="G166" s="51">
        <f t="shared" si="67"/>
        <v>280361</v>
      </c>
      <c r="H166" s="52">
        <f t="shared" si="68"/>
        <v>297333</v>
      </c>
      <c r="I166" s="51">
        <f t="shared" si="69"/>
        <v>226093</v>
      </c>
      <c r="J166" s="104">
        <f t="shared" si="70"/>
        <v>245842</v>
      </c>
      <c r="K166" s="106">
        <f t="shared" si="71"/>
        <v>54268</v>
      </c>
      <c r="L166" s="50">
        <f t="shared" si="72"/>
        <v>51491</v>
      </c>
      <c r="M166" s="106">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6">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c r="A167" s="109" t="s">
        <v>52</v>
      </c>
      <c r="B167" s="550" t="s">
        <v>236</v>
      </c>
      <c r="C167" s="136" t="str">
        <f t="shared" si="55"/>
        <v>England ICB - NHS Coventry and Warwickshire Integrated Care Board</v>
      </c>
      <c r="D167" s="79">
        <f t="shared" si="57"/>
        <v>374777</v>
      </c>
      <c r="E167" s="79">
        <f t="shared" si="58"/>
        <v>386977</v>
      </c>
      <c r="F167" s="102">
        <f t="shared" si="66"/>
        <v>963204</v>
      </c>
      <c r="G167" s="51">
        <f t="shared" si="67"/>
        <v>477693</v>
      </c>
      <c r="H167" s="52">
        <f t="shared" si="68"/>
        <v>485511</v>
      </c>
      <c r="I167" s="51">
        <f t="shared" si="69"/>
        <v>374777</v>
      </c>
      <c r="J167" s="104">
        <f t="shared" si="70"/>
        <v>386977</v>
      </c>
      <c r="K167" s="106">
        <f t="shared" si="71"/>
        <v>102916</v>
      </c>
      <c r="L167" s="50">
        <f t="shared" si="72"/>
        <v>98534</v>
      </c>
      <c r="M167" s="106">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6">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c r="A168" s="109" t="s">
        <v>52</v>
      </c>
      <c r="B168" s="550" t="s">
        <v>237</v>
      </c>
      <c r="C168" s="136" t="str">
        <f t="shared" si="55"/>
        <v>England ICB - NHS Derby and Derbyshire Integrated Care Board</v>
      </c>
      <c r="D168" s="79">
        <f t="shared" si="57"/>
        <v>416604</v>
      </c>
      <c r="E168" s="79">
        <f t="shared" si="58"/>
        <v>437823</v>
      </c>
      <c r="F168" s="102">
        <f t="shared" si="66"/>
        <v>1066954</v>
      </c>
      <c r="G168" s="51">
        <f t="shared" si="67"/>
        <v>524926</v>
      </c>
      <c r="H168" s="52">
        <f t="shared" si="68"/>
        <v>542028</v>
      </c>
      <c r="I168" s="51">
        <f t="shared" si="69"/>
        <v>416604</v>
      </c>
      <c r="J168" s="104">
        <f t="shared" si="70"/>
        <v>437823</v>
      </c>
      <c r="K168" s="106">
        <f t="shared" si="71"/>
        <v>108322</v>
      </c>
      <c r="L168" s="50">
        <f t="shared" si="72"/>
        <v>104205</v>
      </c>
      <c r="M168" s="106">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6">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c r="A169" s="109" t="s">
        <v>52</v>
      </c>
      <c r="B169" s="550" t="s">
        <v>238</v>
      </c>
      <c r="C169" s="136" t="str">
        <f t="shared" si="55"/>
        <v>England ICB - NHS Devon Integrated Care Board</v>
      </c>
      <c r="D169" s="79">
        <f t="shared" si="57"/>
        <v>486049</v>
      </c>
      <c r="E169" s="79">
        <f t="shared" si="58"/>
        <v>522875</v>
      </c>
      <c r="F169" s="102">
        <f t="shared" si="66"/>
        <v>1232660</v>
      </c>
      <c r="G169" s="51">
        <f t="shared" si="67"/>
        <v>600962</v>
      </c>
      <c r="H169" s="52">
        <f t="shared" si="68"/>
        <v>631698</v>
      </c>
      <c r="I169" s="51">
        <f t="shared" si="69"/>
        <v>486049</v>
      </c>
      <c r="J169" s="104">
        <f t="shared" si="70"/>
        <v>522875</v>
      </c>
      <c r="K169" s="106">
        <f t="shared" si="71"/>
        <v>114913</v>
      </c>
      <c r="L169" s="50">
        <f t="shared" si="72"/>
        <v>108823</v>
      </c>
      <c r="M169" s="106">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6">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c r="A170" s="109" t="s">
        <v>52</v>
      </c>
      <c r="B170" s="550" t="s">
        <v>239</v>
      </c>
      <c r="C170" s="136" t="str">
        <f t="shared" si="55"/>
        <v>England ICB - NHS Dorset Integrated Care Board</v>
      </c>
      <c r="D170" s="79">
        <f t="shared" si="57"/>
        <v>310533</v>
      </c>
      <c r="E170" s="79">
        <f t="shared" si="58"/>
        <v>334681</v>
      </c>
      <c r="F170" s="102">
        <f t="shared" si="66"/>
        <v>785172</v>
      </c>
      <c r="G170" s="51">
        <f t="shared" si="67"/>
        <v>382244</v>
      </c>
      <c r="H170" s="52">
        <f t="shared" si="68"/>
        <v>402928</v>
      </c>
      <c r="I170" s="51">
        <f t="shared" si="69"/>
        <v>310533</v>
      </c>
      <c r="J170" s="104">
        <f t="shared" si="70"/>
        <v>334681</v>
      </c>
      <c r="K170" s="106">
        <f t="shared" si="71"/>
        <v>71711</v>
      </c>
      <c r="L170" s="50">
        <f t="shared" si="72"/>
        <v>68247</v>
      </c>
      <c r="M170" s="106">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6">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c r="A171" s="109" t="s">
        <v>52</v>
      </c>
      <c r="B171" s="550" t="s">
        <v>240</v>
      </c>
      <c r="C171" s="136" t="str">
        <f t="shared" si="55"/>
        <v>England ICB - NHS Frimley Integrated Care Board</v>
      </c>
      <c r="D171" s="79">
        <f t="shared" si="57"/>
        <v>291456</v>
      </c>
      <c r="E171" s="79">
        <f t="shared" si="58"/>
        <v>305607</v>
      </c>
      <c r="F171" s="102">
        <f t="shared" si="66"/>
        <v>773481</v>
      </c>
      <c r="G171" s="51">
        <f t="shared" si="67"/>
        <v>382291</v>
      </c>
      <c r="H171" s="52">
        <f t="shared" si="68"/>
        <v>391190</v>
      </c>
      <c r="I171" s="51">
        <f t="shared" si="69"/>
        <v>291456</v>
      </c>
      <c r="J171" s="104">
        <f t="shared" si="70"/>
        <v>305607</v>
      </c>
      <c r="K171" s="106">
        <f t="shared" si="71"/>
        <v>90835</v>
      </c>
      <c r="L171" s="50">
        <f t="shared" si="72"/>
        <v>85583</v>
      </c>
      <c r="M171" s="106">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6">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c r="A172" s="109" t="s">
        <v>52</v>
      </c>
      <c r="B172" s="550" t="s">
        <v>241</v>
      </c>
      <c r="C172" s="136" t="str">
        <f t="shared" si="55"/>
        <v>England ICB - NHS Gloucestershire Integrated Care Board</v>
      </c>
      <c r="D172" s="79">
        <f t="shared" si="57"/>
        <v>253430</v>
      </c>
      <c r="E172" s="79">
        <f t="shared" si="58"/>
        <v>270225</v>
      </c>
      <c r="F172" s="102">
        <f t="shared" si="66"/>
        <v>652409</v>
      </c>
      <c r="G172" s="51">
        <f t="shared" si="67"/>
        <v>318898</v>
      </c>
      <c r="H172" s="52">
        <f t="shared" si="68"/>
        <v>333511</v>
      </c>
      <c r="I172" s="51">
        <f t="shared" si="69"/>
        <v>253430</v>
      </c>
      <c r="J172" s="104">
        <f t="shared" si="70"/>
        <v>270225</v>
      </c>
      <c r="K172" s="106">
        <f t="shared" si="71"/>
        <v>65468</v>
      </c>
      <c r="L172" s="50">
        <f t="shared" si="72"/>
        <v>63286</v>
      </c>
      <c r="M172" s="106">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6">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c r="A173" s="109" t="s">
        <v>52</v>
      </c>
      <c r="B173" s="550" t="s">
        <v>242</v>
      </c>
      <c r="C173" s="136" t="str">
        <f t="shared" si="55"/>
        <v>England ICB - NHS Greater Manchester Integrated Care Board</v>
      </c>
      <c r="D173" s="79">
        <f t="shared" si="57"/>
        <v>1096990</v>
      </c>
      <c r="E173" s="79">
        <f t="shared" si="58"/>
        <v>1151812</v>
      </c>
      <c r="F173" s="102">
        <f t="shared" si="66"/>
        <v>2911744</v>
      </c>
      <c r="G173" s="51">
        <f t="shared" si="67"/>
        <v>1436730</v>
      </c>
      <c r="H173" s="52">
        <f t="shared" si="68"/>
        <v>1475014</v>
      </c>
      <c r="I173" s="51">
        <f t="shared" si="69"/>
        <v>1096990</v>
      </c>
      <c r="J173" s="104">
        <f t="shared" si="70"/>
        <v>1151812</v>
      </c>
      <c r="K173" s="106">
        <f t="shared" si="71"/>
        <v>339740</v>
      </c>
      <c r="L173" s="50">
        <f t="shared" si="72"/>
        <v>323202</v>
      </c>
      <c r="M173" s="106">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6">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c r="A174" s="109" t="s">
        <v>52</v>
      </c>
      <c r="B174" s="550" t="s">
        <v>243</v>
      </c>
      <c r="C174" s="136" t="str">
        <f t="shared" si="55"/>
        <v>England ICB - NHS Hampshire and Isle of Wight Integrated Care Board</v>
      </c>
      <c r="D174" s="79">
        <f t="shared" si="57"/>
        <v>718104</v>
      </c>
      <c r="E174" s="79">
        <f t="shared" si="58"/>
        <v>762541</v>
      </c>
      <c r="F174" s="102">
        <f t="shared" si="66"/>
        <v>1842052</v>
      </c>
      <c r="G174" s="51">
        <f t="shared" si="67"/>
        <v>903321</v>
      </c>
      <c r="H174" s="52">
        <f t="shared" si="68"/>
        <v>938731</v>
      </c>
      <c r="I174" s="51">
        <f t="shared" si="69"/>
        <v>718104</v>
      </c>
      <c r="J174" s="104">
        <f t="shared" si="70"/>
        <v>762541</v>
      </c>
      <c r="K174" s="106">
        <f t="shared" si="71"/>
        <v>185217</v>
      </c>
      <c r="L174" s="50">
        <f t="shared" si="72"/>
        <v>176190</v>
      </c>
      <c r="M174" s="106">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6">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c r="A175" s="109" t="s">
        <v>52</v>
      </c>
      <c r="B175" s="550" t="s">
        <v>244</v>
      </c>
      <c r="C175" s="136" t="str">
        <f t="shared" si="55"/>
        <v>England ICB - NHS Herefordshire and Worcestershire Integrated Care Board</v>
      </c>
      <c r="D175" s="79">
        <f t="shared" si="57"/>
        <v>311771</v>
      </c>
      <c r="E175" s="79">
        <f t="shared" si="58"/>
        <v>333199</v>
      </c>
      <c r="F175" s="102">
        <f t="shared" si="66"/>
        <v>797935</v>
      </c>
      <c r="G175" s="51">
        <f t="shared" si="67"/>
        <v>390507</v>
      </c>
      <c r="H175" s="52">
        <f t="shared" si="68"/>
        <v>407428</v>
      </c>
      <c r="I175" s="51">
        <f t="shared" si="69"/>
        <v>311771</v>
      </c>
      <c r="J175" s="104">
        <f t="shared" si="70"/>
        <v>333199</v>
      </c>
      <c r="K175" s="106">
        <f t="shared" si="71"/>
        <v>78736</v>
      </c>
      <c r="L175" s="50">
        <f t="shared" si="72"/>
        <v>74229</v>
      </c>
      <c r="M175" s="106">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6">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c r="A176" s="109" t="s">
        <v>52</v>
      </c>
      <c r="B176" s="550" t="s">
        <v>245</v>
      </c>
      <c r="C176" s="136" t="str">
        <f t="shared" si="55"/>
        <v>England ICB - NHS Hertfordshire and West Essex Integrated Care Board</v>
      </c>
      <c r="D176" s="79">
        <f t="shared" si="57"/>
        <v>561880</v>
      </c>
      <c r="E176" s="79">
        <f t="shared" si="58"/>
        <v>606349</v>
      </c>
      <c r="F176" s="102">
        <f t="shared" si="66"/>
        <v>1506036</v>
      </c>
      <c r="G176" s="51">
        <f t="shared" si="67"/>
        <v>734819</v>
      </c>
      <c r="H176" s="52">
        <f t="shared" si="68"/>
        <v>771217</v>
      </c>
      <c r="I176" s="51">
        <f t="shared" si="69"/>
        <v>561880</v>
      </c>
      <c r="J176" s="104">
        <f t="shared" si="70"/>
        <v>606349</v>
      </c>
      <c r="K176" s="106">
        <f t="shared" si="71"/>
        <v>172939</v>
      </c>
      <c r="L176" s="50">
        <f t="shared" si="72"/>
        <v>164868</v>
      </c>
      <c r="M176" s="106">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6">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c r="A177" s="109" t="s">
        <v>52</v>
      </c>
      <c r="B177" s="550" t="s">
        <v>246</v>
      </c>
      <c r="C177" s="136" t="str">
        <f t="shared" si="55"/>
        <v>England ICB - NHS Humber and North Yorkshire Integrated Care Board</v>
      </c>
      <c r="D177" s="79">
        <f t="shared" si="57"/>
        <v>672459</v>
      </c>
      <c r="E177" s="79">
        <f t="shared" si="58"/>
        <v>712297</v>
      </c>
      <c r="F177" s="102">
        <f t="shared" si="66"/>
        <v>1713205</v>
      </c>
      <c r="G177" s="51">
        <f t="shared" si="67"/>
        <v>841169</v>
      </c>
      <c r="H177" s="52">
        <f t="shared" si="68"/>
        <v>872036</v>
      </c>
      <c r="I177" s="51">
        <f t="shared" si="69"/>
        <v>672459</v>
      </c>
      <c r="J177" s="104">
        <f t="shared" si="70"/>
        <v>712297</v>
      </c>
      <c r="K177" s="106">
        <f t="shared" si="71"/>
        <v>168710</v>
      </c>
      <c r="L177" s="50">
        <f t="shared" si="72"/>
        <v>159739</v>
      </c>
      <c r="M177" s="106">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6">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c r="A178" s="109" t="s">
        <v>52</v>
      </c>
      <c r="B178" s="550" t="s">
        <v>247</v>
      </c>
      <c r="C178" s="136" t="str">
        <f t="shared" si="55"/>
        <v>England ICB - NHS Kent and Medway Integrated Care Board</v>
      </c>
      <c r="D178" s="79">
        <f t="shared" si="57"/>
        <v>705391</v>
      </c>
      <c r="E178" s="79">
        <f t="shared" si="58"/>
        <v>762802</v>
      </c>
      <c r="F178" s="102">
        <f t="shared" si="66"/>
        <v>1875893</v>
      </c>
      <c r="G178" s="51">
        <f t="shared" si="67"/>
        <v>914637</v>
      </c>
      <c r="H178" s="52">
        <f t="shared" si="68"/>
        <v>961256</v>
      </c>
      <c r="I178" s="51">
        <f t="shared" si="69"/>
        <v>705391</v>
      </c>
      <c r="J178" s="104">
        <f t="shared" si="70"/>
        <v>762802</v>
      </c>
      <c r="K178" s="106">
        <f t="shared" si="71"/>
        <v>209246</v>
      </c>
      <c r="L178" s="50">
        <f t="shared" si="72"/>
        <v>198454</v>
      </c>
      <c r="M178" s="106">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6">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c r="A179" s="109" t="s">
        <v>52</v>
      </c>
      <c r="B179" s="550" t="s">
        <v>248</v>
      </c>
      <c r="C179" s="136" t="str">
        <f t="shared" si="55"/>
        <v>England ICB - NHS Lancashire and South Cumbria Integrated Care Board</v>
      </c>
      <c r="D179" s="79">
        <f t="shared" si="57"/>
        <v>674572</v>
      </c>
      <c r="E179" s="79">
        <f t="shared" si="58"/>
        <v>708629</v>
      </c>
      <c r="F179" s="102">
        <f t="shared" si="66"/>
        <v>1737241</v>
      </c>
      <c r="G179" s="51">
        <f t="shared" si="67"/>
        <v>855662</v>
      </c>
      <c r="H179" s="52">
        <f t="shared" si="68"/>
        <v>881579</v>
      </c>
      <c r="I179" s="51">
        <f t="shared" si="69"/>
        <v>674572</v>
      </c>
      <c r="J179" s="104">
        <f t="shared" si="70"/>
        <v>708629</v>
      </c>
      <c r="K179" s="106">
        <f t="shared" si="71"/>
        <v>181090</v>
      </c>
      <c r="L179" s="50">
        <f t="shared" si="72"/>
        <v>172950</v>
      </c>
      <c r="M179" s="106">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6">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c r="A180" s="109" t="s">
        <v>52</v>
      </c>
      <c r="B180" s="550" t="s">
        <v>249</v>
      </c>
      <c r="C180" s="136" t="str">
        <f t="shared" si="55"/>
        <v>England ICB - NHS Leicester, Leicestershire and Rutland Integrated Care Board</v>
      </c>
      <c r="D180" s="79">
        <f t="shared" si="57"/>
        <v>440810</v>
      </c>
      <c r="E180" s="79">
        <f t="shared" si="58"/>
        <v>457187</v>
      </c>
      <c r="F180" s="102">
        <f t="shared" si="66"/>
        <v>1136705</v>
      </c>
      <c r="G180" s="51">
        <f t="shared" si="67"/>
        <v>563981</v>
      </c>
      <c r="H180" s="52">
        <f t="shared" si="68"/>
        <v>572724</v>
      </c>
      <c r="I180" s="51">
        <f t="shared" si="69"/>
        <v>440810</v>
      </c>
      <c r="J180" s="104">
        <f t="shared" si="70"/>
        <v>457187</v>
      </c>
      <c r="K180" s="106">
        <f t="shared" si="71"/>
        <v>123171</v>
      </c>
      <c r="L180" s="50">
        <f t="shared" si="72"/>
        <v>115537</v>
      </c>
      <c r="M180" s="106">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6">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c r="A181" s="109" t="s">
        <v>52</v>
      </c>
      <c r="B181" s="550" t="s">
        <v>250</v>
      </c>
      <c r="C181" s="136" t="str">
        <f t="shared" si="55"/>
        <v>England ICB - NHS Lincolnshire Integrated Care Board</v>
      </c>
      <c r="D181" s="79">
        <f t="shared" si="57"/>
        <v>305377</v>
      </c>
      <c r="E181" s="79">
        <f t="shared" si="58"/>
        <v>324135</v>
      </c>
      <c r="F181" s="102">
        <f t="shared" si="66"/>
        <v>775524</v>
      </c>
      <c r="G181" s="51">
        <f t="shared" si="67"/>
        <v>380037</v>
      </c>
      <c r="H181" s="52">
        <f t="shared" si="68"/>
        <v>395487</v>
      </c>
      <c r="I181" s="51">
        <f t="shared" si="69"/>
        <v>305377</v>
      </c>
      <c r="J181" s="104">
        <f t="shared" si="70"/>
        <v>324135</v>
      </c>
      <c r="K181" s="106">
        <f t="shared" si="71"/>
        <v>74660</v>
      </c>
      <c r="L181" s="50">
        <f t="shared" si="72"/>
        <v>71352</v>
      </c>
      <c r="M181" s="106">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6">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c r="A182" s="109" t="s">
        <v>52</v>
      </c>
      <c r="B182" s="550" t="s">
        <v>251</v>
      </c>
      <c r="C182" s="136" t="str">
        <f t="shared" si="55"/>
        <v>England ICB - NHS Mid and South Essex Integrated Care Board</v>
      </c>
      <c r="D182" s="79">
        <f t="shared" si="57"/>
        <v>455569</v>
      </c>
      <c r="E182" s="79">
        <f t="shared" si="58"/>
        <v>491909</v>
      </c>
      <c r="F182" s="102">
        <f t="shared" si="66"/>
        <v>1209480</v>
      </c>
      <c r="G182" s="51">
        <f t="shared" si="67"/>
        <v>589912</v>
      </c>
      <c r="H182" s="52">
        <f t="shared" si="68"/>
        <v>619568</v>
      </c>
      <c r="I182" s="51">
        <f t="shared" si="69"/>
        <v>455569</v>
      </c>
      <c r="J182" s="104">
        <f t="shared" si="70"/>
        <v>491909</v>
      </c>
      <c r="K182" s="106">
        <f t="shared" si="71"/>
        <v>134343</v>
      </c>
      <c r="L182" s="50">
        <f t="shared" si="72"/>
        <v>127659</v>
      </c>
      <c r="M182" s="106">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6">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c r="A183" s="109" t="s">
        <v>52</v>
      </c>
      <c r="B183" s="550" t="s">
        <v>252</v>
      </c>
      <c r="C183" s="136" t="str">
        <f t="shared" si="55"/>
        <v>England ICB - NHS Norfolk and Waveney Integrated Care Board</v>
      </c>
      <c r="D183" s="79">
        <f t="shared" si="57"/>
        <v>413052</v>
      </c>
      <c r="E183" s="79">
        <f t="shared" si="58"/>
        <v>438783</v>
      </c>
      <c r="F183" s="102">
        <f t="shared" si="66"/>
        <v>1041932</v>
      </c>
      <c r="G183" s="51">
        <f t="shared" si="67"/>
        <v>510572</v>
      </c>
      <c r="H183" s="52">
        <f t="shared" si="68"/>
        <v>531360</v>
      </c>
      <c r="I183" s="51">
        <f t="shared" si="69"/>
        <v>413052</v>
      </c>
      <c r="J183" s="104">
        <f t="shared" si="70"/>
        <v>438783</v>
      </c>
      <c r="K183" s="106">
        <f t="shared" si="71"/>
        <v>97520</v>
      </c>
      <c r="L183" s="50">
        <f t="shared" si="72"/>
        <v>92577</v>
      </c>
      <c r="M183" s="106">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6">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c r="A184" s="109" t="s">
        <v>52</v>
      </c>
      <c r="B184" s="550" t="s">
        <v>253</v>
      </c>
      <c r="C184" s="136" t="str">
        <f t="shared" si="55"/>
        <v>England ICB - NHS North Central London Integrated Care Board</v>
      </c>
      <c r="D184" s="79">
        <f t="shared" si="57"/>
        <v>525382</v>
      </c>
      <c r="E184" s="79">
        <f t="shared" si="58"/>
        <v>593171</v>
      </c>
      <c r="F184" s="102">
        <f t="shared" si="66"/>
        <v>1416558</v>
      </c>
      <c r="G184" s="51">
        <f t="shared" si="67"/>
        <v>677387</v>
      </c>
      <c r="H184" s="52">
        <f t="shared" si="68"/>
        <v>739171</v>
      </c>
      <c r="I184" s="51">
        <f t="shared" si="69"/>
        <v>525382</v>
      </c>
      <c r="J184" s="104">
        <f t="shared" si="70"/>
        <v>593171</v>
      </c>
      <c r="K184" s="106">
        <f t="shared" si="71"/>
        <v>152005</v>
      </c>
      <c r="L184" s="50">
        <f t="shared" si="72"/>
        <v>146000</v>
      </c>
      <c r="M184" s="106">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6">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c r="A185" s="109" t="s">
        <v>52</v>
      </c>
      <c r="B185" s="550" t="s">
        <v>254</v>
      </c>
      <c r="C185" s="136" t="str">
        <f t="shared" si="55"/>
        <v>England ICB - NHS North East and North Cumbria Integrated Care Board</v>
      </c>
      <c r="D185" s="79">
        <f t="shared" si="57"/>
        <v>1169921</v>
      </c>
      <c r="E185" s="79">
        <f t="shared" si="58"/>
        <v>1245100</v>
      </c>
      <c r="F185" s="102">
        <f t="shared" si="66"/>
        <v>3005519</v>
      </c>
      <c r="G185" s="51">
        <f t="shared" si="67"/>
        <v>1472907</v>
      </c>
      <c r="H185" s="52">
        <f t="shared" si="68"/>
        <v>1532612</v>
      </c>
      <c r="I185" s="51">
        <f t="shared" si="69"/>
        <v>1169921</v>
      </c>
      <c r="J185" s="104">
        <f t="shared" si="70"/>
        <v>1245100</v>
      </c>
      <c r="K185" s="106">
        <f t="shared" si="71"/>
        <v>302986</v>
      </c>
      <c r="L185" s="50">
        <f t="shared" si="72"/>
        <v>287512</v>
      </c>
      <c r="M185" s="106">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6">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c r="A186" s="109" t="s">
        <v>52</v>
      </c>
      <c r="B186" s="550" t="s">
        <v>255</v>
      </c>
      <c r="C186" s="136" t="str">
        <f t="shared" si="55"/>
        <v>England ICB - NHS North East London Integrated Care Board</v>
      </c>
      <c r="D186" s="79">
        <f t="shared" si="57"/>
        <v>760944</v>
      </c>
      <c r="E186" s="79">
        <f t="shared" si="58"/>
        <v>800228</v>
      </c>
      <c r="F186" s="102">
        <f t="shared" si="66"/>
        <v>2028265</v>
      </c>
      <c r="G186" s="51">
        <f t="shared" si="67"/>
        <v>998819</v>
      </c>
      <c r="H186" s="52">
        <f t="shared" si="68"/>
        <v>1029446</v>
      </c>
      <c r="I186" s="51">
        <f t="shared" si="69"/>
        <v>760944</v>
      </c>
      <c r="J186" s="104">
        <f t="shared" si="70"/>
        <v>800228</v>
      </c>
      <c r="K186" s="106">
        <f t="shared" si="71"/>
        <v>237875</v>
      </c>
      <c r="L186" s="50">
        <f t="shared" si="72"/>
        <v>229218</v>
      </c>
      <c r="M186" s="106">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6">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c r="A187" s="109" t="s">
        <v>52</v>
      </c>
      <c r="B187" s="550" t="s">
        <v>256</v>
      </c>
      <c r="C187" s="136" t="str">
        <f t="shared" si="55"/>
        <v>England ICB - NHS North West London Integrated Care Board</v>
      </c>
      <c r="D187" s="79">
        <f t="shared" si="57"/>
        <v>811699</v>
      </c>
      <c r="E187" s="79">
        <f t="shared" si="58"/>
        <v>867923</v>
      </c>
      <c r="F187" s="102">
        <f>G187+H187</f>
        <v>2116269</v>
      </c>
      <c r="G187" s="51">
        <f>SUM(M187:CY187)</f>
        <v>1035418</v>
      </c>
      <c r="H187" s="52">
        <f>SUM(CZ187:GL187)</f>
        <v>1080851</v>
      </c>
      <c r="I187" s="51">
        <f>SUM(AE187:CY187)</f>
        <v>811699</v>
      </c>
      <c r="J187" s="104">
        <f>SUM(DR187:GL187)</f>
        <v>867923</v>
      </c>
      <c r="K187" s="106">
        <f>SUM(M187:AD187)</f>
        <v>223719</v>
      </c>
      <c r="L187" s="50">
        <f>SUM(CZ187:DQ187)</f>
        <v>212928</v>
      </c>
      <c r="M187" s="106">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6">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c r="A188" s="109" t="s">
        <v>52</v>
      </c>
      <c r="B188" s="550" t="s">
        <v>257</v>
      </c>
      <c r="C188" s="136" t="str">
        <f t="shared" si="55"/>
        <v>England ICB - NHS Northamptonshire Integrated Care Board</v>
      </c>
      <c r="D188" s="79">
        <f t="shared" si="57"/>
        <v>302548</v>
      </c>
      <c r="E188" s="79">
        <f t="shared" si="58"/>
        <v>316259</v>
      </c>
      <c r="F188" s="102">
        <f t="shared" si="66"/>
        <v>792421</v>
      </c>
      <c r="G188" s="51">
        <f t="shared" si="67"/>
        <v>391147</v>
      </c>
      <c r="H188" s="52">
        <f t="shared" si="68"/>
        <v>401274</v>
      </c>
      <c r="I188" s="51">
        <f t="shared" si="69"/>
        <v>302548</v>
      </c>
      <c r="J188" s="104">
        <f t="shared" si="70"/>
        <v>316259</v>
      </c>
      <c r="K188" s="106">
        <f t="shared" si="71"/>
        <v>88599</v>
      </c>
      <c r="L188" s="50">
        <f t="shared" si="72"/>
        <v>85015</v>
      </c>
      <c r="M188" s="106">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6">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c r="A189" s="109" t="s">
        <v>52</v>
      </c>
      <c r="B189" s="550" t="s">
        <v>258</v>
      </c>
      <c r="C189" s="136" t="str">
        <f t="shared" si="55"/>
        <v>England ICB - NHS Nottingham and Nottinghamshire Integrated Care Board</v>
      </c>
      <c r="D189" s="79">
        <f t="shared" si="57"/>
        <v>451967</v>
      </c>
      <c r="E189" s="79">
        <f t="shared" si="58"/>
        <v>478147</v>
      </c>
      <c r="F189" s="102">
        <f>G189+H189</f>
        <v>1163335</v>
      </c>
      <c r="G189" s="51">
        <f>SUM(M189:CY189)</f>
        <v>571457</v>
      </c>
      <c r="H189" s="52">
        <f>SUM(CZ189:GL189)</f>
        <v>591878</v>
      </c>
      <c r="I189" s="51">
        <f>SUM(AE189:CY189)</f>
        <v>451967</v>
      </c>
      <c r="J189" s="104">
        <f>SUM(DR189:GL189)</f>
        <v>478147</v>
      </c>
      <c r="K189" s="106">
        <f>SUM(M189:AD189)</f>
        <v>119490</v>
      </c>
      <c r="L189" s="50">
        <f>SUM(CZ189:DQ189)</f>
        <v>113731</v>
      </c>
      <c r="M189" s="106">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6">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c r="A190" s="109" t="s">
        <v>52</v>
      </c>
      <c r="B190" s="550" t="s">
        <v>259</v>
      </c>
      <c r="C190" s="136" t="str">
        <f t="shared" si="55"/>
        <v>England ICB - NHS Shropshire, Telford and Wrekin Integrated Care Board</v>
      </c>
      <c r="D190" s="79">
        <f t="shared" si="57"/>
        <v>202333</v>
      </c>
      <c r="E190" s="79">
        <f t="shared" si="58"/>
        <v>212592</v>
      </c>
      <c r="F190" s="102">
        <f>G190+H190</f>
        <v>516049</v>
      </c>
      <c r="G190" s="51">
        <f>SUM(M190:CY190)</f>
        <v>254197</v>
      </c>
      <c r="H190" s="52">
        <f>SUM(CZ190:GL190)</f>
        <v>261852</v>
      </c>
      <c r="I190" s="51">
        <f>SUM(AE190:CY190)</f>
        <v>202333</v>
      </c>
      <c r="J190" s="104">
        <f>SUM(DR190:GL190)</f>
        <v>212592</v>
      </c>
      <c r="K190" s="106">
        <f>SUM(M190:AD190)</f>
        <v>51864</v>
      </c>
      <c r="L190" s="50">
        <f>SUM(CZ190:DQ190)</f>
        <v>49260</v>
      </c>
      <c r="M190" s="106">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6">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c r="A191" s="109" t="s">
        <v>52</v>
      </c>
      <c r="B191" s="550" t="s">
        <v>260</v>
      </c>
      <c r="C191" s="136" t="str">
        <f t="shared" si="55"/>
        <v>England ICB - NHS Somerset Integrated Care Board</v>
      </c>
      <c r="D191" s="79">
        <f t="shared" si="57"/>
        <v>225653</v>
      </c>
      <c r="E191" s="79">
        <f t="shared" si="58"/>
        <v>240687</v>
      </c>
      <c r="F191" s="102">
        <f>G191+H191</f>
        <v>576852</v>
      </c>
      <c r="G191" s="51">
        <f>SUM(M191:CY191)</f>
        <v>282176</v>
      </c>
      <c r="H191" s="52">
        <f>SUM(CZ191:GL191)</f>
        <v>294676</v>
      </c>
      <c r="I191" s="51">
        <f>SUM(AE191:CY191)</f>
        <v>225653</v>
      </c>
      <c r="J191" s="104">
        <f>SUM(DR191:GL191)</f>
        <v>240687</v>
      </c>
      <c r="K191" s="106">
        <f>SUM(M191:AD191)</f>
        <v>56523</v>
      </c>
      <c r="L191" s="50">
        <f>SUM(CZ191:DQ191)</f>
        <v>53989</v>
      </c>
      <c r="M191" s="106">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6">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c r="A192" s="109" t="s">
        <v>52</v>
      </c>
      <c r="B192" s="550" t="s">
        <v>261</v>
      </c>
      <c r="C192" s="136" t="str">
        <f t="shared" si="55"/>
        <v>England ICB - NHS South East London Integrated Care Board</v>
      </c>
      <c r="D192" s="79">
        <f t="shared" si="57"/>
        <v>677404</v>
      </c>
      <c r="E192" s="79">
        <f t="shared" si="58"/>
        <v>749378</v>
      </c>
      <c r="F192" s="102">
        <f>G192+H192</f>
        <v>1795871</v>
      </c>
      <c r="G192" s="51">
        <f>SUM(M192:CY192)</f>
        <v>865549</v>
      </c>
      <c r="H192" s="52">
        <f>SUM(CZ192:GL192)</f>
        <v>930322</v>
      </c>
      <c r="I192" s="51">
        <f>SUM(AE192:CY192)</f>
        <v>677404</v>
      </c>
      <c r="J192" s="104">
        <f>SUM(DR192:GL192)</f>
        <v>749378</v>
      </c>
      <c r="K192" s="106">
        <f>SUM(M192:AD192)</f>
        <v>188145</v>
      </c>
      <c r="L192" s="50">
        <f>SUM(CZ192:DQ192)</f>
        <v>180944</v>
      </c>
      <c r="M192" s="106">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6">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c r="A193" s="109" t="s">
        <v>52</v>
      </c>
      <c r="B193" s="550" t="s">
        <v>262</v>
      </c>
      <c r="C193" s="136" t="str">
        <f t="shared" si="55"/>
        <v>England ICB - NHS South West London Integrated Care Board</v>
      </c>
      <c r="D193" s="79">
        <f t="shared" si="57"/>
        <v>558793</v>
      </c>
      <c r="E193" s="79">
        <f t="shared" si="58"/>
        <v>624396</v>
      </c>
      <c r="F193" s="102">
        <f>G193+H193</f>
        <v>1509217</v>
      </c>
      <c r="G193" s="51">
        <f>SUM(M193:CY193)</f>
        <v>725443</v>
      </c>
      <c r="H193" s="52">
        <f>SUM(CZ193:GL193)</f>
        <v>783774</v>
      </c>
      <c r="I193" s="51">
        <f>SUM(AE193:CY193)</f>
        <v>558793</v>
      </c>
      <c r="J193" s="104">
        <f>SUM(DR193:GL193)</f>
        <v>624396</v>
      </c>
      <c r="K193" s="106">
        <f>SUM(M193:AD193)</f>
        <v>166650</v>
      </c>
      <c r="L193" s="50">
        <f>SUM(CZ193:DQ193)</f>
        <v>159378</v>
      </c>
      <c r="M193" s="106">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6">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c r="A194" s="109" t="s">
        <v>52</v>
      </c>
      <c r="B194" s="550" t="s">
        <v>263</v>
      </c>
      <c r="C194" s="136" t="str">
        <f t="shared" si="55"/>
        <v>England ICB - NHS South Yorkshire Integrated Care Board</v>
      </c>
      <c r="D194" s="79">
        <f t="shared" si="57"/>
        <v>540959</v>
      </c>
      <c r="E194" s="79">
        <f t="shared" si="58"/>
        <v>564398</v>
      </c>
      <c r="F194" s="102">
        <f t="shared" ref="F194:F199" si="73">G194+H194</f>
        <v>1392105</v>
      </c>
      <c r="G194" s="51">
        <f t="shared" ref="G194:G199" si="74">SUM(M194:CY194)</f>
        <v>687732</v>
      </c>
      <c r="H194" s="52">
        <f t="shared" ref="H194:H199" si="75">SUM(CZ194:GL194)</f>
        <v>704373</v>
      </c>
      <c r="I194" s="51">
        <f t="shared" ref="I194:I199" si="76">SUM(AE194:CY194)</f>
        <v>540959</v>
      </c>
      <c r="J194" s="104">
        <f t="shared" ref="J194:J199" si="77">SUM(DR194:GL194)</f>
        <v>564398</v>
      </c>
      <c r="K194" s="106">
        <f t="shared" ref="K194:K199" si="78">SUM(M194:AD194)</f>
        <v>146773</v>
      </c>
      <c r="L194" s="50">
        <f t="shared" ref="L194:L199" si="79">SUM(CZ194:DQ194)</f>
        <v>139975</v>
      </c>
      <c r="M194" s="106">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6">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c r="A195" s="109" t="s">
        <v>52</v>
      </c>
      <c r="B195" s="550" t="s">
        <v>264</v>
      </c>
      <c r="C195" s="136" t="str">
        <f t="shared" si="55"/>
        <v>England ICB - NHS Staffordshire and Stoke-on-Trent Integrated Care Board</v>
      </c>
      <c r="D195" s="79">
        <f t="shared" si="57"/>
        <v>450065</v>
      </c>
      <c r="E195" s="79">
        <f t="shared" si="58"/>
        <v>466226</v>
      </c>
      <c r="F195" s="102">
        <f t="shared" si="73"/>
        <v>1146249</v>
      </c>
      <c r="G195" s="51">
        <f t="shared" si="74"/>
        <v>567449</v>
      </c>
      <c r="H195" s="52">
        <f t="shared" si="75"/>
        <v>578800</v>
      </c>
      <c r="I195" s="51">
        <f t="shared" si="76"/>
        <v>450065</v>
      </c>
      <c r="J195" s="104">
        <f t="shared" si="77"/>
        <v>466226</v>
      </c>
      <c r="K195" s="106">
        <f t="shared" si="78"/>
        <v>117384</v>
      </c>
      <c r="L195" s="50">
        <f t="shared" si="79"/>
        <v>112574</v>
      </c>
      <c r="M195" s="106">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6">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c r="A196" s="109" t="s">
        <v>52</v>
      </c>
      <c r="B196" s="550" t="s">
        <v>265</v>
      </c>
      <c r="C196" s="136" t="str">
        <f t="shared" si="55"/>
        <v>England ICB - NHS Suffolk and North East Essex Integrated Care Board</v>
      </c>
      <c r="D196" s="79">
        <f t="shared" si="57"/>
        <v>390250</v>
      </c>
      <c r="E196" s="79">
        <f t="shared" si="58"/>
        <v>412336</v>
      </c>
      <c r="F196" s="102">
        <f t="shared" si="73"/>
        <v>997767</v>
      </c>
      <c r="G196" s="51">
        <f t="shared" si="74"/>
        <v>490262</v>
      </c>
      <c r="H196" s="52">
        <f t="shared" si="75"/>
        <v>507505</v>
      </c>
      <c r="I196" s="51">
        <f t="shared" si="76"/>
        <v>390250</v>
      </c>
      <c r="J196" s="104">
        <f t="shared" si="77"/>
        <v>412336</v>
      </c>
      <c r="K196" s="106">
        <f t="shared" si="78"/>
        <v>100012</v>
      </c>
      <c r="L196" s="50">
        <f t="shared" si="79"/>
        <v>95169</v>
      </c>
      <c r="M196" s="106">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6">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c r="A197" s="109" t="s">
        <v>52</v>
      </c>
      <c r="B197" s="550" t="s">
        <v>266</v>
      </c>
      <c r="C197" s="136" t="str">
        <f t="shared" si="55"/>
        <v>England ICB - NHS Surrey Heartlands Integrated Care Board</v>
      </c>
      <c r="D197" s="79">
        <f t="shared" si="57"/>
        <v>398933</v>
      </c>
      <c r="E197" s="79">
        <f t="shared" si="58"/>
        <v>429149</v>
      </c>
      <c r="F197" s="102">
        <f t="shared" si="73"/>
        <v>1058519</v>
      </c>
      <c r="G197" s="51">
        <f t="shared" si="74"/>
        <v>516579</v>
      </c>
      <c r="H197" s="52">
        <f t="shared" si="75"/>
        <v>541940</v>
      </c>
      <c r="I197" s="51">
        <f t="shared" si="76"/>
        <v>398933</v>
      </c>
      <c r="J197" s="104">
        <f t="shared" si="77"/>
        <v>429149</v>
      </c>
      <c r="K197" s="106">
        <f t="shared" si="78"/>
        <v>117646</v>
      </c>
      <c r="L197" s="50">
        <f t="shared" si="79"/>
        <v>112791</v>
      </c>
      <c r="M197" s="106">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6">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c r="A198" s="109" t="s">
        <v>52</v>
      </c>
      <c r="B198" s="550" t="s">
        <v>267</v>
      </c>
      <c r="C198" s="136" t="str">
        <f t="shared" si="55"/>
        <v>England ICB - NHS Sussex Integrated Care Board</v>
      </c>
      <c r="D198" s="79">
        <f t="shared" si="57"/>
        <v>666059</v>
      </c>
      <c r="E198" s="79">
        <f t="shared" si="58"/>
        <v>728176</v>
      </c>
      <c r="F198" s="102">
        <f t="shared" si="73"/>
        <v>1721021</v>
      </c>
      <c r="G198" s="51">
        <f t="shared" si="74"/>
        <v>833713</v>
      </c>
      <c r="H198" s="52">
        <f t="shared" si="75"/>
        <v>887308</v>
      </c>
      <c r="I198" s="51">
        <f t="shared" si="76"/>
        <v>666059</v>
      </c>
      <c r="J198" s="104">
        <f t="shared" si="77"/>
        <v>728176</v>
      </c>
      <c r="K198" s="106">
        <f t="shared" si="78"/>
        <v>167654</v>
      </c>
      <c r="L198" s="50">
        <f t="shared" si="79"/>
        <v>159132</v>
      </c>
      <c r="M198" s="106">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6">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c r="A199" s="109" t="s">
        <v>52</v>
      </c>
      <c r="B199" s="550" t="s">
        <v>268</v>
      </c>
      <c r="C199" s="136" t="str">
        <f t="shared" si="55"/>
        <v>England ICB - NHS West Yorkshire Integrated Care Board</v>
      </c>
      <c r="D199" s="79">
        <f t="shared" si="57"/>
        <v>914649</v>
      </c>
      <c r="E199" s="79">
        <f t="shared" si="58"/>
        <v>974243</v>
      </c>
      <c r="F199" s="102">
        <f t="shared" si="73"/>
        <v>2429755</v>
      </c>
      <c r="G199" s="51">
        <f t="shared" si="74"/>
        <v>1191152</v>
      </c>
      <c r="H199" s="52">
        <f t="shared" si="75"/>
        <v>1238603</v>
      </c>
      <c r="I199" s="51">
        <f t="shared" si="76"/>
        <v>914649</v>
      </c>
      <c r="J199" s="104">
        <f t="shared" si="77"/>
        <v>974243</v>
      </c>
      <c r="K199" s="106">
        <f t="shared" si="78"/>
        <v>276503</v>
      </c>
      <c r="L199" s="50">
        <f t="shared" si="79"/>
        <v>264360</v>
      </c>
      <c r="M199" s="106">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6">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5" customFormat="1" ht="15">
      <c r="A200" s="112"/>
      <c r="B200" s="551"/>
      <c r="C200" s="119"/>
      <c r="D200" s="134">
        <f t="shared" ref="D200:L200" si="80">SUM(D158:D199)</f>
        <v>21895402</v>
      </c>
      <c r="E200" s="134">
        <f t="shared" si="80"/>
        <v>23324090</v>
      </c>
      <c r="F200" s="134">
        <f t="shared" si="80"/>
        <v>57106398</v>
      </c>
      <c r="G200" s="134">
        <f t="shared" si="80"/>
        <v>27983290</v>
      </c>
      <c r="H200" s="134">
        <f t="shared" si="80"/>
        <v>29123108</v>
      </c>
      <c r="I200" s="134">
        <f t="shared" si="80"/>
        <v>21895402</v>
      </c>
      <c r="J200" s="134">
        <f t="shared" si="80"/>
        <v>23324090</v>
      </c>
      <c r="K200" s="134">
        <f t="shared" si="80"/>
        <v>6087888</v>
      </c>
      <c r="L200" s="134">
        <f t="shared" si="80"/>
        <v>5799018</v>
      </c>
      <c r="M200" s="13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3"/>
      <c r="CZ200" s="135"/>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c r="DY200" s="114"/>
      <c r="DZ200" s="114"/>
      <c r="EA200" s="114"/>
      <c r="EB200" s="114"/>
      <c r="EC200" s="114"/>
      <c r="ED200" s="114"/>
      <c r="EE200" s="114"/>
      <c r="EF200" s="114"/>
      <c r="EG200" s="114"/>
      <c r="EH200" s="114"/>
      <c r="EI200" s="114"/>
      <c r="EJ200" s="114"/>
      <c r="EK200" s="114"/>
      <c r="EL200" s="114"/>
      <c r="EM200" s="114"/>
      <c r="EN200" s="114"/>
      <c r="EO200" s="114"/>
      <c r="EP200" s="114"/>
      <c r="EQ200" s="114"/>
      <c r="ER200" s="114"/>
      <c r="ES200" s="114"/>
      <c r="ET200" s="114"/>
      <c r="EU200" s="114"/>
      <c r="EV200" s="114"/>
      <c r="EW200" s="114"/>
      <c r="EX200" s="114"/>
      <c r="EY200" s="114"/>
      <c r="EZ200" s="114"/>
      <c r="FA200" s="114"/>
      <c r="FB200" s="114"/>
      <c r="FC200" s="114"/>
      <c r="FD200" s="114"/>
      <c r="FE200" s="114"/>
      <c r="FF200" s="114"/>
      <c r="FG200" s="114"/>
      <c r="FH200" s="114"/>
      <c r="FI200" s="114"/>
      <c r="FJ200" s="114"/>
      <c r="FK200" s="114"/>
      <c r="FL200" s="114"/>
      <c r="FM200" s="114"/>
      <c r="FN200" s="114"/>
      <c r="FO200" s="114"/>
      <c r="FP200" s="114"/>
      <c r="FQ200" s="114"/>
      <c r="FR200" s="114"/>
      <c r="FS200" s="114"/>
      <c r="FT200" s="114"/>
      <c r="FU200" s="114"/>
      <c r="FV200" s="114"/>
      <c r="FW200" s="114"/>
      <c r="FX200" s="114"/>
      <c r="FY200" s="114"/>
      <c r="FZ200" s="114"/>
      <c r="GA200" s="114"/>
      <c r="GB200" s="114"/>
      <c r="GC200" s="114"/>
      <c r="GD200" s="114"/>
      <c r="GE200" s="114"/>
      <c r="GF200" s="114"/>
      <c r="GG200" s="114"/>
      <c r="GH200" s="114"/>
      <c r="GI200" s="114"/>
      <c r="GJ200" s="114"/>
      <c r="GK200" s="114"/>
      <c r="GL200" s="113"/>
    </row>
    <row r="201" spans="1:194" s="1" customFormat="1">
      <c r="A201" s="31" t="s">
        <v>81</v>
      </c>
      <c r="B201" s="1" t="s">
        <v>269</v>
      </c>
      <c r="C201" s="71" t="str">
        <f>CONCATENATE(A201," - ",B201)</f>
        <v>LA England - Adur</v>
      </c>
      <c r="D201" s="60">
        <f t="shared" ref="D201:D264" si="81">I201</f>
        <v>24443</v>
      </c>
      <c r="E201" s="60">
        <f t="shared" ref="E201:E264" si="82">J201</f>
        <v>27108</v>
      </c>
      <c r="F201" s="501">
        <f t="shared" ref="F201:F265" si="83">G201+H201</f>
        <v>64688</v>
      </c>
      <c r="G201" s="501">
        <f t="shared" ref="G201:G265" si="84">SUM(M201:CY201)</f>
        <v>31217</v>
      </c>
      <c r="H201" s="61">
        <f t="shared" ref="H201:H265" si="85">SUM(CZ201:GL201)</f>
        <v>33471</v>
      </c>
      <c r="I201" s="61">
        <f t="shared" ref="I201:I265" si="86">SUM(AE201:CY201)</f>
        <v>24443</v>
      </c>
      <c r="J201" s="61">
        <f t="shared" ref="J201:J265" si="87">SUM(DR201:GL201)</f>
        <v>27108</v>
      </c>
      <c r="K201" s="49">
        <f t="shared" ref="K201:K265" si="88">SUM(M201:AD201)</f>
        <v>6774</v>
      </c>
      <c r="L201" s="60">
        <f t="shared" ref="L201:L265" si="89">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c r="A202" s="31" t="s">
        <v>81</v>
      </c>
      <c r="B202" s="1" t="s">
        <v>270</v>
      </c>
      <c r="C202" s="30" t="str">
        <f>CONCATENATE(A202," - ",B202)</f>
        <v>LA England - Amber Valley</v>
      </c>
      <c r="D202" s="50">
        <f t="shared" si="81"/>
        <v>50386</v>
      </c>
      <c r="E202" s="50">
        <f t="shared" si="82"/>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c r="A203" s="31" t="s">
        <v>81</v>
      </c>
      <c r="B203" s="1" t="s">
        <v>271</v>
      </c>
      <c r="C203" s="30" t="str">
        <f>CONCATENATE(A203," - ",B203)</f>
        <v>LA England - Arun</v>
      </c>
      <c r="D203" s="50">
        <f t="shared" si="81"/>
        <v>65198</v>
      </c>
      <c r="E203" s="50">
        <f t="shared" si="82"/>
        <v>72560</v>
      </c>
      <c r="F203" s="51">
        <f t="shared" si="83"/>
        <v>166366</v>
      </c>
      <c r="G203" s="51">
        <f t="shared" si="84"/>
        <v>79966</v>
      </c>
      <c r="H203" s="52">
        <f t="shared" si="85"/>
        <v>86400</v>
      </c>
      <c r="I203" s="52">
        <f t="shared" si="86"/>
        <v>65198</v>
      </c>
      <c r="J203" s="52">
        <f t="shared" si="87"/>
        <v>72560</v>
      </c>
      <c r="K203" s="49">
        <f t="shared" si="88"/>
        <v>14768</v>
      </c>
      <c r="L203" s="50">
        <f t="shared" si="89"/>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c r="A204" s="31" t="s">
        <v>81</v>
      </c>
      <c r="B204" s="1" t="s">
        <v>272</v>
      </c>
      <c r="C204" s="30" t="str">
        <f t="shared" ref="C204:C267" si="90">CONCATENATE(A204," - ",B204)</f>
        <v>LA England - Ashfield</v>
      </c>
      <c r="D204" s="50">
        <f t="shared" si="81"/>
        <v>48616</v>
      </c>
      <c r="E204" s="50">
        <f t="shared" si="82"/>
        <v>52147</v>
      </c>
      <c r="F204" s="51">
        <f t="shared" si="83"/>
        <v>127179</v>
      </c>
      <c r="G204" s="51">
        <f t="shared" si="84"/>
        <v>62228</v>
      </c>
      <c r="H204" s="52">
        <f t="shared" si="85"/>
        <v>64951</v>
      </c>
      <c r="I204" s="52">
        <f t="shared" si="86"/>
        <v>48616</v>
      </c>
      <c r="J204" s="52">
        <f t="shared" si="87"/>
        <v>52147</v>
      </c>
      <c r="K204" s="49">
        <f t="shared" si="88"/>
        <v>13612</v>
      </c>
      <c r="L204" s="50">
        <f t="shared" si="89"/>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c r="A205" s="31" t="s">
        <v>81</v>
      </c>
      <c r="B205" s="1" t="s">
        <v>273</v>
      </c>
      <c r="C205" s="30" t="str">
        <f t="shared" si="90"/>
        <v>LA England - Ashford</v>
      </c>
      <c r="D205" s="50">
        <f t="shared" si="81"/>
        <v>50720</v>
      </c>
      <c r="E205" s="50">
        <f t="shared" si="82"/>
        <v>55066</v>
      </c>
      <c r="F205" s="51">
        <f t="shared" si="83"/>
        <v>135610</v>
      </c>
      <c r="G205" s="51">
        <f t="shared" si="84"/>
        <v>65965</v>
      </c>
      <c r="H205" s="52">
        <f t="shared" si="85"/>
        <v>69645</v>
      </c>
      <c r="I205" s="52">
        <f t="shared" si="86"/>
        <v>50720</v>
      </c>
      <c r="J205" s="52">
        <f t="shared" si="87"/>
        <v>55066</v>
      </c>
      <c r="K205" s="49">
        <f t="shared" si="88"/>
        <v>15245</v>
      </c>
      <c r="L205" s="50">
        <f t="shared" si="89"/>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c r="A206" s="31" t="s">
        <v>81</v>
      </c>
      <c r="B206" s="1" t="s">
        <v>274</v>
      </c>
      <c r="C206" s="30" t="str">
        <f t="shared" si="90"/>
        <v>LA England - Babergh</v>
      </c>
      <c r="D206" s="50">
        <f t="shared" si="81"/>
        <v>36897</v>
      </c>
      <c r="E206" s="50">
        <f t="shared" si="82"/>
        <v>40085</v>
      </c>
      <c r="F206" s="51">
        <f t="shared" si="83"/>
        <v>94277</v>
      </c>
      <c r="G206" s="51">
        <f t="shared" si="84"/>
        <v>45714</v>
      </c>
      <c r="H206" s="52">
        <f t="shared" si="85"/>
        <v>48563</v>
      </c>
      <c r="I206" s="52">
        <f t="shared" si="86"/>
        <v>36897</v>
      </c>
      <c r="J206" s="52">
        <f t="shared" si="87"/>
        <v>40085</v>
      </c>
      <c r="K206" s="49">
        <f t="shared" si="88"/>
        <v>8817</v>
      </c>
      <c r="L206" s="50">
        <f t="shared" si="89"/>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c r="A207" s="31" t="s">
        <v>81</v>
      </c>
      <c r="B207" s="1" t="s">
        <v>275</v>
      </c>
      <c r="C207" s="30" t="str">
        <f t="shared" si="90"/>
        <v>LA England - Barking and Dagenham</v>
      </c>
      <c r="D207" s="50">
        <f t="shared" si="81"/>
        <v>74471</v>
      </c>
      <c r="E207" s="50">
        <f t="shared" si="82"/>
        <v>81550</v>
      </c>
      <c r="F207" s="51">
        <f t="shared" si="83"/>
        <v>219992</v>
      </c>
      <c r="G207" s="51">
        <f t="shared" si="84"/>
        <v>107205</v>
      </c>
      <c r="H207" s="52">
        <f t="shared" si="85"/>
        <v>112787</v>
      </c>
      <c r="I207" s="52">
        <f t="shared" si="86"/>
        <v>74471</v>
      </c>
      <c r="J207" s="52">
        <f t="shared" si="87"/>
        <v>81550</v>
      </c>
      <c r="K207" s="49">
        <f t="shared" si="88"/>
        <v>32734</v>
      </c>
      <c r="L207" s="50">
        <f t="shared" si="89"/>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c r="A208" s="31" t="s">
        <v>81</v>
      </c>
      <c r="B208" s="1" t="s">
        <v>276</v>
      </c>
      <c r="C208" s="30" t="str">
        <f t="shared" si="90"/>
        <v>LA England - Barnet</v>
      </c>
      <c r="D208" s="50">
        <f t="shared" si="81"/>
        <v>141927</v>
      </c>
      <c r="E208" s="50">
        <f t="shared" si="82"/>
        <v>156636</v>
      </c>
      <c r="F208" s="51">
        <f t="shared" si="83"/>
        <v>389101</v>
      </c>
      <c r="G208" s="51">
        <f t="shared" si="84"/>
        <v>188543</v>
      </c>
      <c r="H208" s="52">
        <f t="shared" si="85"/>
        <v>200558</v>
      </c>
      <c r="I208" s="52">
        <f t="shared" si="86"/>
        <v>141927</v>
      </c>
      <c r="J208" s="52">
        <f t="shared" si="87"/>
        <v>156636</v>
      </c>
      <c r="K208" s="49">
        <f t="shared" si="88"/>
        <v>46616</v>
      </c>
      <c r="L208" s="50">
        <f t="shared" si="89"/>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c r="A209" s="31" t="s">
        <v>81</v>
      </c>
      <c r="B209" s="1" t="s">
        <v>277</v>
      </c>
      <c r="C209" s="30" t="str">
        <f t="shared" si="90"/>
        <v>LA England - Barnsley</v>
      </c>
      <c r="D209" s="50">
        <f t="shared" si="81"/>
        <v>95316</v>
      </c>
      <c r="E209" s="50">
        <f t="shared" si="82"/>
        <v>100485</v>
      </c>
      <c r="F209" s="51">
        <f t="shared" si="83"/>
        <v>246482</v>
      </c>
      <c r="G209" s="51">
        <f t="shared" si="84"/>
        <v>121223</v>
      </c>
      <c r="H209" s="52">
        <f t="shared" si="85"/>
        <v>125259</v>
      </c>
      <c r="I209" s="52">
        <f t="shared" si="86"/>
        <v>95316</v>
      </c>
      <c r="J209" s="52">
        <f t="shared" si="87"/>
        <v>100485</v>
      </c>
      <c r="K209" s="49">
        <f t="shared" si="88"/>
        <v>25907</v>
      </c>
      <c r="L209" s="50">
        <f t="shared" si="89"/>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c r="A210" s="31" t="s">
        <v>81</v>
      </c>
      <c r="B210" s="1" t="s">
        <v>278</v>
      </c>
      <c r="C210" s="30" t="str">
        <f t="shared" si="90"/>
        <v>LA England - Basildon</v>
      </c>
      <c r="D210" s="50">
        <f t="shared" si="81"/>
        <v>69270</v>
      </c>
      <c r="E210" s="50">
        <f t="shared" si="82"/>
        <v>75587</v>
      </c>
      <c r="F210" s="51">
        <f t="shared" si="83"/>
        <v>188848</v>
      </c>
      <c r="G210" s="51">
        <f t="shared" si="84"/>
        <v>91792</v>
      </c>
      <c r="H210" s="52">
        <f t="shared" si="85"/>
        <v>97056</v>
      </c>
      <c r="I210" s="52">
        <f t="shared" si="86"/>
        <v>69270</v>
      </c>
      <c r="J210" s="52">
        <f t="shared" si="87"/>
        <v>75587</v>
      </c>
      <c r="K210" s="49">
        <f t="shared" si="88"/>
        <v>22522</v>
      </c>
      <c r="L210" s="50">
        <f t="shared" si="89"/>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c r="A211" s="31" t="s">
        <v>81</v>
      </c>
      <c r="B211" s="1" t="s">
        <v>279</v>
      </c>
      <c r="C211" s="30" t="str">
        <f t="shared" si="90"/>
        <v>LA England - Basingstoke and Deane</v>
      </c>
      <c r="D211" s="50">
        <f t="shared" si="81"/>
        <v>72629</v>
      </c>
      <c r="E211" s="50">
        <f t="shared" si="82"/>
        <v>75400</v>
      </c>
      <c r="F211" s="51">
        <f t="shared" si="83"/>
        <v>187817</v>
      </c>
      <c r="G211" s="51">
        <f t="shared" si="84"/>
        <v>93056</v>
      </c>
      <c r="H211" s="52">
        <f t="shared" si="85"/>
        <v>94761</v>
      </c>
      <c r="I211" s="52">
        <f t="shared" si="86"/>
        <v>72629</v>
      </c>
      <c r="J211" s="52">
        <f t="shared" si="87"/>
        <v>75400</v>
      </c>
      <c r="K211" s="49">
        <f t="shared" si="88"/>
        <v>20427</v>
      </c>
      <c r="L211" s="50">
        <f t="shared" si="89"/>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c r="A212" s="31" t="s">
        <v>81</v>
      </c>
      <c r="B212" s="1" t="s">
        <v>280</v>
      </c>
      <c r="C212" s="30" t="str">
        <f t="shared" si="90"/>
        <v>LA England - Bassetlaw</v>
      </c>
      <c r="D212" s="50">
        <f t="shared" si="81"/>
        <v>47388</v>
      </c>
      <c r="E212" s="50">
        <f t="shared" si="82"/>
        <v>49144</v>
      </c>
      <c r="F212" s="51">
        <f t="shared" si="83"/>
        <v>120012</v>
      </c>
      <c r="G212" s="51">
        <f t="shared" si="84"/>
        <v>59485</v>
      </c>
      <c r="H212" s="52">
        <f t="shared" si="85"/>
        <v>60527</v>
      </c>
      <c r="I212" s="52">
        <f t="shared" si="86"/>
        <v>47388</v>
      </c>
      <c r="J212" s="52">
        <f t="shared" si="87"/>
        <v>49144</v>
      </c>
      <c r="K212" s="49">
        <f t="shared" si="88"/>
        <v>12097</v>
      </c>
      <c r="L212" s="50">
        <f t="shared" si="89"/>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c r="A213" s="31" t="s">
        <v>81</v>
      </c>
      <c r="B213" s="1" t="s">
        <v>281</v>
      </c>
      <c r="C213" s="30" t="str">
        <f t="shared" si="90"/>
        <v>LA England - Bath and North East Somerset</v>
      </c>
      <c r="D213" s="50">
        <f t="shared" si="81"/>
        <v>77006</v>
      </c>
      <c r="E213" s="50">
        <f t="shared" si="82"/>
        <v>82497</v>
      </c>
      <c r="F213" s="51">
        <f t="shared" si="83"/>
        <v>195618</v>
      </c>
      <c r="G213" s="51">
        <f t="shared" si="84"/>
        <v>95553</v>
      </c>
      <c r="H213" s="52">
        <f t="shared" si="85"/>
        <v>100065</v>
      </c>
      <c r="I213" s="52">
        <f t="shared" si="86"/>
        <v>77006</v>
      </c>
      <c r="J213" s="52">
        <f t="shared" si="87"/>
        <v>82497</v>
      </c>
      <c r="K213" s="49">
        <f t="shared" si="88"/>
        <v>18547</v>
      </c>
      <c r="L213" s="50">
        <f t="shared" si="89"/>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c r="A214" s="31" t="s">
        <v>81</v>
      </c>
      <c r="B214" s="1" t="s">
        <v>282</v>
      </c>
      <c r="C214" s="30" t="str">
        <f t="shared" si="90"/>
        <v>LA England - Bedford</v>
      </c>
      <c r="D214" s="50">
        <f t="shared" si="81"/>
        <v>70367</v>
      </c>
      <c r="E214" s="50">
        <f t="shared" si="82"/>
        <v>74766</v>
      </c>
      <c r="F214" s="51">
        <f t="shared" si="83"/>
        <v>187466</v>
      </c>
      <c r="G214" s="51">
        <f t="shared" si="84"/>
        <v>92103</v>
      </c>
      <c r="H214" s="52">
        <f t="shared" si="85"/>
        <v>95363</v>
      </c>
      <c r="I214" s="52">
        <f t="shared" si="86"/>
        <v>70367</v>
      </c>
      <c r="J214" s="52">
        <f t="shared" si="87"/>
        <v>74766</v>
      </c>
      <c r="K214" s="49">
        <f t="shared" si="88"/>
        <v>21736</v>
      </c>
      <c r="L214" s="50">
        <f t="shared" si="89"/>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c r="A215" s="31" t="s">
        <v>81</v>
      </c>
      <c r="B215" s="1" t="s">
        <v>283</v>
      </c>
      <c r="C215" s="30" t="str">
        <f t="shared" si="90"/>
        <v>LA England - Bexley</v>
      </c>
      <c r="D215" s="50">
        <f t="shared" si="81"/>
        <v>90112</v>
      </c>
      <c r="E215" s="50">
        <f t="shared" si="82"/>
        <v>100536</v>
      </c>
      <c r="F215" s="51">
        <f t="shared" si="83"/>
        <v>247835</v>
      </c>
      <c r="G215" s="51">
        <f t="shared" si="84"/>
        <v>119290</v>
      </c>
      <c r="H215" s="52">
        <f t="shared" si="85"/>
        <v>128545</v>
      </c>
      <c r="I215" s="52">
        <f t="shared" si="86"/>
        <v>90112</v>
      </c>
      <c r="J215" s="52">
        <f t="shared" si="87"/>
        <v>100536</v>
      </c>
      <c r="K215" s="49">
        <f t="shared" si="88"/>
        <v>29178</v>
      </c>
      <c r="L215" s="50">
        <f t="shared" si="89"/>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c r="A216" s="31" t="s">
        <v>81</v>
      </c>
      <c r="B216" s="1" t="s">
        <v>284</v>
      </c>
      <c r="C216" s="30" t="str">
        <f t="shared" si="90"/>
        <v>LA England - Birmingham</v>
      </c>
      <c r="D216" s="50">
        <f t="shared" si="81"/>
        <v>422246</v>
      </c>
      <c r="E216" s="50">
        <f t="shared" si="82"/>
        <v>447410</v>
      </c>
      <c r="F216" s="51">
        <f t="shared" si="83"/>
        <v>1157603</v>
      </c>
      <c r="G216" s="51">
        <f t="shared" si="84"/>
        <v>569108</v>
      </c>
      <c r="H216" s="52">
        <f t="shared" si="85"/>
        <v>588495</v>
      </c>
      <c r="I216" s="52">
        <f t="shared" si="86"/>
        <v>422246</v>
      </c>
      <c r="J216" s="52">
        <f t="shared" si="87"/>
        <v>447410</v>
      </c>
      <c r="K216" s="49">
        <f t="shared" si="88"/>
        <v>146862</v>
      </c>
      <c r="L216" s="50">
        <f t="shared" si="89"/>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c r="A217" s="31" t="s">
        <v>81</v>
      </c>
      <c r="B217" s="1" t="s">
        <v>285</v>
      </c>
      <c r="C217" s="30" t="str">
        <f t="shared" si="90"/>
        <v>LA England - Blaby</v>
      </c>
      <c r="D217" s="50">
        <f t="shared" si="81"/>
        <v>39799</v>
      </c>
      <c r="E217" s="50">
        <f t="shared" si="82"/>
        <v>42487</v>
      </c>
      <c r="F217" s="51">
        <f t="shared" si="83"/>
        <v>104182</v>
      </c>
      <c r="G217" s="51">
        <f t="shared" si="84"/>
        <v>51069</v>
      </c>
      <c r="H217" s="52">
        <f t="shared" si="85"/>
        <v>53113</v>
      </c>
      <c r="I217" s="52">
        <f t="shared" si="86"/>
        <v>39799</v>
      </c>
      <c r="J217" s="52">
        <f t="shared" si="87"/>
        <v>42487</v>
      </c>
      <c r="K217" s="49">
        <f t="shared" si="88"/>
        <v>11270</v>
      </c>
      <c r="L217" s="50">
        <f t="shared" si="89"/>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c r="A218" s="31" t="s">
        <v>81</v>
      </c>
      <c r="B218" s="1" t="s">
        <v>286</v>
      </c>
      <c r="C218" s="30" t="str">
        <f t="shared" si="90"/>
        <v>LA England - Blackburn with Darwen</v>
      </c>
      <c r="D218" s="50">
        <f t="shared" si="81"/>
        <v>57058</v>
      </c>
      <c r="E218" s="50">
        <f t="shared" si="82"/>
        <v>58704</v>
      </c>
      <c r="F218" s="51">
        <f t="shared" si="83"/>
        <v>155762</v>
      </c>
      <c r="G218" s="51">
        <f t="shared" si="84"/>
        <v>77331</v>
      </c>
      <c r="H218" s="52">
        <f t="shared" si="85"/>
        <v>78431</v>
      </c>
      <c r="I218" s="52">
        <f t="shared" si="86"/>
        <v>57058</v>
      </c>
      <c r="J218" s="52">
        <f t="shared" si="87"/>
        <v>58704</v>
      </c>
      <c r="K218" s="49">
        <f t="shared" si="88"/>
        <v>20273</v>
      </c>
      <c r="L218" s="50">
        <f t="shared" si="89"/>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c r="A219" s="31" t="s">
        <v>81</v>
      </c>
      <c r="B219" s="1" t="s">
        <v>287</v>
      </c>
      <c r="C219" s="30" t="str">
        <f t="shared" si="90"/>
        <v>LA England - Blackpool</v>
      </c>
      <c r="D219" s="50">
        <f t="shared" si="81"/>
        <v>55562</v>
      </c>
      <c r="E219" s="50">
        <f t="shared" si="82"/>
        <v>57783</v>
      </c>
      <c r="F219" s="51">
        <f t="shared" si="83"/>
        <v>141574</v>
      </c>
      <c r="G219" s="51">
        <f t="shared" si="84"/>
        <v>70014</v>
      </c>
      <c r="H219" s="52">
        <f t="shared" si="85"/>
        <v>71560</v>
      </c>
      <c r="I219" s="52">
        <f t="shared" si="86"/>
        <v>55562</v>
      </c>
      <c r="J219" s="52">
        <f t="shared" si="87"/>
        <v>57783</v>
      </c>
      <c r="K219" s="49">
        <f t="shared" si="88"/>
        <v>14452</v>
      </c>
      <c r="L219" s="50">
        <f t="shared" si="89"/>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c r="A220" s="31" t="s">
        <v>81</v>
      </c>
      <c r="B220" s="1" t="s">
        <v>288</v>
      </c>
      <c r="C220" s="30" t="str">
        <f t="shared" si="90"/>
        <v>LA England - Bolsover</v>
      </c>
      <c r="D220" s="50">
        <f t="shared" si="81"/>
        <v>32064</v>
      </c>
      <c r="E220" s="50">
        <f t="shared" si="82"/>
        <v>33664</v>
      </c>
      <c r="F220" s="51">
        <f t="shared" si="83"/>
        <v>81553</v>
      </c>
      <c r="G220" s="51">
        <f t="shared" si="84"/>
        <v>40122</v>
      </c>
      <c r="H220" s="52">
        <f t="shared" si="85"/>
        <v>41431</v>
      </c>
      <c r="I220" s="52">
        <f t="shared" si="86"/>
        <v>32064</v>
      </c>
      <c r="J220" s="52">
        <f t="shared" si="87"/>
        <v>33664</v>
      </c>
      <c r="K220" s="49">
        <f t="shared" si="88"/>
        <v>8058</v>
      </c>
      <c r="L220" s="50">
        <f t="shared" si="89"/>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c r="A221" s="31" t="s">
        <v>81</v>
      </c>
      <c r="B221" s="1" t="s">
        <v>289</v>
      </c>
      <c r="C221" s="30" t="str">
        <f t="shared" si="90"/>
        <v>LA England - Bolton</v>
      </c>
      <c r="D221" s="50">
        <f t="shared" si="81"/>
        <v>110558</v>
      </c>
      <c r="E221" s="50">
        <f t="shared" si="82"/>
        <v>115887</v>
      </c>
      <c r="F221" s="51">
        <f t="shared" si="83"/>
        <v>298903</v>
      </c>
      <c r="G221" s="51">
        <f t="shared" si="84"/>
        <v>147723</v>
      </c>
      <c r="H221" s="52">
        <f t="shared" si="85"/>
        <v>151180</v>
      </c>
      <c r="I221" s="52">
        <f t="shared" si="86"/>
        <v>110558</v>
      </c>
      <c r="J221" s="52">
        <f t="shared" si="87"/>
        <v>115887</v>
      </c>
      <c r="K221" s="49">
        <f t="shared" si="88"/>
        <v>37165</v>
      </c>
      <c r="L221" s="50">
        <f t="shared" si="89"/>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c r="A222" s="31" t="s">
        <v>81</v>
      </c>
      <c r="B222" s="1" t="s">
        <v>290</v>
      </c>
      <c r="C222" s="30" t="str">
        <f t="shared" si="90"/>
        <v>LA England - Boston</v>
      </c>
      <c r="D222" s="50">
        <f t="shared" si="81"/>
        <v>27145</v>
      </c>
      <c r="E222" s="50">
        <f t="shared" si="82"/>
        <v>28658</v>
      </c>
      <c r="F222" s="51">
        <f t="shared" si="83"/>
        <v>70806</v>
      </c>
      <c r="G222" s="51">
        <f t="shared" si="84"/>
        <v>34835</v>
      </c>
      <c r="H222" s="52">
        <f t="shared" si="85"/>
        <v>35971</v>
      </c>
      <c r="I222" s="52">
        <f t="shared" si="86"/>
        <v>27145</v>
      </c>
      <c r="J222" s="52">
        <f t="shared" si="87"/>
        <v>28658</v>
      </c>
      <c r="K222" s="49">
        <f t="shared" si="88"/>
        <v>7690</v>
      </c>
      <c r="L222" s="50">
        <f t="shared" si="89"/>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c r="A223" s="31" t="s">
        <v>81</v>
      </c>
      <c r="B223" s="1" t="s">
        <v>291</v>
      </c>
      <c r="C223" s="30" t="str">
        <f t="shared" si="90"/>
        <v>LA England - Bournemouth, Christchurch and Poole</v>
      </c>
      <c r="D223" s="50">
        <f t="shared" si="81"/>
        <v>158241</v>
      </c>
      <c r="E223" s="50">
        <f t="shared" si="82"/>
        <v>169802</v>
      </c>
      <c r="F223" s="51">
        <f t="shared" si="83"/>
        <v>401898</v>
      </c>
      <c r="G223" s="51">
        <f t="shared" si="84"/>
        <v>196127</v>
      </c>
      <c r="H223" s="52">
        <f t="shared" si="85"/>
        <v>205771</v>
      </c>
      <c r="I223" s="52">
        <f t="shared" si="86"/>
        <v>158241</v>
      </c>
      <c r="J223" s="52">
        <f t="shared" si="87"/>
        <v>169802</v>
      </c>
      <c r="K223" s="49">
        <f t="shared" si="88"/>
        <v>37886</v>
      </c>
      <c r="L223" s="50">
        <f t="shared" si="89"/>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c r="A224" s="31" t="s">
        <v>81</v>
      </c>
      <c r="B224" s="1" t="s">
        <v>292</v>
      </c>
      <c r="C224" s="30" t="str">
        <f t="shared" si="90"/>
        <v>LA England - Bracknell Forest</v>
      </c>
      <c r="D224" s="50">
        <f t="shared" si="81"/>
        <v>48115</v>
      </c>
      <c r="E224" s="50">
        <f t="shared" si="82"/>
        <v>50547</v>
      </c>
      <c r="F224" s="51">
        <f t="shared" si="83"/>
        <v>126881</v>
      </c>
      <c r="G224" s="51">
        <f t="shared" si="84"/>
        <v>62570</v>
      </c>
      <c r="H224" s="52">
        <f t="shared" si="85"/>
        <v>64311</v>
      </c>
      <c r="I224" s="52">
        <f t="shared" si="86"/>
        <v>48115</v>
      </c>
      <c r="J224" s="52">
        <f t="shared" si="87"/>
        <v>50547</v>
      </c>
      <c r="K224" s="49">
        <f t="shared" si="88"/>
        <v>14455</v>
      </c>
      <c r="L224" s="50">
        <f t="shared" si="89"/>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c r="A225" s="31" t="s">
        <v>81</v>
      </c>
      <c r="B225" s="1" t="s">
        <v>293</v>
      </c>
      <c r="C225" s="30" t="str">
        <f t="shared" si="90"/>
        <v>LA England - Bradford</v>
      </c>
      <c r="D225" s="50">
        <f t="shared" si="81"/>
        <v>199672</v>
      </c>
      <c r="E225" s="50">
        <f t="shared" si="82"/>
        <v>212039</v>
      </c>
      <c r="F225" s="51">
        <f t="shared" si="83"/>
        <v>552644</v>
      </c>
      <c r="G225" s="51">
        <f t="shared" si="84"/>
        <v>271181</v>
      </c>
      <c r="H225" s="52">
        <f t="shared" si="85"/>
        <v>281463</v>
      </c>
      <c r="I225" s="52">
        <f t="shared" si="86"/>
        <v>199672</v>
      </c>
      <c r="J225" s="52">
        <f t="shared" si="87"/>
        <v>212039</v>
      </c>
      <c r="K225" s="49">
        <f t="shared" si="88"/>
        <v>71509</v>
      </c>
      <c r="L225" s="50">
        <f t="shared" si="89"/>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c r="A226" s="31" t="s">
        <v>81</v>
      </c>
      <c r="B226" s="1" t="s">
        <v>294</v>
      </c>
      <c r="C226" s="30" t="str">
        <f t="shared" si="90"/>
        <v>LA England - Braintree</v>
      </c>
      <c r="D226" s="50">
        <f t="shared" si="81"/>
        <v>60374</v>
      </c>
      <c r="E226" s="50">
        <f t="shared" si="82"/>
        <v>64608</v>
      </c>
      <c r="F226" s="51">
        <f t="shared" si="83"/>
        <v>157681</v>
      </c>
      <c r="G226" s="51">
        <f t="shared" si="84"/>
        <v>77152</v>
      </c>
      <c r="H226" s="52">
        <f t="shared" si="85"/>
        <v>80529</v>
      </c>
      <c r="I226" s="52">
        <f t="shared" si="86"/>
        <v>60374</v>
      </c>
      <c r="J226" s="52">
        <f t="shared" si="87"/>
        <v>64608</v>
      </c>
      <c r="K226" s="49">
        <f t="shared" si="88"/>
        <v>16778</v>
      </c>
      <c r="L226" s="50">
        <f t="shared" si="89"/>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c r="A227" s="31" t="s">
        <v>81</v>
      </c>
      <c r="B227" s="1" t="s">
        <v>295</v>
      </c>
      <c r="C227" s="30" t="str">
        <f t="shared" si="90"/>
        <v>LA England - Breckland</v>
      </c>
      <c r="D227" s="50">
        <f t="shared" si="81"/>
        <v>57320</v>
      </c>
      <c r="E227" s="50">
        <f t="shared" si="82"/>
        <v>59417</v>
      </c>
      <c r="F227" s="51">
        <f t="shared" si="83"/>
        <v>143479</v>
      </c>
      <c r="G227" s="51">
        <f t="shared" si="84"/>
        <v>71134</v>
      </c>
      <c r="H227" s="52">
        <f t="shared" si="85"/>
        <v>72345</v>
      </c>
      <c r="I227" s="52">
        <f t="shared" si="86"/>
        <v>57320</v>
      </c>
      <c r="J227" s="52">
        <f t="shared" si="87"/>
        <v>59417</v>
      </c>
      <c r="K227" s="49">
        <f t="shared" si="88"/>
        <v>13814</v>
      </c>
      <c r="L227" s="50">
        <f t="shared" si="89"/>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c r="A228" s="31" t="s">
        <v>81</v>
      </c>
      <c r="B228" s="1" t="s">
        <v>296</v>
      </c>
      <c r="C228" s="30" t="str">
        <f t="shared" si="90"/>
        <v>LA England - Brent</v>
      </c>
      <c r="D228" s="50">
        <f t="shared" si="81"/>
        <v>129562</v>
      </c>
      <c r="E228" s="50">
        <f t="shared" si="82"/>
        <v>138409</v>
      </c>
      <c r="F228" s="51">
        <f t="shared" si="83"/>
        <v>341221</v>
      </c>
      <c r="G228" s="51">
        <f t="shared" si="84"/>
        <v>167159</v>
      </c>
      <c r="H228" s="52">
        <f t="shared" si="85"/>
        <v>174062</v>
      </c>
      <c r="I228" s="52">
        <f t="shared" si="86"/>
        <v>129562</v>
      </c>
      <c r="J228" s="52">
        <f t="shared" si="87"/>
        <v>138409</v>
      </c>
      <c r="K228" s="49">
        <f t="shared" si="88"/>
        <v>37597</v>
      </c>
      <c r="L228" s="50">
        <f t="shared" si="89"/>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c r="A229" s="31" t="s">
        <v>81</v>
      </c>
      <c r="B229" s="1" t="s">
        <v>297</v>
      </c>
      <c r="C229" s="30" t="str">
        <f t="shared" si="90"/>
        <v>LA England - Brentwood</v>
      </c>
      <c r="D229" s="50">
        <f t="shared" si="81"/>
        <v>29134</v>
      </c>
      <c r="E229" s="50">
        <f t="shared" si="82"/>
        <v>31900</v>
      </c>
      <c r="F229" s="51">
        <f t="shared" si="83"/>
        <v>77332</v>
      </c>
      <c r="G229" s="51">
        <f t="shared" si="84"/>
        <v>37566</v>
      </c>
      <c r="H229" s="52">
        <f t="shared" si="85"/>
        <v>39766</v>
      </c>
      <c r="I229" s="52">
        <f t="shared" si="86"/>
        <v>29134</v>
      </c>
      <c r="J229" s="52">
        <f t="shared" si="87"/>
        <v>31900</v>
      </c>
      <c r="K229" s="49">
        <f t="shared" si="88"/>
        <v>8432</v>
      </c>
      <c r="L229" s="50">
        <f t="shared" si="89"/>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c r="A230" s="31" t="s">
        <v>81</v>
      </c>
      <c r="B230" s="1" t="s">
        <v>298</v>
      </c>
      <c r="C230" s="30" t="str">
        <f t="shared" si="90"/>
        <v>LA England - Brighton and Hove</v>
      </c>
      <c r="D230" s="50">
        <f t="shared" si="81"/>
        <v>112188</v>
      </c>
      <c r="E230" s="50">
        <f t="shared" si="82"/>
        <v>118923</v>
      </c>
      <c r="F230" s="51">
        <f t="shared" si="83"/>
        <v>277965</v>
      </c>
      <c r="G230" s="51">
        <f t="shared" si="84"/>
        <v>136030</v>
      </c>
      <c r="H230" s="52">
        <f t="shared" si="85"/>
        <v>141935</v>
      </c>
      <c r="I230" s="52">
        <f t="shared" si="86"/>
        <v>112188</v>
      </c>
      <c r="J230" s="52">
        <f t="shared" si="87"/>
        <v>118923</v>
      </c>
      <c r="K230" s="49">
        <f t="shared" si="88"/>
        <v>23842</v>
      </c>
      <c r="L230" s="50">
        <f t="shared" si="89"/>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c r="A231" s="31" t="s">
        <v>81</v>
      </c>
      <c r="B231" s="1" t="s">
        <v>299</v>
      </c>
      <c r="C231" s="30" t="str">
        <f t="shared" si="90"/>
        <v>LA England - Bristol, City of</v>
      </c>
      <c r="D231" s="50">
        <f t="shared" si="81"/>
        <v>191394</v>
      </c>
      <c r="E231" s="50">
        <f t="shared" si="82"/>
        <v>196041</v>
      </c>
      <c r="F231" s="51">
        <f t="shared" si="83"/>
        <v>479024</v>
      </c>
      <c r="G231" s="51">
        <f t="shared" si="84"/>
        <v>238161</v>
      </c>
      <c r="H231" s="52">
        <f t="shared" si="85"/>
        <v>240863</v>
      </c>
      <c r="I231" s="52">
        <f t="shared" si="86"/>
        <v>191394</v>
      </c>
      <c r="J231" s="52">
        <f t="shared" si="87"/>
        <v>196041</v>
      </c>
      <c r="K231" s="49">
        <f t="shared" si="88"/>
        <v>46767</v>
      </c>
      <c r="L231" s="50">
        <f t="shared" si="89"/>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c r="A232" s="31" t="s">
        <v>81</v>
      </c>
      <c r="B232" s="1" t="s">
        <v>300</v>
      </c>
      <c r="C232" s="30" t="str">
        <f t="shared" si="90"/>
        <v>LA England - Broadland</v>
      </c>
      <c r="D232" s="50">
        <f t="shared" si="81"/>
        <v>52699</v>
      </c>
      <c r="E232" s="50">
        <f t="shared" si="82"/>
        <v>56778</v>
      </c>
      <c r="F232" s="51">
        <f t="shared" si="83"/>
        <v>133872</v>
      </c>
      <c r="G232" s="51">
        <f t="shared" si="84"/>
        <v>65230</v>
      </c>
      <c r="H232" s="52">
        <f t="shared" si="85"/>
        <v>68642</v>
      </c>
      <c r="I232" s="52">
        <f t="shared" si="86"/>
        <v>52699</v>
      </c>
      <c r="J232" s="52">
        <f t="shared" si="87"/>
        <v>56778</v>
      </c>
      <c r="K232" s="49">
        <f t="shared" si="88"/>
        <v>12531</v>
      </c>
      <c r="L232" s="50">
        <f t="shared" si="89"/>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c r="A233" s="31" t="s">
        <v>81</v>
      </c>
      <c r="B233" s="1" t="s">
        <v>301</v>
      </c>
      <c r="C233" s="30" t="str">
        <f t="shared" si="90"/>
        <v>LA England - Bromley</v>
      </c>
      <c r="D233" s="50">
        <f t="shared" si="81"/>
        <v>120654</v>
      </c>
      <c r="E233" s="50">
        <f t="shared" si="82"/>
        <v>136398</v>
      </c>
      <c r="F233" s="51">
        <f t="shared" si="83"/>
        <v>329578</v>
      </c>
      <c r="G233" s="51">
        <f t="shared" si="84"/>
        <v>157924</v>
      </c>
      <c r="H233" s="52">
        <f t="shared" si="85"/>
        <v>171654</v>
      </c>
      <c r="I233" s="52">
        <f t="shared" si="86"/>
        <v>120654</v>
      </c>
      <c r="J233" s="52">
        <f t="shared" si="87"/>
        <v>136398</v>
      </c>
      <c r="K233" s="49">
        <f t="shared" si="88"/>
        <v>37270</v>
      </c>
      <c r="L233" s="50">
        <f t="shared" si="89"/>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c r="A234" s="31" t="s">
        <v>81</v>
      </c>
      <c r="B234" s="1" t="s">
        <v>302</v>
      </c>
      <c r="C234" s="30" t="str">
        <f t="shared" si="90"/>
        <v>LA England - Bromsgrove</v>
      </c>
      <c r="D234" s="50">
        <f t="shared" si="81"/>
        <v>38152</v>
      </c>
      <c r="E234" s="50">
        <f t="shared" si="82"/>
        <v>41141</v>
      </c>
      <c r="F234" s="51">
        <f t="shared" si="83"/>
        <v>100076</v>
      </c>
      <c r="G234" s="51">
        <f t="shared" si="84"/>
        <v>48813</v>
      </c>
      <c r="H234" s="52">
        <f t="shared" si="85"/>
        <v>51263</v>
      </c>
      <c r="I234" s="52">
        <f t="shared" si="86"/>
        <v>38152</v>
      </c>
      <c r="J234" s="52">
        <f t="shared" si="87"/>
        <v>41141</v>
      </c>
      <c r="K234" s="49">
        <f t="shared" si="88"/>
        <v>10661</v>
      </c>
      <c r="L234" s="50">
        <f t="shared" si="89"/>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c r="A235" s="31" t="s">
        <v>81</v>
      </c>
      <c r="B235" s="1" t="s">
        <v>303</v>
      </c>
      <c r="C235" s="30" t="str">
        <f t="shared" si="90"/>
        <v>LA England - Broxbourne</v>
      </c>
      <c r="D235" s="50">
        <f t="shared" si="81"/>
        <v>36590</v>
      </c>
      <c r="E235" s="50">
        <f t="shared" si="82"/>
        <v>40279</v>
      </c>
      <c r="F235" s="51">
        <f t="shared" si="83"/>
        <v>99103</v>
      </c>
      <c r="G235" s="51">
        <f t="shared" si="84"/>
        <v>47849</v>
      </c>
      <c r="H235" s="52">
        <f t="shared" si="85"/>
        <v>51254</v>
      </c>
      <c r="I235" s="52">
        <f t="shared" si="86"/>
        <v>36590</v>
      </c>
      <c r="J235" s="52">
        <f t="shared" si="87"/>
        <v>40279</v>
      </c>
      <c r="K235" s="49">
        <f t="shared" si="88"/>
        <v>11259</v>
      </c>
      <c r="L235" s="50">
        <f t="shared" si="89"/>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c r="A236" s="31" t="s">
        <v>81</v>
      </c>
      <c r="B236" s="1" t="s">
        <v>304</v>
      </c>
      <c r="C236" s="30" t="str">
        <f t="shared" si="90"/>
        <v>LA England - Broxtowe</v>
      </c>
      <c r="D236" s="50">
        <f t="shared" si="81"/>
        <v>44396</v>
      </c>
      <c r="E236" s="50">
        <f t="shared" si="82"/>
        <v>46922</v>
      </c>
      <c r="F236" s="51">
        <f t="shared" si="83"/>
        <v>112113</v>
      </c>
      <c r="G236" s="51">
        <f t="shared" si="84"/>
        <v>55101</v>
      </c>
      <c r="H236" s="52">
        <f t="shared" si="85"/>
        <v>57012</v>
      </c>
      <c r="I236" s="52">
        <f t="shared" si="86"/>
        <v>44396</v>
      </c>
      <c r="J236" s="52">
        <f t="shared" si="87"/>
        <v>46922</v>
      </c>
      <c r="K236" s="49">
        <f t="shared" si="88"/>
        <v>10705</v>
      </c>
      <c r="L236" s="50">
        <f t="shared" si="89"/>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c r="A237" s="31" t="s">
        <v>81</v>
      </c>
      <c r="B237" s="1" t="s">
        <v>305</v>
      </c>
      <c r="C237" s="30" t="str">
        <f t="shared" si="90"/>
        <v>LA England - Buckinghamshire</v>
      </c>
      <c r="D237" s="50">
        <f t="shared" si="81"/>
        <v>209792</v>
      </c>
      <c r="E237" s="50">
        <f t="shared" si="82"/>
        <v>224674</v>
      </c>
      <c r="F237" s="51">
        <f t="shared" si="83"/>
        <v>560409</v>
      </c>
      <c r="G237" s="51">
        <f t="shared" si="84"/>
        <v>274097</v>
      </c>
      <c r="H237" s="52">
        <f t="shared" si="85"/>
        <v>286312</v>
      </c>
      <c r="I237" s="52">
        <f t="shared" si="86"/>
        <v>209792</v>
      </c>
      <c r="J237" s="52">
        <f t="shared" si="87"/>
        <v>224674</v>
      </c>
      <c r="K237" s="49">
        <f t="shared" si="88"/>
        <v>64305</v>
      </c>
      <c r="L237" s="50">
        <f t="shared" si="89"/>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c r="A238" s="31" t="s">
        <v>81</v>
      </c>
      <c r="B238" s="1" t="s">
        <v>306</v>
      </c>
      <c r="C238" s="30" t="str">
        <f t="shared" si="90"/>
        <v>LA England - Burnley</v>
      </c>
      <c r="D238" s="50">
        <f t="shared" si="81"/>
        <v>35978</v>
      </c>
      <c r="E238" s="50">
        <f t="shared" si="82"/>
        <v>37600</v>
      </c>
      <c r="F238" s="51">
        <f t="shared" si="83"/>
        <v>95553</v>
      </c>
      <c r="G238" s="51">
        <f t="shared" si="84"/>
        <v>47238</v>
      </c>
      <c r="H238" s="52">
        <f t="shared" si="85"/>
        <v>48315</v>
      </c>
      <c r="I238" s="52">
        <f t="shared" si="86"/>
        <v>35978</v>
      </c>
      <c r="J238" s="52">
        <f t="shared" si="87"/>
        <v>37600</v>
      </c>
      <c r="K238" s="49">
        <f t="shared" si="88"/>
        <v>11260</v>
      </c>
      <c r="L238" s="50">
        <f t="shared" si="89"/>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c r="A239" s="31" t="s">
        <v>81</v>
      </c>
      <c r="B239" s="1" t="s">
        <v>307</v>
      </c>
      <c r="C239" s="30" t="str">
        <f t="shared" si="90"/>
        <v>LA England - Bury</v>
      </c>
      <c r="D239" s="50">
        <f t="shared" si="81"/>
        <v>73049</v>
      </c>
      <c r="E239" s="50">
        <f t="shared" si="82"/>
        <v>77651</v>
      </c>
      <c r="F239" s="51">
        <f t="shared" si="83"/>
        <v>194606</v>
      </c>
      <c r="G239" s="51">
        <f t="shared" si="84"/>
        <v>95665</v>
      </c>
      <c r="H239" s="52">
        <f t="shared" si="85"/>
        <v>98941</v>
      </c>
      <c r="I239" s="52">
        <f t="shared" si="86"/>
        <v>73049</v>
      </c>
      <c r="J239" s="52">
        <f t="shared" si="87"/>
        <v>77651</v>
      </c>
      <c r="K239" s="49">
        <f t="shared" si="88"/>
        <v>22616</v>
      </c>
      <c r="L239" s="50">
        <f t="shared" si="89"/>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c r="A240" s="31" t="s">
        <v>81</v>
      </c>
      <c r="B240" s="1" t="s">
        <v>308</v>
      </c>
      <c r="C240" s="30" t="str">
        <f t="shared" si="90"/>
        <v>LA England - Calderdale</v>
      </c>
      <c r="D240" s="50">
        <f t="shared" si="81"/>
        <v>78458</v>
      </c>
      <c r="E240" s="50">
        <f t="shared" si="82"/>
        <v>84126</v>
      </c>
      <c r="F240" s="51">
        <f t="shared" si="83"/>
        <v>207699</v>
      </c>
      <c r="G240" s="51">
        <f t="shared" si="84"/>
        <v>101550</v>
      </c>
      <c r="H240" s="52">
        <f t="shared" si="85"/>
        <v>106149</v>
      </c>
      <c r="I240" s="52">
        <f t="shared" si="86"/>
        <v>78458</v>
      </c>
      <c r="J240" s="52">
        <f t="shared" si="87"/>
        <v>84126</v>
      </c>
      <c r="K240" s="49">
        <f t="shared" si="88"/>
        <v>23092</v>
      </c>
      <c r="L240" s="50">
        <f t="shared" si="89"/>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c r="A241" s="31" t="s">
        <v>81</v>
      </c>
      <c r="B241" s="1" t="s">
        <v>309</v>
      </c>
      <c r="C241" s="30" t="str">
        <f t="shared" si="90"/>
        <v>LA England - Cambridge</v>
      </c>
      <c r="D241" s="50">
        <f t="shared" si="81"/>
        <v>61594</v>
      </c>
      <c r="E241" s="50">
        <f t="shared" si="82"/>
        <v>61581</v>
      </c>
      <c r="F241" s="51">
        <f t="shared" si="83"/>
        <v>146995</v>
      </c>
      <c r="G241" s="51">
        <f t="shared" si="84"/>
        <v>73731</v>
      </c>
      <c r="H241" s="52">
        <f t="shared" si="85"/>
        <v>73264</v>
      </c>
      <c r="I241" s="52">
        <f t="shared" si="86"/>
        <v>61594</v>
      </c>
      <c r="J241" s="52">
        <f t="shared" si="87"/>
        <v>61581</v>
      </c>
      <c r="K241" s="49">
        <f t="shared" si="88"/>
        <v>12137</v>
      </c>
      <c r="L241" s="50">
        <f t="shared" si="89"/>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c r="A242" s="31" t="s">
        <v>81</v>
      </c>
      <c r="B242" s="1" t="s">
        <v>310</v>
      </c>
      <c r="C242" s="30" t="str">
        <f t="shared" si="90"/>
        <v>LA England - Camden</v>
      </c>
      <c r="D242" s="50">
        <f t="shared" si="81"/>
        <v>83918</v>
      </c>
      <c r="E242" s="50">
        <f t="shared" si="82"/>
        <v>97894</v>
      </c>
      <c r="F242" s="51">
        <f t="shared" si="83"/>
        <v>218049</v>
      </c>
      <c r="G242" s="51">
        <f t="shared" si="84"/>
        <v>102201</v>
      </c>
      <c r="H242" s="52">
        <f t="shared" si="85"/>
        <v>115848</v>
      </c>
      <c r="I242" s="52">
        <f t="shared" si="86"/>
        <v>83918</v>
      </c>
      <c r="J242" s="52">
        <f t="shared" si="87"/>
        <v>97894</v>
      </c>
      <c r="K242" s="49">
        <f t="shared" si="88"/>
        <v>18283</v>
      </c>
      <c r="L242" s="50">
        <f t="shared" si="89"/>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c r="A243" s="31" t="s">
        <v>81</v>
      </c>
      <c r="B243" s="1" t="s">
        <v>311</v>
      </c>
      <c r="C243" s="30" t="str">
        <f t="shared" si="90"/>
        <v>LA England - Cannock Chase</v>
      </c>
      <c r="D243" s="50">
        <f t="shared" si="81"/>
        <v>39435</v>
      </c>
      <c r="E243" s="50">
        <f t="shared" si="82"/>
        <v>41359</v>
      </c>
      <c r="F243" s="51">
        <f t="shared" si="83"/>
        <v>101140</v>
      </c>
      <c r="G243" s="51">
        <f t="shared" si="84"/>
        <v>49797</v>
      </c>
      <c r="H243" s="52">
        <f t="shared" si="85"/>
        <v>51343</v>
      </c>
      <c r="I243" s="52">
        <f t="shared" si="86"/>
        <v>39435</v>
      </c>
      <c r="J243" s="52">
        <f t="shared" si="87"/>
        <v>41359</v>
      </c>
      <c r="K243" s="49">
        <f t="shared" si="88"/>
        <v>10362</v>
      </c>
      <c r="L243" s="50">
        <f t="shared" si="89"/>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c r="A244" s="31" t="s">
        <v>81</v>
      </c>
      <c r="B244" s="1" t="s">
        <v>312</v>
      </c>
      <c r="C244" s="30" t="str">
        <f t="shared" si="90"/>
        <v>LA England - Canterbury</v>
      </c>
      <c r="D244" s="50">
        <f t="shared" si="81"/>
        <v>61050</v>
      </c>
      <c r="E244" s="50">
        <f t="shared" si="82"/>
        <v>67934</v>
      </c>
      <c r="F244" s="51">
        <f t="shared" si="83"/>
        <v>157550</v>
      </c>
      <c r="G244" s="51">
        <f t="shared" si="84"/>
        <v>75880</v>
      </c>
      <c r="H244" s="52">
        <f t="shared" si="85"/>
        <v>81670</v>
      </c>
      <c r="I244" s="52">
        <f t="shared" si="86"/>
        <v>61050</v>
      </c>
      <c r="J244" s="52">
        <f t="shared" si="87"/>
        <v>67934</v>
      </c>
      <c r="K244" s="49">
        <f t="shared" si="88"/>
        <v>14830</v>
      </c>
      <c r="L244" s="50">
        <f t="shared" si="89"/>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c r="A245" s="31" t="s">
        <v>81</v>
      </c>
      <c r="B245" s="1" t="s">
        <v>313</v>
      </c>
      <c r="C245" s="30" t="str">
        <f t="shared" si="90"/>
        <v>LA England - Castle Point</v>
      </c>
      <c r="D245" s="50">
        <f t="shared" si="81"/>
        <v>34670</v>
      </c>
      <c r="E245" s="50">
        <f t="shared" si="82"/>
        <v>37830</v>
      </c>
      <c r="F245" s="51">
        <f t="shared" si="83"/>
        <v>89731</v>
      </c>
      <c r="G245" s="51">
        <f t="shared" si="84"/>
        <v>43479</v>
      </c>
      <c r="H245" s="52">
        <f t="shared" si="85"/>
        <v>46252</v>
      </c>
      <c r="I245" s="52">
        <f t="shared" si="86"/>
        <v>34670</v>
      </c>
      <c r="J245" s="52">
        <f t="shared" si="87"/>
        <v>37830</v>
      </c>
      <c r="K245" s="49">
        <f t="shared" si="88"/>
        <v>8809</v>
      </c>
      <c r="L245" s="50">
        <f t="shared" si="89"/>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c r="A246" s="31" t="s">
        <v>81</v>
      </c>
      <c r="B246" s="1" t="s">
        <v>314</v>
      </c>
      <c r="C246" s="30" t="str">
        <f t="shared" si="90"/>
        <v>LA England - Central Bedfordshire</v>
      </c>
      <c r="D246" s="50">
        <f t="shared" si="81"/>
        <v>114734</v>
      </c>
      <c r="E246" s="50">
        <f t="shared" si="82"/>
        <v>120825</v>
      </c>
      <c r="F246" s="51">
        <f t="shared" si="83"/>
        <v>301501</v>
      </c>
      <c r="G246" s="51">
        <f t="shared" si="84"/>
        <v>148473</v>
      </c>
      <c r="H246" s="52">
        <f t="shared" si="85"/>
        <v>153028</v>
      </c>
      <c r="I246" s="52">
        <f t="shared" si="86"/>
        <v>114734</v>
      </c>
      <c r="J246" s="52">
        <f t="shared" si="87"/>
        <v>120825</v>
      </c>
      <c r="K246" s="49">
        <f t="shared" si="88"/>
        <v>33739</v>
      </c>
      <c r="L246" s="50">
        <f t="shared" si="89"/>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c r="A247" s="31" t="s">
        <v>81</v>
      </c>
      <c r="B247" s="1" t="s">
        <v>315</v>
      </c>
      <c r="C247" s="30" t="str">
        <f t="shared" si="90"/>
        <v>LA England - Charnwood</v>
      </c>
      <c r="D247" s="50">
        <f t="shared" si="81"/>
        <v>74686</v>
      </c>
      <c r="E247" s="50">
        <f t="shared" si="82"/>
        <v>75179</v>
      </c>
      <c r="F247" s="51">
        <f t="shared" si="83"/>
        <v>184748</v>
      </c>
      <c r="G247" s="51">
        <f t="shared" si="84"/>
        <v>92694</v>
      </c>
      <c r="H247" s="52">
        <f t="shared" si="85"/>
        <v>92054</v>
      </c>
      <c r="I247" s="52">
        <f t="shared" si="86"/>
        <v>74686</v>
      </c>
      <c r="J247" s="52">
        <f t="shared" si="87"/>
        <v>75179</v>
      </c>
      <c r="K247" s="49">
        <f t="shared" si="88"/>
        <v>18008</v>
      </c>
      <c r="L247" s="50">
        <f t="shared" si="89"/>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c r="A248" s="31" t="s">
        <v>81</v>
      </c>
      <c r="B248" s="1" t="s">
        <v>316</v>
      </c>
      <c r="C248" s="30" t="str">
        <f t="shared" si="90"/>
        <v>LA England - Chelmsford</v>
      </c>
      <c r="D248" s="50">
        <f t="shared" si="81"/>
        <v>69876</v>
      </c>
      <c r="E248" s="50">
        <f t="shared" si="82"/>
        <v>74701</v>
      </c>
      <c r="F248" s="51">
        <f t="shared" si="83"/>
        <v>183326</v>
      </c>
      <c r="G248" s="51">
        <f t="shared" si="84"/>
        <v>89765</v>
      </c>
      <c r="H248" s="52">
        <f t="shared" si="85"/>
        <v>93561</v>
      </c>
      <c r="I248" s="52">
        <f t="shared" si="86"/>
        <v>69876</v>
      </c>
      <c r="J248" s="52">
        <f t="shared" si="87"/>
        <v>74701</v>
      </c>
      <c r="K248" s="49">
        <f t="shared" si="88"/>
        <v>19889</v>
      </c>
      <c r="L248" s="50">
        <f t="shared" si="89"/>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c r="A249" s="31" t="s">
        <v>81</v>
      </c>
      <c r="B249" s="1" t="s">
        <v>317</v>
      </c>
      <c r="C249" s="30" t="str">
        <f t="shared" si="90"/>
        <v>LA England - Cheltenham</v>
      </c>
      <c r="D249" s="50">
        <f t="shared" si="81"/>
        <v>46806</v>
      </c>
      <c r="E249" s="50">
        <f t="shared" si="82"/>
        <v>49231</v>
      </c>
      <c r="F249" s="51">
        <f t="shared" si="83"/>
        <v>119434</v>
      </c>
      <c r="G249" s="51">
        <f t="shared" si="84"/>
        <v>58454</v>
      </c>
      <c r="H249" s="52">
        <f t="shared" si="85"/>
        <v>60980</v>
      </c>
      <c r="I249" s="52">
        <f t="shared" si="86"/>
        <v>46806</v>
      </c>
      <c r="J249" s="52">
        <f t="shared" si="87"/>
        <v>49231</v>
      </c>
      <c r="K249" s="49">
        <f t="shared" si="88"/>
        <v>11648</v>
      </c>
      <c r="L249" s="50">
        <f t="shared" si="89"/>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c r="A250" s="31" t="s">
        <v>81</v>
      </c>
      <c r="B250" s="1" t="s">
        <v>318</v>
      </c>
      <c r="C250" s="30" t="str">
        <f t="shared" si="90"/>
        <v>LA England - Cherwell</v>
      </c>
      <c r="D250" s="50">
        <f t="shared" si="81"/>
        <v>63378</v>
      </c>
      <c r="E250" s="50">
        <f t="shared" si="82"/>
        <v>65706</v>
      </c>
      <c r="F250" s="51">
        <f t="shared" si="83"/>
        <v>164155</v>
      </c>
      <c r="G250" s="51">
        <f t="shared" si="84"/>
        <v>81428</v>
      </c>
      <c r="H250" s="52">
        <f t="shared" si="85"/>
        <v>82727</v>
      </c>
      <c r="I250" s="52">
        <f t="shared" si="86"/>
        <v>63378</v>
      </c>
      <c r="J250" s="52">
        <f t="shared" si="87"/>
        <v>65706</v>
      </c>
      <c r="K250" s="49">
        <f t="shared" si="88"/>
        <v>18050</v>
      </c>
      <c r="L250" s="50">
        <f t="shared" si="89"/>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c r="A251" s="31" t="s">
        <v>81</v>
      </c>
      <c r="B251" s="1" t="s">
        <v>319</v>
      </c>
      <c r="C251" s="30" t="str">
        <f t="shared" si="90"/>
        <v>LA England - Cheshire East</v>
      </c>
      <c r="D251" s="50">
        <f t="shared" si="81"/>
        <v>157899</v>
      </c>
      <c r="E251" s="50">
        <f t="shared" si="82"/>
        <v>168447</v>
      </c>
      <c r="F251" s="51">
        <f t="shared" si="83"/>
        <v>406527</v>
      </c>
      <c r="G251" s="51">
        <f t="shared" si="84"/>
        <v>199222</v>
      </c>
      <c r="H251" s="52">
        <f t="shared" si="85"/>
        <v>207305</v>
      </c>
      <c r="I251" s="52">
        <f t="shared" si="86"/>
        <v>157899</v>
      </c>
      <c r="J251" s="52">
        <f t="shared" si="87"/>
        <v>168447</v>
      </c>
      <c r="K251" s="49">
        <f t="shared" si="88"/>
        <v>41323</v>
      </c>
      <c r="L251" s="50">
        <f t="shared" si="89"/>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c r="A252" s="31" t="s">
        <v>81</v>
      </c>
      <c r="B252" s="1" t="s">
        <v>320</v>
      </c>
      <c r="C252" s="30" t="str">
        <f t="shared" si="90"/>
        <v>LA England - Cheshire West and Chester</v>
      </c>
      <c r="D252" s="50">
        <f t="shared" si="81"/>
        <v>140683</v>
      </c>
      <c r="E252" s="50">
        <f t="shared" si="82"/>
        <v>150528</v>
      </c>
      <c r="F252" s="51">
        <f t="shared" si="83"/>
        <v>361694</v>
      </c>
      <c r="G252" s="51">
        <f t="shared" si="84"/>
        <v>176807</v>
      </c>
      <c r="H252" s="52">
        <f t="shared" si="85"/>
        <v>184887</v>
      </c>
      <c r="I252" s="52">
        <f t="shared" si="86"/>
        <v>140683</v>
      </c>
      <c r="J252" s="52">
        <f t="shared" si="87"/>
        <v>150528</v>
      </c>
      <c r="K252" s="49">
        <f t="shared" si="88"/>
        <v>36124</v>
      </c>
      <c r="L252" s="50">
        <f t="shared" si="89"/>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c r="A253" s="31" t="s">
        <v>81</v>
      </c>
      <c r="B253" s="1" t="s">
        <v>321</v>
      </c>
      <c r="C253" s="30" t="str">
        <f t="shared" si="90"/>
        <v>LA England - Chesterfield</v>
      </c>
      <c r="D253" s="50">
        <f t="shared" si="81"/>
        <v>41148</v>
      </c>
      <c r="E253" s="50">
        <f t="shared" si="82"/>
        <v>43255</v>
      </c>
      <c r="F253" s="51">
        <f t="shared" si="83"/>
        <v>104110</v>
      </c>
      <c r="G253" s="51">
        <f t="shared" si="84"/>
        <v>51153</v>
      </c>
      <c r="H253" s="52">
        <f t="shared" si="85"/>
        <v>52957</v>
      </c>
      <c r="I253" s="52">
        <f t="shared" si="86"/>
        <v>41148</v>
      </c>
      <c r="J253" s="52">
        <f t="shared" si="87"/>
        <v>43255</v>
      </c>
      <c r="K253" s="49">
        <f t="shared" si="88"/>
        <v>10005</v>
      </c>
      <c r="L253" s="50">
        <f t="shared" si="89"/>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c r="A254" s="31" t="s">
        <v>81</v>
      </c>
      <c r="B254" s="1" t="s">
        <v>322</v>
      </c>
      <c r="C254" s="30" t="str">
        <f t="shared" si="90"/>
        <v>LA England - Chichester</v>
      </c>
      <c r="D254" s="50">
        <f t="shared" si="81"/>
        <v>49139</v>
      </c>
      <c r="E254" s="50">
        <f t="shared" si="82"/>
        <v>54852</v>
      </c>
      <c r="F254" s="51">
        <f t="shared" si="83"/>
        <v>126103</v>
      </c>
      <c r="G254" s="51">
        <f t="shared" si="84"/>
        <v>60354</v>
      </c>
      <c r="H254" s="52">
        <f t="shared" si="85"/>
        <v>65749</v>
      </c>
      <c r="I254" s="52">
        <f t="shared" si="86"/>
        <v>49139</v>
      </c>
      <c r="J254" s="52">
        <f t="shared" si="87"/>
        <v>54852</v>
      </c>
      <c r="K254" s="49">
        <f t="shared" si="88"/>
        <v>11215</v>
      </c>
      <c r="L254" s="50">
        <f t="shared" si="89"/>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c r="A255" s="31" t="s">
        <v>81</v>
      </c>
      <c r="B255" s="1" t="s">
        <v>323</v>
      </c>
      <c r="C255" s="30" t="str">
        <f t="shared" si="90"/>
        <v>LA England - Chorley</v>
      </c>
      <c r="D255" s="50">
        <f t="shared" si="81"/>
        <v>46900</v>
      </c>
      <c r="E255" s="50">
        <f t="shared" si="82"/>
        <v>47838</v>
      </c>
      <c r="F255" s="51">
        <f t="shared" si="83"/>
        <v>118624</v>
      </c>
      <c r="G255" s="51">
        <f t="shared" si="84"/>
        <v>59153</v>
      </c>
      <c r="H255" s="52">
        <f t="shared" si="85"/>
        <v>59471</v>
      </c>
      <c r="I255" s="52">
        <f t="shared" si="86"/>
        <v>46900</v>
      </c>
      <c r="J255" s="52">
        <f t="shared" si="87"/>
        <v>47838</v>
      </c>
      <c r="K255" s="49">
        <f t="shared" si="88"/>
        <v>12253</v>
      </c>
      <c r="L255" s="50">
        <f t="shared" si="89"/>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c r="A256" s="31" t="s">
        <v>81</v>
      </c>
      <c r="B256" s="1" t="s">
        <v>324</v>
      </c>
      <c r="C256" s="30" t="str">
        <f t="shared" si="90"/>
        <v>LA England - City of London</v>
      </c>
      <c r="D256" s="50">
        <f t="shared" si="81"/>
        <v>5754</v>
      </c>
      <c r="E256" s="50">
        <f t="shared" si="82"/>
        <v>4502</v>
      </c>
      <c r="F256" s="51">
        <f t="shared" si="83"/>
        <v>10847</v>
      </c>
      <c r="G256" s="51">
        <f t="shared" si="84"/>
        <v>6061</v>
      </c>
      <c r="H256" s="52">
        <f t="shared" si="85"/>
        <v>4786</v>
      </c>
      <c r="I256" s="52">
        <f t="shared" si="86"/>
        <v>5754</v>
      </c>
      <c r="J256" s="52">
        <f t="shared" si="87"/>
        <v>4502</v>
      </c>
      <c r="K256" s="49">
        <f t="shared" si="88"/>
        <v>307</v>
      </c>
      <c r="L256" s="50">
        <f t="shared" si="89"/>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c r="A257" s="31" t="s">
        <v>81</v>
      </c>
      <c r="B257" s="1" t="s">
        <v>325</v>
      </c>
      <c r="C257" s="30" t="str">
        <f t="shared" si="90"/>
        <v>LA England - Colchester</v>
      </c>
      <c r="D257" s="50">
        <f t="shared" si="81"/>
        <v>74111</v>
      </c>
      <c r="E257" s="50">
        <f t="shared" si="82"/>
        <v>78923</v>
      </c>
      <c r="F257" s="51">
        <f t="shared" si="83"/>
        <v>194394</v>
      </c>
      <c r="G257" s="51">
        <f t="shared" si="84"/>
        <v>95293</v>
      </c>
      <c r="H257" s="52">
        <f t="shared" si="85"/>
        <v>99101</v>
      </c>
      <c r="I257" s="52">
        <f t="shared" si="86"/>
        <v>74111</v>
      </c>
      <c r="J257" s="52">
        <f t="shared" si="87"/>
        <v>78923</v>
      </c>
      <c r="K257" s="49">
        <f t="shared" si="88"/>
        <v>21182</v>
      </c>
      <c r="L257" s="50">
        <f t="shared" si="89"/>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c r="A258" s="31" t="s">
        <v>81</v>
      </c>
      <c r="B258" s="1" t="s">
        <v>326</v>
      </c>
      <c r="C258" s="30" t="str">
        <f t="shared" si="90"/>
        <v>LA England - Cornwall</v>
      </c>
      <c r="D258" s="50">
        <f t="shared" si="81"/>
        <v>225159</v>
      </c>
      <c r="E258" s="50">
        <f t="shared" si="82"/>
        <v>244854</v>
      </c>
      <c r="F258" s="51">
        <f t="shared" si="83"/>
        <v>575413</v>
      </c>
      <c r="G258" s="51">
        <f t="shared" si="84"/>
        <v>279238</v>
      </c>
      <c r="H258" s="52">
        <f t="shared" si="85"/>
        <v>296175</v>
      </c>
      <c r="I258" s="52">
        <f t="shared" si="86"/>
        <v>225159</v>
      </c>
      <c r="J258" s="52">
        <f t="shared" si="87"/>
        <v>244854</v>
      </c>
      <c r="K258" s="49">
        <f t="shared" si="88"/>
        <v>54079</v>
      </c>
      <c r="L258" s="50">
        <f t="shared" si="89"/>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c r="A259" s="31" t="s">
        <v>81</v>
      </c>
      <c r="B259" s="1" t="s">
        <v>327</v>
      </c>
      <c r="C259" s="30" t="str">
        <f t="shared" si="90"/>
        <v>LA England - Cotswold</v>
      </c>
      <c r="D259" s="50">
        <f t="shared" si="81"/>
        <v>35638</v>
      </c>
      <c r="E259" s="50">
        <f t="shared" si="82"/>
        <v>39204</v>
      </c>
      <c r="F259" s="51">
        <f t="shared" si="83"/>
        <v>91311</v>
      </c>
      <c r="G259" s="51">
        <f t="shared" si="84"/>
        <v>43939</v>
      </c>
      <c r="H259" s="52">
        <f t="shared" si="85"/>
        <v>47372</v>
      </c>
      <c r="I259" s="52">
        <f t="shared" si="86"/>
        <v>35638</v>
      </c>
      <c r="J259" s="52">
        <f t="shared" si="87"/>
        <v>39204</v>
      </c>
      <c r="K259" s="49">
        <f t="shared" si="88"/>
        <v>8301</v>
      </c>
      <c r="L259" s="50">
        <f t="shared" si="89"/>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c r="A260" s="31" t="s">
        <v>81</v>
      </c>
      <c r="B260" s="1" t="s">
        <v>328</v>
      </c>
      <c r="C260" s="30" t="str">
        <f t="shared" si="90"/>
        <v>LA England - County Durham</v>
      </c>
      <c r="D260" s="50">
        <f t="shared" si="81"/>
        <v>206649</v>
      </c>
      <c r="E260" s="50">
        <f t="shared" si="82"/>
        <v>221937</v>
      </c>
      <c r="F260" s="51">
        <f t="shared" si="83"/>
        <v>528127</v>
      </c>
      <c r="G260" s="51">
        <f t="shared" si="84"/>
        <v>257850</v>
      </c>
      <c r="H260" s="52">
        <f t="shared" si="85"/>
        <v>270277</v>
      </c>
      <c r="I260" s="52">
        <f t="shared" si="86"/>
        <v>206649</v>
      </c>
      <c r="J260" s="52">
        <f t="shared" si="87"/>
        <v>221937</v>
      </c>
      <c r="K260" s="49">
        <f t="shared" si="88"/>
        <v>51201</v>
      </c>
      <c r="L260" s="50">
        <f t="shared" si="89"/>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c r="A261" s="31" t="s">
        <v>81</v>
      </c>
      <c r="B261" s="1" t="s">
        <v>329</v>
      </c>
      <c r="C261" s="30" t="str">
        <f t="shared" si="90"/>
        <v>LA England - Coventry</v>
      </c>
      <c r="D261" s="50">
        <f t="shared" si="81"/>
        <v>138071</v>
      </c>
      <c r="E261" s="50">
        <f t="shared" si="82"/>
        <v>138582</v>
      </c>
      <c r="F261" s="51">
        <f t="shared" si="83"/>
        <v>355600</v>
      </c>
      <c r="G261" s="51">
        <f t="shared" si="84"/>
        <v>178537</v>
      </c>
      <c r="H261" s="52">
        <f t="shared" si="85"/>
        <v>177063</v>
      </c>
      <c r="I261" s="52">
        <f t="shared" si="86"/>
        <v>138071</v>
      </c>
      <c r="J261" s="52">
        <f t="shared" si="87"/>
        <v>138582</v>
      </c>
      <c r="K261" s="49">
        <f t="shared" si="88"/>
        <v>40466</v>
      </c>
      <c r="L261" s="50">
        <f t="shared" si="89"/>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c r="A262" s="31" t="s">
        <v>81</v>
      </c>
      <c r="B262" s="1" t="s">
        <v>330</v>
      </c>
      <c r="C262" s="30" t="str">
        <f t="shared" si="90"/>
        <v>LA England - Crawley</v>
      </c>
      <c r="D262" s="50">
        <f t="shared" si="81"/>
        <v>44909</v>
      </c>
      <c r="E262" s="50">
        <f t="shared" si="82"/>
        <v>46237</v>
      </c>
      <c r="F262" s="51">
        <f t="shared" si="83"/>
        <v>119509</v>
      </c>
      <c r="G262" s="51">
        <f t="shared" si="84"/>
        <v>59616</v>
      </c>
      <c r="H262" s="52">
        <f t="shared" si="85"/>
        <v>59893</v>
      </c>
      <c r="I262" s="52">
        <f t="shared" si="86"/>
        <v>44909</v>
      </c>
      <c r="J262" s="52">
        <f t="shared" si="87"/>
        <v>46237</v>
      </c>
      <c r="K262" s="49">
        <f t="shared" si="88"/>
        <v>14707</v>
      </c>
      <c r="L262" s="50">
        <f t="shared" si="89"/>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c r="A263" s="31" t="s">
        <v>81</v>
      </c>
      <c r="B263" s="1" t="s">
        <v>331</v>
      </c>
      <c r="C263" s="30" t="str">
        <f t="shared" si="90"/>
        <v>LA England - Croydon</v>
      </c>
      <c r="D263" s="50">
        <f t="shared" si="81"/>
        <v>142703</v>
      </c>
      <c r="E263" s="50">
        <f t="shared" si="82"/>
        <v>159230</v>
      </c>
      <c r="F263" s="51">
        <f t="shared" si="83"/>
        <v>392224</v>
      </c>
      <c r="G263" s="51">
        <f t="shared" si="84"/>
        <v>188728</v>
      </c>
      <c r="H263" s="52">
        <f t="shared" si="85"/>
        <v>203496</v>
      </c>
      <c r="I263" s="52">
        <f t="shared" si="86"/>
        <v>142703</v>
      </c>
      <c r="J263" s="52">
        <f t="shared" si="87"/>
        <v>159230</v>
      </c>
      <c r="K263" s="49">
        <f t="shared" si="88"/>
        <v>46025</v>
      </c>
      <c r="L263" s="50">
        <f t="shared" si="89"/>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c r="A264" s="31" t="s">
        <v>81</v>
      </c>
      <c r="B264" s="1" t="s">
        <v>332</v>
      </c>
      <c r="C264" s="30" t="str">
        <f t="shared" si="90"/>
        <v>LA England - Cumberland</v>
      </c>
      <c r="D264" s="50">
        <f t="shared" si="81"/>
        <v>109085</v>
      </c>
      <c r="E264" s="50">
        <f t="shared" si="82"/>
        <v>114811</v>
      </c>
      <c r="F264" s="51">
        <f t="shared" si="83"/>
        <v>275390</v>
      </c>
      <c r="G264" s="51">
        <f t="shared" si="84"/>
        <v>135396</v>
      </c>
      <c r="H264" s="52">
        <f t="shared" si="85"/>
        <v>139994</v>
      </c>
      <c r="I264" s="52">
        <f t="shared" si="86"/>
        <v>109085</v>
      </c>
      <c r="J264" s="52">
        <f t="shared" si="87"/>
        <v>114811</v>
      </c>
      <c r="K264" s="49">
        <f t="shared" si="88"/>
        <v>26311</v>
      </c>
      <c r="L264" s="50">
        <f t="shared" si="89"/>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c r="A265" s="31" t="s">
        <v>81</v>
      </c>
      <c r="B265" s="1" t="s">
        <v>333</v>
      </c>
      <c r="C265" s="30" t="str">
        <f t="shared" si="90"/>
        <v>LA England - Dacorum</v>
      </c>
      <c r="D265" s="50">
        <f t="shared" ref="D265:D328" si="91">I265</f>
        <v>58593</v>
      </c>
      <c r="E265" s="50">
        <f t="shared" ref="E265:E328" si="92">J265</f>
        <v>62300</v>
      </c>
      <c r="F265" s="51">
        <f t="shared" si="83"/>
        <v>156123</v>
      </c>
      <c r="G265" s="51">
        <f t="shared" si="84"/>
        <v>76670</v>
      </c>
      <c r="H265" s="52">
        <f t="shared" si="85"/>
        <v>79453</v>
      </c>
      <c r="I265" s="52">
        <f t="shared" si="86"/>
        <v>58593</v>
      </c>
      <c r="J265" s="52">
        <f t="shared" si="87"/>
        <v>62300</v>
      </c>
      <c r="K265" s="49">
        <f t="shared" si="88"/>
        <v>18077</v>
      </c>
      <c r="L265" s="50">
        <f t="shared" si="89"/>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c r="A266" s="31" t="s">
        <v>81</v>
      </c>
      <c r="B266" s="1" t="s">
        <v>334</v>
      </c>
      <c r="C266" s="30" t="str">
        <f t="shared" si="90"/>
        <v>LA England - Darlington</v>
      </c>
      <c r="D266" s="50">
        <f t="shared" si="91"/>
        <v>42151</v>
      </c>
      <c r="E266" s="50">
        <f t="shared" si="92"/>
        <v>44886</v>
      </c>
      <c r="F266" s="51">
        <f t="shared" ref="F266:F329" si="93">G266+H266</f>
        <v>109469</v>
      </c>
      <c r="G266" s="51">
        <f t="shared" ref="G266:G329" si="94">SUM(M266:CY266)</f>
        <v>53627</v>
      </c>
      <c r="H266" s="52">
        <f t="shared" ref="H266:H329" si="95">SUM(CZ266:GL266)</f>
        <v>55842</v>
      </c>
      <c r="I266" s="52">
        <f t="shared" ref="I266:I329" si="96">SUM(AE266:CY266)</f>
        <v>42151</v>
      </c>
      <c r="J266" s="52">
        <f t="shared" ref="J266:J329" si="97">SUM(DR266:GL266)</f>
        <v>44886</v>
      </c>
      <c r="K266" s="49">
        <f t="shared" ref="K266:K329" si="98">SUM(M266:AD266)</f>
        <v>11476</v>
      </c>
      <c r="L266" s="50">
        <f t="shared" ref="L266:L329" si="99">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c r="A267" s="31" t="s">
        <v>81</v>
      </c>
      <c r="B267" s="1" t="s">
        <v>335</v>
      </c>
      <c r="C267" s="30" t="str">
        <f t="shared" si="90"/>
        <v>LA England - Dartford</v>
      </c>
      <c r="D267" s="50">
        <f t="shared" si="91"/>
        <v>42672</v>
      </c>
      <c r="E267" s="50">
        <f t="shared" si="92"/>
        <v>46289</v>
      </c>
      <c r="F267" s="51">
        <f t="shared" si="93"/>
        <v>118820</v>
      </c>
      <c r="G267" s="51">
        <f t="shared" si="94"/>
        <v>58067</v>
      </c>
      <c r="H267" s="52">
        <f t="shared" si="95"/>
        <v>60753</v>
      </c>
      <c r="I267" s="52">
        <f t="shared" si="96"/>
        <v>42672</v>
      </c>
      <c r="J267" s="52">
        <f t="shared" si="97"/>
        <v>46289</v>
      </c>
      <c r="K267" s="49">
        <f t="shared" si="98"/>
        <v>15395</v>
      </c>
      <c r="L267" s="50">
        <f t="shared" si="99"/>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c r="A268" s="31" t="s">
        <v>81</v>
      </c>
      <c r="B268" s="1" t="s">
        <v>336</v>
      </c>
      <c r="C268" s="30" t="str">
        <f t="shared" ref="C268:C331" si="100">CONCATENATE(A268," - ",B268)</f>
        <v>LA England - Derby</v>
      </c>
      <c r="D268" s="50">
        <f t="shared" si="91"/>
        <v>100523</v>
      </c>
      <c r="E268" s="50">
        <f t="shared" si="92"/>
        <v>103556</v>
      </c>
      <c r="F268" s="51">
        <f t="shared" si="93"/>
        <v>263490</v>
      </c>
      <c r="G268" s="51">
        <f t="shared" si="94"/>
        <v>130912</v>
      </c>
      <c r="H268" s="52">
        <f t="shared" si="95"/>
        <v>132578</v>
      </c>
      <c r="I268" s="52">
        <f t="shared" si="96"/>
        <v>100523</v>
      </c>
      <c r="J268" s="52">
        <f t="shared" si="97"/>
        <v>103556</v>
      </c>
      <c r="K268" s="49">
        <f t="shared" si="98"/>
        <v>30389</v>
      </c>
      <c r="L268" s="50">
        <f t="shared" si="99"/>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c r="A269" s="31" t="s">
        <v>81</v>
      </c>
      <c r="B269" s="1" t="s">
        <v>337</v>
      </c>
      <c r="C269" s="30" t="str">
        <f t="shared" si="100"/>
        <v>LA England - Derbyshire Dales</v>
      </c>
      <c r="D269" s="50">
        <f t="shared" si="91"/>
        <v>29030</v>
      </c>
      <c r="E269" s="50">
        <f t="shared" si="92"/>
        <v>30777</v>
      </c>
      <c r="F269" s="51">
        <f t="shared" si="93"/>
        <v>71752</v>
      </c>
      <c r="G269" s="51">
        <f t="shared" si="94"/>
        <v>35013</v>
      </c>
      <c r="H269" s="52">
        <f t="shared" si="95"/>
        <v>36739</v>
      </c>
      <c r="I269" s="52">
        <f t="shared" si="96"/>
        <v>29030</v>
      </c>
      <c r="J269" s="52">
        <f t="shared" si="97"/>
        <v>30777</v>
      </c>
      <c r="K269" s="49">
        <f t="shared" si="98"/>
        <v>5983</v>
      </c>
      <c r="L269" s="50">
        <f t="shared" si="99"/>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c r="A270" s="31" t="s">
        <v>81</v>
      </c>
      <c r="B270" s="1" t="s">
        <v>338</v>
      </c>
      <c r="C270" s="30" t="str">
        <f t="shared" si="100"/>
        <v>LA England - Doncaster</v>
      </c>
      <c r="D270" s="50">
        <f t="shared" si="91"/>
        <v>121112</v>
      </c>
      <c r="E270" s="50">
        <f t="shared" si="92"/>
        <v>124796</v>
      </c>
      <c r="F270" s="51">
        <f t="shared" si="93"/>
        <v>311027</v>
      </c>
      <c r="G270" s="51">
        <f t="shared" si="94"/>
        <v>154552</v>
      </c>
      <c r="H270" s="52">
        <f t="shared" si="95"/>
        <v>156475</v>
      </c>
      <c r="I270" s="52">
        <f t="shared" si="96"/>
        <v>121112</v>
      </c>
      <c r="J270" s="52">
        <f t="shared" si="97"/>
        <v>124796</v>
      </c>
      <c r="K270" s="49">
        <f t="shared" si="98"/>
        <v>33440</v>
      </c>
      <c r="L270" s="50">
        <f t="shared" si="99"/>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c r="A271" s="31" t="s">
        <v>81</v>
      </c>
      <c r="B271" s="1" t="s">
        <v>339</v>
      </c>
      <c r="C271" s="30" t="str">
        <f t="shared" si="100"/>
        <v>LA England - Dorset</v>
      </c>
      <c r="D271" s="50">
        <f t="shared" si="91"/>
        <v>152292</v>
      </c>
      <c r="E271" s="50">
        <f t="shared" si="92"/>
        <v>164879</v>
      </c>
      <c r="F271" s="51">
        <f t="shared" si="93"/>
        <v>383274</v>
      </c>
      <c r="G271" s="51">
        <f t="shared" si="94"/>
        <v>186117</v>
      </c>
      <c r="H271" s="52">
        <f t="shared" si="95"/>
        <v>197157</v>
      </c>
      <c r="I271" s="52">
        <f t="shared" si="96"/>
        <v>152292</v>
      </c>
      <c r="J271" s="52">
        <f t="shared" si="97"/>
        <v>164879</v>
      </c>
      <c r="K271" s="49">
        <f t="shared" si="98"/>
        <v>33825</v>
      </c>
      <c r="L271" s="50">
        <f t="shared" si="99"/>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c r="A272" s="31" t="s">
        <v>81</v>
      </c>
      <c r="B272" s="1" t="s">
        <v>340</v>
      </c>
      <c r="C272" s="30" t="str">
        <f t="shared" si="100"/>
        <v>LA England - Dover</v>
      </c>
      <c r="D272" s="50">
        <f t="shared" si="91"/>
        <v>45437</v>
      </c>
      <c r="E272" s="50">
        <f t="shared" si="92"/>
        <v>48936</v>
      </c>
      <c r="F272" s="51">
        <f t="shared" si="93"/>
        <v>117473</v>
      </c>
      <c r="G272" s="51">
        <f t="shared" si="94"/>
        <v>57217</v>
      </c>
      <c r="H272" s="52">
        <f t="shared" si="95"/>
        <v>60256</v>
      </c>
      <c r="I272" s="52">
        <f t="shared" si="96"/>
        <v>45437</v>
      </c>
      <c r="J272" s="52">
        <f t="shared" si="97"/>
        <v>48936</v>
      </c>
      <c r="K272" s="49">
        <f t="shared" si="98"/>
        <v>11780</v>
      </c>
      <c r="L272" s="50">
        <f t="shared" si="99"/>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c r="A273" s="31" t="s">
        <v>81</v>
      </c>
      <c r="B273" s="1" t="s">
        <v>341</v>
      </c>
      <c r="C273" s="30" t="str">
        <f t="shared" si="100"/>
        <v>LA England - Dudley</v>
      </c>
      <c r="D273" s="50">
        <f t="shared" si="91"/>
        <v>124462</v>
      </c>
      <c r="E273" s="50">
        <f t="shared" si="92"/>
        <v>131423</v>
      </c>
      <c r="F273" s="51">
        <f t="shared" si="93"/>
        <v>324969</v>
      </c>
      <c r="G273" s="51">
        <f t="shared" si="94"/>
        <v>159772</v>
      </c>
      <c r="H273" s="52">
        <f t="shared" si="95"/>
        <v>165197</v>
      </c>
      <c r="I273" s="52">
        <f t="shared" si="96"/>
        <v>124462</v>
      </c>
      <c r="J273" s="52">
        <f t="shared" si="97"/>
        <v>131423</v>
      </c>
      <c r="K273" s="49">
        <f t="shared" si="98"/>
        <v>35310</v>
      </c>
      <c r="L273" s="50">
        <f t="shared" si="99"/>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c r="A274" s="31" t="s">
        <v>81</v>
      </c>
      <c r="B274" s="1" t="s">
        <v>342</v>
      </c>
      <c r="C274" s="30" t="str">
        <f t="shared" si="100"/>
        <v>LA England - Ealing</v>
      </c>
      <c r="D274" s="50">
        <f t="shared" si="91"/>
        <v>141393</v>
      </c>
      <c r="E274" s="50">
        <f t="shared" si="92"/>
        <v>148133</v>
      </c>
      <c r="F274" s="51">
        <f t="shared" si="93"/>
        <v>369937</v>
      </c>
      <c r="G274" s="51">
        <f t="shared" si="94"/>
        <v>182643</v>
      </c>
      <c r="H274" s="52">
        <f t="shared" si="95"/>
        <v>187294</v>
      </c>
      <c r="I274" s="52">
        <f t="shared" si="96"/>
        <v>141393</v>
      </c>
      <c r="J274" s="52">
        <f t="shared" si="97"/>
        <v>148133</v>
      </c>
      <c r="K274" s="49">
        <f t="shared" si="98"/>
        <v>41250</v>
      </c>
      <c r="L274" s="50">
        <f t="shared" si="99"/>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c r="A275" s="31" t="s">
        <v>81</v>
      </c>
      <c r="B275" s="1" t="s">
        <v>343</v>
      </c>
      <c r="C275" s="30" t="str">
        <f t="shared" si="100"/>
        <v>LA England - East Cambridgeshire</v>
      </c>
      <c r="D275" s="50">
        <f t="shared" si="91"/>
        <v>34401</v>
      </c>
      <c r="E275" s="50">
        <f t="shared" si="92"/>
        <v>36460</v>
      </c>
      <c r="F275" s="51">
        <f t="shared" si="93"/>
        <v>89394</v>
      </c>
      <c r="G275" s="51">
        <f t="shared" si="94"/>
        <v>43858</v>
      </c>
      <c r="H275" s="52">
        <f t="shared" si="95"/>
        <v>45536</v>
      </c>
      <c r="I275" s="52">
        <f t="shared" si="96"/>
        <v>34401</v>
      </c>
      <c r="J275" s="52">
        <f t="shared" si="97"/>
        <v>36460</v>
      </c>
      <c r="K275" s="49">
        <f t="shared" si="98"/>
        <v>9457</v>
      </c>
      <c r="L275" s="50">
        <f t="shared" si="99"/>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c r="A276" s="31" t="s">
        <v>81</v>
      </c>
      <c r="B276" s="1" t="s">
        <v>344</v>
      </c>
      <c r="C276" s="30" t="str">
        <f t="shared" si="100"/>
        <v>LA England - East Devon</v>
      </c>
      <c r="D276" s="50">
        <f t="shared" si="91"/>
        <v>60569</v>
      </c>
      <c r="E276" s="50">
        <f t="shared" si="92"/>
        <v>66733</v>
      </c>
      <c r="F276" s="51">
        <f t="shared" si="93"/>
        <v>154500</v>
      </c>
      <c r="G276" s="51">
        <f t="shared" si="94"/>
        <v>74554</v>
      </c>
      <c r="H276" s="52">
        <f t="shared" si="95"/>
        <v>79946</v>
      </c>
      <c r="I276" s="52">
        <f t="shared" si="96"/>
        <v>60569</v>
      </c>
      <c r="J276" s="52">
        <f t="shared" si="97"/>
        <v>66733</v>
      </c>
      <c r="K276" s="49">
        <f t="shared" si="98"/>
        <v>13985</v>
      </c>
      <c r="L276" s="50">
        <f t="shared" si="99"/>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c r="A277" s="31" t="s">
        <v>81</v>
      </c>
      <c r="B277" s="1" t="s">
        <v>345</v>
      </c>
      <c r="C277" s="30" t="str">
        <f t="shared" si="100"/>
        <v>LA England - East Hampshire</v>
      </c>
      <c r="D277" s="50">
        <f t="shared" si="91"/>
        <v>48997</v>
      </c>
      <c r="E277" s="50">
        <f t="shared" si="92"/>
        <v>53169</v>
      </c>
      <c r="F277" s="51">
        <f t="shared" si="93"/>
        <v>127319</v>
      </c>
      <c r="G277" s="51">
        <f t="shared" si="94"/>
        <v>61855</v>
      </c>
      <c r="H277" s="52">
        <f t="shared" si="95"/>
        <v>65464</v>
      </c>
      <c r="I277" s="52">
        <f t="shared" si="96"/>
        <v>48997</v>
      </c>
      <c r="J277" s="52">
        <f t="shared" si="97"/>
        <v>53169</v>
      </c>
      <c r="K277" s="49">
        <f t="shared" si="98"/>
        <v>12858</v>
      </c>
      <c r="L277" s="50">
        <f t="shared" si="99"/>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c r="A278" s="31" t="s">
        <v>81</v>
      </c>
      <c r="B278" s="1" t="s">
        <v>346</v>
      </c>
      <c r="C278" s="30" t="str">
        <f t="shared" si="100"/>
        <v>LA England - East Hertfordshire</v>
      </c>
      <c r="D278" s="50">
        <f t="shared" si="91"/>
        <v>57142</v>
      </c>
      <c r="E278" s="50">
        <f t="shared" si="92"/>
        <v>61417</v>
      </c>
      <c r="F278" s="51">
        <f t="shared" si="93"/>
        <v>151635</v>
      </c>
      <c r="G278" s="51">
        <f t="shared" si="94"/>
        <v>74063</v>
      </c>
      <c r="H278" s="52">
        <f t="shared" si="95"/>
        <v>77572</v>
      </c>
      <c r="I278" s="52">
        <f t="shared" si="96"/>
        <v>57142</v>
      </c>
      <c r="J278" s="52">
        <f t="shared" si="97"/>
        <v>61417</v>
      </c>
      <c r="K278" s="49">
        <f t="shared" si="98"/>
        <v>16921</v>
      </c>
      <c r="L278" s="50">
        <f t="shared" si="99"/>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c r="A279" s="31" t="s">
        <v>81</v>
      </c>
      <c r="B279" s="1" t="s">
        <v>347</v>
      </c>
      <c r="C279" s="30" t="str">
        <f t="shared" si="100"/>
        <v>LA England - East Lindsey</v>
      </c>
      <c r="D279" s="50">
        <f t="shared" si="91"/>
        <v>58614</v>
      </c>
      <c r="E279" s="50">
        <f t="shared" si="92"/>
        <v>62090</v>
      </c>
      <c r="F279" s="51">
        <f t="shared" si="93"/>
        <v>144415</v>
      </c>
      <c r="G279" s="51">
        <f t="shared" si="94"/>
        <v>70629</v>
      </c>
      <c r="H279" s="52">
        <f t="shared" si="95"/>
        <v>73786</v>
      </c>
      <c r="I279" s="52">
        <f t="shared" si="96"/>
        <v>58614</v>
      </c>
      <c r="J279" s="52">
        <f t="shared" si="97"/>
        <v>62090</v>
      </c>
      <c r="K279" s="49">
        <f t="shared" si="98"/>
        <v>12015</v>
      </c>
      <c r="L279" s="50">
        <f t="shared" si="99"/>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c r="A280" s="31" t="s">
        <v>81</v>
      </c>
      <c r="B280" s="1" t="s">
        <v>348</v>
      </c>
      <c r="C280" s="30" t="str">
        <f t="shared" si="100"/>
        <v>LA England - East Riding of Yorkshire</v>
      </c>
      <c r="D280" s="50">
        <f t="shared" si="91"/>
        <v>137683</v>
      </c>
      <c r="E280" s="50">
        <f t="shared" si="92"/>
        <v>146772</v>
      </c>
      <c r="F280" s="51">
        <f t="shared" si="93"/>
        <v>346309</v>
      </c>
      <c r="G280" s="51">
        <f t="shared" si="94"/>
        <v>169714</v>
      </c>
      <c r="H280" s="52">
        <f t="shared" si="95"/>
        <v>176595</v>
      </c>
      <c r="I280" s="52">
        <f t="shared" si="96"/>
        <v>137683</v>
      </c>
      <c r="J280" s="52">
        <f t="shared" si="97"/>
        <v>146772</v>
      </c>
      <c r="K280" s="49">
        <f t="shared" si="98"/>
        <v>32031</v>
      </c>
      <c r="L280" s="50">
        <f t="shared" si="99"/>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c r="A281" s="31" t="s">
        <v>81</v>
      </c>
      <c r="B281" s="1" t="s">
        <v>349</v>
      </c>
      <c r="C281" s="30" t="str">
        <f t="shared" si="100"/>
        <v>LA England - East Staffordshire</v>
      </c>
      <c r="D281" s="50">
        <f t="shared" si="91"/>
        <v>49035</v>
      </c>
      <c r="E281" s="50">
        <f t="shared" si="92"/>
        <v>49795</v>
      </c>
      <c r="F281" s="51">
        <f t="shared" si="93"/>
        <v>125760</v>
      </c>
      <c r="G281" s="51">
        <f t="shared" si="94"/>
        <v>62858</v>
      </c>
      <c r="H281" s="52">
        <f t="shared" si="95"/>
        <v>62902</v>
      </c>
      <c r="I281" s="52">
        <f t="shared" si="96"/>
        <v>49035</v>
      </c>
      <c r="J281" s="52">
        <f t="shared" si="97"/>
        <v>49795</v>
      </c>
      <c r="K281" s="49">
        <f t="shared" si="98"/>
        <v>13823</v>
      </c>
      <c r="L281" s="50">
        <f t="shared" si="99"/>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c r="A282" s="31" t="s">
        <v>81</v>
      </c>
      <c r="B282" s="1" t="s">
        <v>350</v>
      </c>
      <c r="C282" s="30" t="str">
        <f t="shared" si="100"/>
        <v>LA England - East Suffolk</v>
      </c>
      <c r="D282" s="50">
        <f t="shared" si="91"/>
        <v>97949</v>
      </c>
      <c r="E282" s="50">
        <f t="shared" si="92"/>
        <v>104732</v>
      </c>
      <c r="F282" s="51">
        <f t="shared" si="93"/>
        <v>247080</v>
      </c>
      <c r="G282" s="51">
        <f t="shared" si="94"/>
        <v>120575</v>
      </c>
      <c r="H282" s="52">
        <f t="shared" si="95"/>
        <v>126505</v>
      </c>
      <c r="I282" s="52">
        <f t="shared" si="96"/>
        <v>97949</v>
      </c>
      <c r="J282" s="52">
        <f t="shared" si="97"/>
        <v>104732</v>
      </c>
      <c r="K282" s="49">
        <f t="shared" si="98"/>
        <v>22626</v>
      </c>
      <c r="L282" s="50">
        <f t="shared" si="99"/>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c r="A283" s="31" t="s">
        <v>81</v>
      </c>
      <c r="B283" s="1" t="s">
        <v>351</v>
      </c>
      <c r="C283" s="30" t="str">
        <f t="shared" si="100"/>
        <v>LA England - Eastbourne</v>
      </c>
      <c r="D283" s="50">
        <f t="shared" si="91"/>
        <v>38878</v>
      </c>
      <c r="E283" s="50">
        <f t="shared" si="92"/>
        <v>43957</v>
      </c>
      <c r="F283" s="51">
        <f t="shared" si="93"/>
        <v>102247</v>
      </c>
      <c r="G283" s="51">
        <f t="shared" si="94"/>
        <v>48882</v>
      </c>
      <c r="H283" s="52">
        <f t="shared" si="95"/>
        <v>53365</v>
      </c>
      <c r="I283" s="52">
        <f t="shared" si="96"/>
        <v>38878</v>
      </c>
      <c r="J283" s="52">
        <f t="shared" si="97"/>
        <v>43957</v>
      </c>
      <c r="K283" s="49">
        <f t="shared" si="98"/>
        <v>10004</v>
      </c>
      <c r="L283" s="50">
        <f t="shared" si="99"/>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c r="A284" s="31" t="s">
        <v>81</v>
      </c>
      <c r="B284" s="1" t="s">
        <v>352</v>
      </c>
      <c r="C284" s="30" t="str">
        <f t="shared" si="100"/>
        <v>LA England - Eastleigh</v>
      </c>
      <c r="D284" s="50">
        <f t="shared" si="91"/>
        <v>52856</v>
      </c>
      <c r="E284" s="50">
        <f t="shared" si="92"/>
        <v>56452</v>
      </c>
      <c r="F284" s="51">
        <f t="shared" si="93"/>
        <v>138935</v>
      </c>
      <c r="G284" s="51">
        <f t="shared" si="94"/>
        <v>68002</v>
      </c>
      <c r="H284" s="52">
        <f t="shared" si="95"/>
        <v>70933</v>
      </c>
      <c r="I284" s="52">
        <f t="shared" si="96"/>
        <v>52856</v>
      </c>
      <c r="J284" s="52">
        <f t="shared" si="97"/>
        <v>56452</v>
      </c>
      <c r="K284" s="49">
        <f t="shared" si="98"/>
        <v>15146</v>
      </c>
      <c r="L284" s="50">
        <f t="shared" si="99"/>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c r="A285" s="31" t="s">
        <v>81</v>
      </c>
      <c r="B285" s="1" t="s">
        <v>353</v>
      </c>
      <c r="C285" s="30" t="str">
        <f t="shared" si="100"/>
        <v>LA England - Elmbridge</v>
      </c>
      <c r="D285" s="50">
        <f t="shared" si="91"/>
        <v>50576</v>
      </c>
      <c r="E285" s="50">
        <f t="shared" si="92"/>
        <v>55810</v>
      </c>
      <c r="F285" s="51">
        <f t="shared" si="93"/>
        <v>140024</v>
      </c>
      <c r="G285" s="51">
        <f t="shared" si="94"/>
        <v>67751</v>
      </c>
      <c r="H285" s="52">
        <f t="shared" si="95"/>
        <v>72273</v>
      </c>
      <c r="I285" s="52">
        <f t="shared" si="96"/>
        <v>50576</v>
      </c>
      <c r="J285" s="52">
        <f t="shared" si="97"/>
        <v>55810</v>
      </c>
      <c r="K285" s="49">
        <f t="shared" si="98"/>
        <v>17175</v>
      </c>
      <c r="L285" s="50">
        <f t="shared" si="99"/>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c r="A286" s="31" t="s">
        <v>81</v>
      </c>
      <c r="B286" s="1" t="s">
        <v>354</v>
      </c>
      <c r="C286" s="30" t="str">
        <f t="shared" si="100"/>
        <v>LA England - Enfield</v>
      </c>
      <c r="D286" s="50">
        <f t="shared" si="91"/>
        <v>114738</v>
      </c>
      <c r="E286" s="50">
        <f t="shared" si="92"/>
        <v>131447</v>
      </c>
      <c r="F286" s="51">
        <f t="shared" si="93"/>
        <v>327224</v>
      </c>
      <c r="G286" s="51">
        <f t="shared" si="94"/>
        <v>156122</v>
      </c>
      <c r="H286" s="52">
        <f t="shared" si="95"/>
        <v>171102</v>
      </c>
      <c r="I286" s="52">
        <f t="shared" si="96"/>
        <v>114738</v>
      </c>
      <c r="J286" s="52">
        <f t="shared" si="97"/>
        <v>131447</v>
      </c>
      <c r="K286" s="49">
        <f t="shared" si="98"/>
        <v>41384</v>
      </c>
      <c r="L286" s="50">
        <f t="shared" si="99"/>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c r="A287" s="31" t="s">
        <v>81</v>
      </c>
      <c r="B287" s="1" t="s">
        <v>355</v>
      </c>
      <c r="C287" s="30" t="str">
        <f t="shared" si="100"/>
        <v>LA England - Epping Forest</v>
      </c>
      <c r="D287" s="50">
        <f t="shared" si="91"/>
        <v>50913</v>
      </c>
      <c r="E287" s="50">
        <f t="shared" si="92"/>
        <v>55877</v>
      </c>
      <c r="F287" s="51">
        <f t="shared" si="93"/>
        <v>134989</v>
      </c>
      <c r="G287" s="51">
        <f t="shared" si="94"/>
        <v>65377</v>
      </c>
      <c r="H287" s="52">
        <f t="shared" si="95"/>
        <v>69612</v>
      </c>
      <c r="I287" s="52">
        <f t="shared" si="96"/>
        <v>50913</v>
      </c>
      <c r="J287" s="52">
        <f t="shared" si="97"/>
        <v>55877</v>
      </c>
      <c r="K287" s="49">
        <f t="shared" si="98"/>
        <v>14464</v>
      </c>
      <c r="L287" s="50">
        <f t="shared" si="99"/>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c r="A288" s="31" t="s">
        <v>81</v>
      </c>
      <c r="B288" s="1" t="s">
        <v>356</v>
      </c>
      <c r="C288" s="30" t="str">
        <f t="shared" si="100"/>
        <v>LA England - Epsom and Ewell</v>
      </c>
      <c r="D288" s="50">
        <f t="shared" si="91"/>
        <v>29749</v>
      </c>
      <c r="E288" s="50">
        <f t="shared" si="92"/>
        <v>32783</v>
      </c>
      <c r="F288" s="51">
        <f t="shared" si="93"/>
        <v>81184</v>
      </c>
      <c r="G288" s="51">
        <f t="shared" si="94"/>
        <v>39349</v>
      </c>
      <c r="H288" s="52">
        <f t="shared" si="95"/>
        <v>41835</v>
      </c>
      <c r="I288" s="52">
        <f t="shared" si="96"/>
        <v>29749</v>
      </c>
      <c r="J288" s="52">
        <f t="shared" si="97"/>
        <v>32783</v>
      </c>
      <c r="K288" s="49">
        <f t="shared" si="98"/>
        <v>9600</v>
      </c>
      <c r="L288" s="50">
        <f t="shared" si="99"/>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c r="A289" s="31" t="s">
        <v>81</v>
      </c>
      <c r="B289" s="1" t="s">
        <v>357</v>
      </c>
      <c r="C289" s="30" t="str">
        <f t="shared" si="100"/>
        <v>LA England - Erewash</v>
      </c>
      <c r="D289" s="50">
        <f t="shared" si="91"/>
        <v>44216</v>
      </c>
      <c r="E289" s="50">
        <f t="shared" si="92"/>
        <v>47067</v>
      </c>
      <c r="F289" s="51">
        <f t="shared" si="93"/>
        <v>113080</v>
      </c>
      <c r="G289" s="51">
        <f t="shared" si="94"/>
        <v>55544</v>
      </c>
      <c r="H289" s="52">
        <f t="shared" si="95"/>
        <v>57536</v>
      </c>
      <c r="I289" s="52">
        <f t="shared" si="96"/>
        <v>44216</v>
      </c>
      <c r="J289" s="52">
        <f t="shared" si="97"/>
        <v>47067</v>
      </c>
      <c r="K289" s="49">
        <f t="shared" si="98"/>
        <v>11328</v>
      </c>
      <c r="L289" s="50">
        <f t="shared" si="99"/>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c r="A290" s="31" t="s">
        <v>81</v>
      </c>
      <c r="B290" s="1" t="s">
        <v>358</v>
      </c>
      <c r="C290" s="30" t="str">
        <f t="shared" si="100"/>
        <v>LA England - Exeter</v>
      </c>
      <c r="D290" s="50">
        <f t="shared" si="91"/>
        <v>54644</v>
      </c>
      <c r="E290" s="50">
        <f t="shared" si="92"/>
        <v>58208</v>
      </c>
      <c r="F290" s="51">
        <f t="shared" si="93"/>
        <v>134939</v>
      </c>
      <c r="G290" s="51">
        <f t="shared" si="94"/>
        <v>65979</v>
      </c>
      <c r="H290" s="52">
        <f t="shared" si="95"/>
        <v>68960</v>
      </c>
      <c r="I290" s="52">
        <f t="shared" si="96"/>
        <v>54644</v>
      </c>
      <c r="J290" s="52">
        <f t="shared" si="97"/>
        <v>58208</v>
      </c>
      <c r="K290" s="49">
        <f t="shared" si="98"/>
        <v>11335</v>
      </c>
      <c r="L290" s="50">
        <f t="shared" si="99"/>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c r="A291" s="31" t="s">
        <v>81</v>
      </c>
      <c r="B291" s="1" t="s">
        <v>359</v>
      </c>
      <c r="C291" s="30" t="str">
        <f t="shared" si="100"/>
        <v>LA England - Fareham</v>
      </c>
      <c r="D291" s="50">
        <f t="shared" si="91"/>
        <v>45205</v>
      </c>
      <c r="E291" s="50">
        <f t="shared" si="92"/>
        <v>48295</v>
      </c>
      <c r="F291" s="51">
        <f t="shared" si="93"/>
        <v>114547</v>
      </c>
      <c r="G291" s="51">
        <f t="shared" si="94"/>
        <v>55913</v>
      </c>
      <c r="H291" s="52">
        <f t="shared" si="95"/>
        <v>58634</v>
      </c>
      <c r="I291" s="52">
        <f t="shared" si="96"/>
        <v>45205</v>
      </c>
      <c r="J291" s="52">
        <f t="shared" si="97"/>
        <v>48295</v>
      </c>
      <c r="K291" s="49">
        <f t="shared" si="98"/>
        <v>10708</v>
      </c>
      <c r="L291" s="50">
        <f t="shared" si="99"/>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c r="A292" s="31" t="s">
        <v>81</v>
      </c>
      <c r="B292" s="1" t="s">
        <v>360</v>
      </c>
      <c r="C292" s="30" t="str">
        <f t="shared" si="100"/>
        <v>LA England - Fenland</v>
      </c>
      <c r="D292" s="50">
        <f t="shared" si="91"/>
        <v>40132</v>
      </c>
      <c r="E292" s="50">
        <f t="shared" si="92"/>
        <v>42906</v>
      </c>
      <c r="F292" s="51">
        <f t="shared" si="93"/>
        <v>103035</v>
      </c>
      <c r="G292" s="51">
        <f t="shared" si="94"/>
        <v>50391</v>
      </c>
      <c r="H292" s="52">
        <f t="shared" si="95"/>
        <v>52644</v>
      </c>
      <c r="I292" s="52">
        <f t="shared" si="96"/>
        <v>40132</v>
      </c>
      <c r="J292" s="52">
        <f t="shared" si="97"/>
        <v>42906</v>
      </c>
      <c r="K292" s="49">
        <f t="shared" si="98"/>
        <v>10259</v>
      </c>
      <c r="L292" s="50">
        <f t="shared" si="99"/>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c r="A293" s="31" t="s">
        <v>81</v>
      </c>
      <c r="B293" s="1" t="s">
        <v>361</v>
      </c>
      <c r="C293" s="30" t="str">
        <f t="shared" si="100"/>
        <v>LA England - Folkestone and Hythe</v>
      </c>
      <c r="D293" s="50">
        <f t="shared" si="91"/>
        <v>43173</v>
      </c>
      <c r="E293" s="50">
        <f t="shared" si="92"/>
        <v>46524</v>
      </c>
      <c r="F293" s="51">
        <f t="shared" si="93"/>
        <v>110237</v>
      </c>
      <c r="G293" s="51">
        <f t="shared" si="94"/>
        <v>53700</v>
      </c>
      <c r="H293" s="52">
        <f t="shared" si="95"/>
        <v>56537</v>
      </c>
      <c r="I293" s="52">
        <f t="shared" si="96"/>
        <v>43173</v>
      </c>
      <c r="J293" s="52">
        <f t="shared" si="97"/>
        <v>46524</v>
      </c>
      <c r="K293" s="49">
        <f t="shared" si="98"/>
        <v>10527</v>
      </c>
      <c r="L293" s="50">
        <f t="shared" si="99"/>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c r="A294" s="31" t="s">
        <v>81</v>
      </c>
      <c r="B294" s="1" t="s">
        <v>362</v>
      </c>
      <c r="C294" s="30" t="str">
        <f t="shared" si="100"/>
        <v>LA England - Forest of Dean</v>
      </c>
      <c r="D294" s="50">
        <f t="shared" si="91"/>
        <v>35019</v>
      </c>
      <c r="E294" s="50">
        <f t="shared" si="92"/>
        <v>36827</v>
      </c>
      <c r="F294" s="51">
        <f t="shared" si="93"/>
        <v>87937</v>
      </c>
      <c r="G294" s="51">
        <f t="shared" si="94"/>
        <v>43131</v>
      </c>
      <c r="H294" s="52">
        <f t="shared" si="95"/>
        <v>44806</v>
      </c>
      <c r="I294" s="52">
        <f t="shared" si="96"/>
        <v>35019</v>
      </c>
      <c r="J294" s="52">
        <f t="shared" si="97"/>
        <v>36827</v>
      </c>
      <c r="K294" s="49">
        <f t="shared" si="98"/>
        <v>8112</v>
      </c>
      <c r="L294" s="50">
        <f t="shared" si="99"/>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c r="A295" s="31" t="s">
        <v>81</v>
      </c>
      <c r="B295" s="1" t="s">
        <v>363</v>
      </c>
      <c r="C295" s="30" t="str">
        <f t="shared" si="100"/>
        <v>LA England - Fylde</v>
      </c>
      <c r="D295" s="50">
        <f t="shared" si="91"/>
        <v>33545</v>
      </c>
      <c r="E295" s="50">
        <f t="shared" si="92"/>
        <v>35506</v>
      </c>
      <c r="F295" s="51">
        <f t="shared" si="93"/>
        <v>83008</v>
      </c>
      <c r="G295" s="51">
        <f t="shared" si="94"/>
        <v>40611</v>
      </c>
      <c r="H295" s="52">
        <f t="shared" si="95"/>
        <v>42397</v>
      </c>
      <c r="I295" s="52">
        <f t="shared" si="96"/>
        <v>33545</v>
      </c>
      <c r="J295" s="52">
        <f t="shared" si="97"/>
        <v>35506</v>
      </c>
      <c r="K295" s="49">
        <f t="shared" si="98"/>
        <v>7066</v>
      </c>
      <c r="L295" s="50">
        <f t="shared" si="99"/>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c r="A296" s="31" t="s">
        <v>81</v>
      </c>
      <c r="B296" s="1" t="s">
        <v>364</v>
      </c>
      <c r="C296" s="30" t="str">
        <f t="shared" si="100"/>
        <v>LA England - Gateshead</v>
      </c>
      <c r="D296" s="50">
        <f t="shared" si="91"/>
        <v>77352</v>
      </c>
      <c r="E296" s="50">
        <f t="shared" si="92"/>
        <v>81051</v>
      </c>
      <c r="F296" s="51">
        <f t="shared" si="93"/>
        <v>197722</v>
      </c>
      <c r="G296" s="51">
        <f t="shared" si="94"/>
        <v>97281</v>
      </c>
      <c r="H296" s="52">
        <f t="shared" si="95"/>
        <v>100441</v>
      </c>
      <c r="I296" s="52">
        <f t="shared" si="96"/>
        <v>77352</v>
      </c>
      <c r="J296" s="52">
        <f t="shared" si="97"/>
        <v>81051</v>
      </c>
      <c r="K296" s="49">
        <f t="shared" si="98"/>
        <v>19929</v>
      </c>
      <c r="L296" s="50">
        <f t="shared" si="99"/>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c r="A297" s="31" t="s">
        <v>81</v>
      </c>
      <c r="B297" s="1" t="s">
        <v>365</v>
      </c>
      <c r="C297" s="30" t="str">
        <f t="shared" si="100"/>
        <v>LA England - Gedling</v>
      </c>
      <c r="D297" s="50">
        <f t="shared" si="91"/>
        <v>45173</v>
      </c>
      <c r="E297" s="50">
        <f t="shared" si="92"/>
        <v>49187</v>
      </c>
      <c r="F297" s="51">
        <f t="shared" si="93"/>
        <v>117730</v>
      </c>
      <c r="G297" s="51">
        <f t="shared" si="94"/>
        <v>57091</v>
      </c>
      <c r="H297" s="52">
        <f t="shared" si="95"/>
        <v>60639</v>
      </c>
      <c r="I297" s="52">
        <f t="shared" si="96"/>
        <v>45173</v>
      </c>
      <c r="J297" s="52">
        <f t="shared" si="97"/>
        <v>49187</v>
      </c>
      <c r="K297" s="49">
        <f t="shared" si="98"/>
        <v>11918</v>
      </c>
      <c r="L297" s="50">
        <f t="shared" si="99"/>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c r="A298" s="31" t="s">
        <v>81</v>
      </c>
      <c r="B298" s="1" t="s">
        <v>366</v>
      </c>
      <c r="C298" s="30" t="str">
        <f t="shared" si="100"/>
        <v>LA England - Gloucester</v>
      </c>
      <c r="D298" s="50">
        <f t="shared" si="91"/>
        <v>51325</v>
      </c>
      <c r="E298" s="50">
        <f t="shared" si="92"/>
        <v>53375</v>
      </c>
      <c r="F298" s="51">
        <f t="shared" si="93"/>
        <v>133522</v>
      </c>
      <c r="G298" s="51">
        <f t="shared" si="94"/>
        <v>66103</v>
      </c>
      <c r="H298" s="52">
        <f t="shared" si="95"/>
        <v>67419</v>
      </c>
      <c r="I298" s="52">
        <f t="shared" si="96"/>
        <v>51325</v>
      </c>
      <c r="J298" s="52">
        <f t="shared" si="97"/>
        <v>53375</v>
      </c>
      <c r="K298" s="49">
        <f t="shared" si="98"/>
        <v>14778</v>
      </c>
      <c r="L298" s="50">
        <f t="shared" si="99"/>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c r="A299" s="31" t="s">
        <v>81</v>
      </c>
      <c r="B299" s="1" t="s">
        <v>367</v>
      </c>
      <c r="C299" s="30" t="str">
        <f t="shared" si="100"/>
        <v>LA England - Gosport</v>
      </c>
      <c r="D299" s="50">
        <f t="shared" si="91"/>
        <v>31708</v>
      </c>
      <c r="E299" s="50">
        <f t="shared" si="92"/>
        <v>34076</v>
      </c>
      <c r="F299" s="51">
        <f t="shared" si="93"/>
        <v>82285</v>
      </c>
      <c r="G299" s="51">
        <f t="shared" si="94"/>
        <v>40357</v>
      </c>
      <c r="H299" s="52">
        <f t="shared" si="95"/>
        <v>41928</v>
      </c>
      <c r="I299" s="52">
        <f t="shared" si="96"/>
        <v>31708</v>
      </c>
      <c r="J299" s="52">
        <f t="shared" si="97"/>
        <v>34076</v>
      </c>
      <c r="K299" s="49">
        <f t="shared" si="98"/>
        <v>8649</v>
      </c>
      <c r="L299" s="50">
        <f t="shared" si="99"/>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c r="A300" s="31" t="s">
        <v>81</v>
      </c>
      <c r="B300" s="1" t="s">
        <v>368</v>
      </c>
      <c r="C300" s="30" t="str">
        <f t="shared" si="100"/>
        <v>LA England - Gravesham</v>
      </c>
      <c r="D300" s="50">
        <f t="shared" si="91"/>
        <v>39235</v>
      </c>
      <c r="E300" s="50">
        <f t="shared" si="92"/>
        <v>42274</v>
      </c>
      <c r="F300" s="51">
        <f t="shared" si="93"/>
        <v>106970</v>
      </c>
      <c r="G300" s="51">
        <f t="shared" si="94"/>
        <v>52155</v>
      </c>
      <c r="H300" s="52">
        <f t="shared" si="95"/>
        <v>54815</v>
      </c>
      <c r="I300" s="52">
        <f t="shared" si="96"/>
        <v>39235</v>
      </c>
      <c r="J300" s="52">
        <f t="shared" si="97"/>
        <v>42274</v>
      </c>
      <c r="K300" s="49">
        <f t="shared" si="98"/>
        <v>12920</v>
      </c>
      <c r="L300" s="50">
        <f t="shared" si="99"/>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c r="A301" s="31" t="s">
        <v>81</v>
      </c>
      <c r="B301" s="1" t="s">
        <v>369</v>
      </c>
      <c r="C301" s="30" t="str">
        <f t="shared" si="100"/>
        <v>LA England - Great Yarmouth</v>
      </c>
      <c r="D301" s="50">
        <f t="shared" si="91"/>
        <v>38899</v>
      </c>
      <c r="E301" s="50">
        <f t="shared" si="92"/>
        <v>41807</v>
      </c>
      <c r="F301" s="51">
        <f t="shared" si="93"/>
        <v>99862</v>
      </c>
      <c r="G301" s="51">
        <f t="shared" si="94"/>
        <v>48741</v>
      </c>
      <c r="H301" s="52">
        <f t="shared" si="95"/>
        <v>51121</v>
      </c>
      <c r="I301" s="52">
        <f t="shared" si="96"/>
        <v>38899</v>
      </c>
      <c r="J301" s="52">
        <f t="shared" si="97"/>
        <v>41807</v>
      </c>
      <c r="K301" s="49">
        <f t="shared" si="98"/>
        <v>9842</v>
      </c>
      <c r="L301" s="50">
        <f t="shared" si="99"/>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c r="A302" s="31" t="s">
        <v>81</v>
      </c>
      <c r="B302" s="1" t="s">
        <v>370</v>
      </c>
      <c r="C302" s="30" t="str">
        <f t="shared" si="100"/>
        <v>LA England - Greenwich</v>
      </c>
      <c r="D302" s="50">
        <f t="shared" si="91"/>
        <v>108669</v>
      </c>
      <c r="E302" s="50">
        <f t="shared" si="92"/>
        <v>116854</v>
      </c>
      <c r="F302" s="51">
        <f t="shared" si="93"/>
        <v>291080</v>
      </c>
      <c r="G302" s="51">
        <f t="shared" si="94"/>
        <v>141998</v>
      </c>
      <c r="H302" s="52">
        <f t="shared" si="95"/>
        <v>149082</v>
      </c>
      <c r="I302" s="52">
        <f t="shared" si="96"/>
        <v>108669</v>
      </c>
      <c r="J302" s="52">
        <f t="shared" si="97"/>
        <v>116854</v>
      </c>
      <c r="K302" s="49">
        <f t="shared" si="98"/>
        <v>33329</v>
      </c>
      <c r="L302" s="50">
        <f t="shared" si="99"/>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c r="A303" s="31" t="s">
        <v>81</v>
      </c>
      <c r="B303" s="1" t="s">
        <v>371</v>
      </c>
      <c r="C303" s="30" t="str">
        <f t="shared" si="100"/>
        <v>LA England - Guildford</v>
      </c>
      <c r="D303" s="50">
        <f t="shared" si="91"/>
        <v>57455</v>
      </c>
      <c r="E303" s="50">
        <f t="shared" si="92"/>
        <v>59963</v>
      </c>
      <c r="F303" s="51">
        <f t="shared" si="93"/>
        <v>145673</v>
      </c>
      <c r="G303" s="51">
        <f t="shared" si="94"/>
        <v>71786</v>
      </c>
      <c r="H303" s="52">
        <f t="shared" si="95"/>
        <v>73887</v>
      </c>
      <c r="I303" s="52">
        <f t="shared" si="96"/>
        <v>57455</v>
      </c>
      <c r="J303" s="52">
        <f t="shared" si="97"/>
        <v>59963</v>
      </c>
      <c r="K303" s="49">
        <f t="shared" si="98"/>
        <v>14331</v>
      </c>
      <c r="L303" s="50">
        <f t="shared" si="99"/>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c r="A304" s="31" t="s">
        <v>81</v>
      </c>
      <c r="B304" s="1" t="s">
        <v>372</v>
      </c>
      <c r="C304" s="30" t="str">
        <f t="shared" si="100"/>
        <v>LA England - Hackney</v>
      </c>
      <c r="D304" s="50">
        <f t="shared" si="91"/>
        <v>96624</v>
      </c>
      <c r="E304" s="50">
        <f t="shared" si="92"/>
        <v>109773</v>
      </c>
      <c r="F304" s="51">
        <f t="shared" si="93"/>
        <v>261491</v>
      </c>
      <c r="G304" s="51">
        <f t="shared" si="94"/>
        <v>124628</v>
      </c>
      <c r="H304" s="52">
        <f t="shared" si="95"/>
        <v>136863</v>
      </c>
      <c r="I304" s="52">
        <f t="shared" si="96"/>
        <v>96624</v>
      </c>
      <c r="J304" s="52">
        <f t="shared" si="97"/>
        <v>109773</v>
      </c>
      <c r="K304" s="49">
        <f t="shared" si="98"/>
        <v>28004</v>
      </c>
      <c r="L304" s="50">
        <f t="shared" si="99"/>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c r="A305" s="31" t="s">
        <v>81</v>
      </c>
      <c r="B305" s="1" t="s">
        <v>373</v>
      </c>
      <c r="C305" s="30" t="str">
        <f t="shared" si="100"/>
        <v>LA England - Halton</v>
      </c>
      <c r="D305" s="50">
        <f t="shared" si="91"/>
        <v>49092</v>
      </c>
      <c r="E305" s="50">
        <f t="shared" si="92"/>
        <v>52326</v>
      </c>
      <c r="F305" s="51">
        <f t="shared" si="93"/>
        <v>128964</v>
      </c>
      <c r="G305" s="51">
        <f t="shared" si="94"/>
        <v>63227</v>
      </c>
      <c r="H305" s="52">
        <f t="shared" si="95"/>
        <v>65737</v>
      </c>
      <c r="I305" s="52">
        <f t="shared" si="96"/>
        <v>49092</v>
      </c>
      <c r="J305" s="52">
        <f t="shared" si="97"/>
        <v>52326</v>
      </c>
      <c r="K305" s="49">
        <f t="shared" si="98"/>
        <v>14135</v>
      </c>
      <c r="L305" s="50">
        <f t="shared" si="99"/>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c r="A306" s="31" t="s">
        <v>81</v>
      </c>
      <c r="B306" s="1" t="s">
        <v>374</v>
      </c>
      <c r="C306" s="30" t="str">
        <f t="shared" si="100"/>
        <v>LA England - Hammersmith and Fulham</v>
      </c>
      <c r="D306" s="50">
        <f t="shared" si="91"/>
        <v>70634</v>
      </c>
      <c r="E306" s="50">
        <f t="shared" si="92"/>
        <v>82749</v>
      </c>
      <c r="F306" s="51">
        <f t="shared" si="93"/>
        <v>185238</v>
      </c>
      <c r="G306" s="51">
        <f t="shared" si="94"/>
        <v>86607</v>
      </c>
      <c r="H306" s="52">
        <f t="shared" si="95"/>
        <v>98631</v>
      </c>
      <c r="I306" s="52">
        <f t="shared" si="96"/>
        <v>70634</v>
      </c>
      <c r="J306" s="52">
        <f t="shared" si="97"/>
        <v>82749</v>
      </c>
      <c r="K306" s="49">
        <f t="shared" si="98"/>
        <v>15973</v>
      </c>
      <c r="L306" s="50">
        <f t="shared" si="99"/>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c r="A307" s="31" t="s">
        <v>81</v>
      </c>
      <c r="B307" s="1" t="s">
        <v>375</v>
      </c>
      <c r="C307" s="30" t="str">
        <f t="shared" si="100"/>
        <v>LA England - Harborough</v>
      </c>
      <c r="D307" s="50">
        <f t="shared" si="91"/>
        <v>39173</v>
      </c>
      <c r="E307" s="50">
        <f t="shared" si="92"/>
        <v>41258</v>
      </c>
      <c r="F307" s="51">
        <f t="shared" si="93"/>
        <v>100481</v>
      </c>
      <c r="G307" s="51">
        <f t="shared" si="94"/>
        <v>49592</v>
      </c>
      <c r="H307" s="52">
        <f t="shared" si="95"/>
        <v>50889</v>
      </c>
      <c r="I307" s="52">
        <f t="shared" si="96"/>
        <v>39173</v>
      </c>
      <c r="J307" s="52">
        <f t="shared" si="97"/>
        <v>41258</v>
      </c>
      <c r="K307" s="49">
        <f t="shared" si="98"/>
        <v>10419</v>
      </c>
      <c r="L307" s="50">
        <f t="shared" si="99"/>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c r="A308" s="31" t="s">
        <v>81</v>
      </c>
      <c r="B308" s="1" t="s">
        <v>376</v>
      </c>
      <c r="C308" s="30" t="str">
        <f t="shared" si="100"/>
        <v>LA England - Haringey</v>
      </c>
      <c r="D308" s="50">
        <f t="shared" si="91"/>
        <v>98640</v>
      </c>
      <c r="E308" s="50">
        <f t="shared" si="92"/>
        <v>109268</v>
      </c>
      <c r="F308" s="51">
        <f t="shared" si="93"/>
        <v>261811</v>
      </c>
      <c r="G308" s="51">
        <f t="shared" si="94"/>
        <v>126002</v>
      </c>
      <c r="H308" s="52">
        <f t="shared" si="95"/>
        <v>135809</v>
      </c>
      <c r="I308" s="52">
        <f t="shared" si="96"/>
        <v>98640</v>
      </c>
      <c r="J308" s="52">
        <f t="shared" si="97"/>
        <v>109268</v>
      </c>
      <c r="K308" s="49">
        <f t="shared" si="98"/>
        <v>27362</v>
      </c>
      <c r="L308" s="50">
        <f t="shared" si="99"/>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c r="A309" s="31" t="s">
        <v>81</v>
      </c>
      <c r="B309" s="1" t="s">
        <v>377</v>
      </c>
      <c r="C309" s="30" t="str">
        <f t="shared" si="100"/>
        <v>LA England - Harlow</v>
      </c>
      <c r="D309" s="50">
        <f t="shared" si="91"/>
        <v>34053</v>
      </c>
      <c r="E309" s="50">
        <f t="shared" si="92"/>
        <v>37369</v>
      </c>
      <c r="F309" s="51">
        <f t="shared" si="93"/>
        <v>94409</v>
      </c>
      <c r="G309" s="51">
        <f t="shared" si="94"/>
        <v>45809</v>
      </c>
      <c r="H309" s="52">
        <f t="shared" si="95"/>
        <v>48600</v>
      </c>
      <c r="I309" s="52">
        <f t="shared" si="96"/>
        <v>34053</v>
      </c>
      <c r="J309" s="52">
        <f t="shared" si="97"/>
        <v>37369</v>
      </c>
      <c r="K309" s="49">
        <f t="shared" si="98"/>
        <v>11756</v>
      </c>
      <c r="L309" s="50">
        <f t="shared" si="99"/>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c r="A310" s="31" t="s">
        <v>81</v>
      </c>
      <c r="B310" s="1" t="s">
        <v>378</v>
      </c>
      <c r="C310" s="30" t="str">
        <f t="shared" si="100"/>
        <v>LA England - Harrow</v>
      </c>
      <c r="D310" s="50">
        <f t="shared" si="91"/>
        <v>98484</v>
      </c>
      <c r="E310" s="50">
        <f t="shared" si="92"/>
        <v>103799</v>
      </c>
      <c r="F310" s="51">
        <f t="shared" si="93"/>
        <v>261185</v>
      </c>
      <c r="G310" s="51">
        <f t="shared" si="94"/>
        <v>128948</v>
      </c>
      <c r="H310" s="52">
        <f t="shared" si="95"/>
        <v>132237</v>
      </c>
      <c r="I310" s="52">
        <f t="shared" si="96"/>
        <v>98484</v>
      </c>
      <c r="J310" s="52">
        <f t="shared" si="97"/>
        <v>103799</v>
      </c>
      <c r="K310" s="49">
        <f t="shared" si="98"/>
        <v>30464</v>
      </c>
      <c r="L310" s="50">
        <f t="shared" si="99"/>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c r="A311" s="31" t="s">
        <v>81</v>
      </c>
      <c r="B311" s="1" t="s">
        <v>379</v>
      </c>
      <c r="C311" s="30" t="str">
        <f t="shared" si="100"/>
        <v>LA England - Hart</v>
      </c>
      <c r="D311" s="50">
        <f t="shared" si="91"/>
        <v>38859</v>
      </c>
      <c r="E311" s="50">
        <f t="shared" si="92"/>
        <v>40393</v>
      </c>
      <c r="F311" s="51">
        <f t="shared" si="93"/>
        <v>100910</v>
      </c>
      <c r="G311" s="51">
        <f t="shared" si="94"/>
        <v>49963</v>
      </c>
      <c r="H311" s="52">
        <f t="shared" si="95"/>
        <v>50947</v>
      </c>
      <c r="I311" s="52">
        <f t="shared" si="96"/>
        <v>38859</v>
      </c>
      <c r="J311" s="52">
        <f t="shared" si="97"/>
        <v>40393</v>
      </c>
      <c r="K311" s="49">
        <f t="shared" si="98"/>
        <v>11104</v>
      </c>
      <c r="L311" s="50">
        <f t="shared" si="99"/>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c r="A312" s="31" t="s">
        <v>81</v>
      </c>
      <c r="B312" s="1" t="s">
        <v>380</v>
      </c>
      <c r="C312" s="30" t="str">
        <f t="shared" si="100"/>
        <v>LA England - Hartlepool</v>
      </c>
      <c r="D312" s="50">
        <f t="shared" si="91"/>
        <v>35320</v>
      </c>
      <c r="E312" s="50">
        <f t="shared" si="92"/>
        <v>38425</v>
      </c>
      <c r="F312" s="51">
        <f t="shared" si="93"/>
        <v>93861</v>
      </c>
      <c r="G312" s="51">
        <f t="shared" si="94"/>
        <v>45630</v>
      </c>
      <c r="H312" s="52">
        <f t="shared" si="95"/>
        <v>48231</v>
      </c>
      <c r="I312" s="52">
        <f t="shared" si="96"/>
        <v>35320</v>
      </c>
      <c r="J312" s="52">
        <f t="shared" si="97"/>
        <v>38425</v>
      </c>
      <c r="K312" s="49">
        <f t="shared" si="98"/>
        <v>10310</v>
      </c>
      <c r="L312" s="50">
        <f t="shared" si="99"/>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c r="A313" s="31" t="s">
        <v>81</v>
      </c>
      <c r="B313" s="1" t="s">
        <v>381</v>
      </c>
      <c r="C313" s="30" t="str">
        <f t="shared" si="100"/>
        <v>LA England - Hastings</v>
      </c>
      <c r="D313" s="50">
        <f t="shared" si="91"/>
        <v>34687</v>
      </c>
      <c r="E313" s="50">
        <f t="shared" si="92"/>
        <v>37763</v>
      </c>
      <c r="F313" s="51">
        <f t="shared" si="93"/>
        <v>90622</v>
      </c>
      <c r="G313" s="51">
        <f t="shared" si="94"/>
        <v>44005</v>
      </c>
      <c r="H313" s="52">
        <f t="shared" si="95"/>
        <v>46617</v>
      </c>
      <c r="I313" s="52">
        <f t="shared" si="96"/>
        <v>34687</v>
      </c>
      <c r="J313" s="52">
        <f t="shared" si="97"/>
        <v>37763</v>
      </c>
      <c r="K313" s="49">
        <f t="shared" si="98"/>
        <v>9318</v>
      </c>
      <c r="L313" s="50">
        <f t="shared" si="99"/>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c r="A314" s="31" t="s">
        <v>81</v>
      </c>
      <c r="B314" s="1" t="s">
        <v>382</v>
      </c>
      <c r="C314" s="30" t="str">
        <f t="shared" si="100"/>
        <v>LA England - Havant</v>
      </c>
      <c r="D314" s="50">
        <f t="shared" si="91"/>
        <v>47862</v>
      </c>
      <c r="E314" s="50">
        <f t="shared" si="92"/>
        <v>52754</v>
      </c>
      <c r="F314" s="51">
        <f t="shared" si="93"/>
        <v>124854</v>
      </c>
      <c r="G314" s="51">
        <f t="shared" si="94"/>
        <v>60252</v>
      </c>
      <c r="H314" s="52">
        <f t="shared" si="95"/>
        <v>64602</v>
      </c>
      <c r="I314" s="52">
        <f t="shared" si="96"/>
        <v>47862</v>
      </c>
      <c r="J314" s="52">
        <f t="shared" si="97"/>
        <v>52754</v>
      </c>
      <c r="K314" s="49">
        <f t="shared" si="98"/>
        <v>12390</v>
      </c>
      <c r="L314" s="50">
        <f t="shared" si="99"/>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c r="A315" s="31" t="s">
        <v>81</v>
      </c>
      <c r="B315" s="1" t="s">
        <v>383</v>
      </c>
      <c r="C315" s="30" t="str">
        <f t="shared" si="100"/>
        <v>LA England - Havering</v>
      </c>
      <c r="D315" s="50">
        <f t="shared" si="91"/>
        <v>97269</v>
      </c>
      <c r="E315" s="50">
        <f t="shared" si="92"/>
        <v>107346</v>
      </c>
      <c r="F315" s="51">
        <f t="shared" si="93"/>
        <v>264703</v>
      </c>
      <c r="G315" s="51">
        <f t="shared" si="94"/>
        <v>128043</v>
      </c>
      <c r="H315" s="52">
        <f t="shared" si="95"/>
        <v>136660</v>
      </c>
      <c r="I315" s="52">
        <f t="shared" si="96"/>
        <v>97269</v>
      </c>
      <c r="J315" s="52">
        <f t="shared" si="97"/>
        <v>107346</v>
      </c>
      <c r="K315" s="49">
        <f t="shared" si="98"/>
        <v>30774</v>
      </c>
      <c r="L315" s="50">
        <f t="shared" si="99"/>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c r="A316" s="31" t="s">
        <v>81</v>
      </c>
      <c r="B316" s="1" t="s">
        <v>384</v>
      </c>
      <c r="C316" s="30" t="str">
        <f t="shared" si="100"/>
        <v>LA England - Herefordshire, County of</v>
      </c>
      <c r="D316" s="50">
        <f t="shared" si="91"/>
        <v>74887</v>
      </c>
      <c r="E316" s="50">
        <f t="shared" si="92"/>
        <v>79801</v>
      </c>
      <c r="F316" s="51">
        <f t="shared" si="93"/>
        <v>188719</v>
      </c>
      <c r="G316" s="51">
        <f t="shared" si="94"/>
        <v>92561</v>
      </c>
      <c r="H316" s="52">
        <f t="shared" si="95"/>
        <v>96158</v>
      </c>
      <c r="I316" s="52">
        <f t="shared" si="96"/>
        <v>74887</v>
      </c>
      <c r="J316" s="52">
        <f t="shared" si="97"/>
        <v>79801</v>
      </c>
      <c r="K316" s="49">
        <f t="shared" si="98"/>
        <v>17674</v>
      </c>
      <c r="L316" s="50">
        <f t="shared" si="99"/>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c r="A317" s="31" t="s">
        <v>81</v>
      </c>
      <c r="B317" s="1" t="s">
        <v>385</v>
      </c>
      <c r="C317" s="30" t="str">
        <f t="shared" si="100"/>
        <v>LA England - Hertsmere</v>
      </c>
      <c r="D317" s="50">
        <f t="shared" si="91"/>
        <v>39512</v>
      </c>
      <c r="E317" s="50">
        <f t="shared" si="92"/>
        <v>44210</v>
      </c>
      <c r="F317" s="51">
        <f t="shared" si="93"/>
        <v>108106</v>
      </c>
      <c r="G317" s="51">
        <f t="shared" si="94"/>
        <v>51987</v>
      </c>
      <c r="H317" s="52">
        <f t="shared" si="95"/>
        <v>56119</v>
      </c>
      <c r="I317" s="52">
        <f t="shared" si="96"/>
        <v>39512</v>
      </c>
      <c r="J317" s="52">
        <f t="shared" si="97"/>
        <v>44210</v>
      </c>
      <c r="K317" s="49">
        <f t="shared" si="98"/>
        <v>12475</v>
      </c>
      <c r="L317" s="50">
        <f t="shared" si="99"/>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c r="A318" s="31" t="s">
        <v>81</v>
      </c>
      <c r="B318" s="1" t="s">
        <v>386</v>
      </c>
      <c r="C318" s="30" t="str">
        <f t="shared" si="100"/>
        <v>LA England - High Peak</v>
      </c>
      <c r="D318" s="50">
        <f t="shared" si="91"/>
        <v>36065</v>
      </c>
      <c r="E318" s="50">
        <f t="shared" si="92"/>
        <v>37826</v>
      </c>
      <c r="F318" s="51">
        <f t="shared" si="93"/>
        <v>91109</v>
      </c>
      <c r="G318" s="51">
        <f t="shared" si="94"/>
        <v>44801</v>
      </c>
      <c r="H318" s="52">
        <f t="shared" si="95"/>
        <v>46308</v>
      </c>
      <c r="I318" s="52">
        <f t="shared" si="96"/>
        <v>36065</v>
      </c>
      <c r="J318" s="52">
        <f t="shared" si="97"/>
        <v>37826</v>
      </c>
      <c r="K318" s="49">
        <f t="shared" si="98"/>
        <v>8736</v>
      </c>
      <c r="L318" s="50">
        <f t="shared" si="99"/>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c r="A319" s="31" t="s">
        <v>81</v>
      </c>
      <c r="B319" s="1" t="s">
        <v>387</v>
      </c>
      <c r="C319" s="30" t="str">
        <f t="shared" si="100"/>
        <v>LA England - Hillingdon</v>
      </c>
      <c r="D319" s="50">
        <f t="shared" si="91"/>
        <v>117369</v>
      </c>
      <c r="E319" s="50">
        <f t="shared" si="92"/>
        <v>120731</v>
      </c>
      <c r="F319" s="51">
        <f t="shared" si="93"/>
        <v>310681</v>
      </c>
      <c r="G319" s="51">
        <f t="shared" si="94"/>
        <v>154503</v>
      </c>
      <c r="H319" s="52">
        <f t="shared" si="95"/>
        <v>156178</v>
      </c>
      <c r="I319" s="52">
        <f t="shared" si="96"/>
        <v>117369</v>
      </c>
      <c r="J319" s="52">
        <f t="shared" si="97"/>
        <v>120731</v>
      </c>
      <c r="K319" s="49">
        <f t="shared" si="98"/>
        <v>37134</v>
      </c>
      <c r="L319" s="50">
        <f t="shared" si="99"/>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c r="A320" s="31" t="s">
        <v>81</v>
      </c>
      <c r="B320" s="1" t="s">
        <v>388</v>
      </c>
      <c r="C320" s="30" t="str">
        <f t="shared" si="100"/>
        <v>LA England - Hinckley and Bosworth</v>
      </c>
      <c r="D320" s="50">
        <f t="shared" si="91"/>
        <v>44825</v>
      </c>
      <c r="E320" s="50">
        <f t="shared" si="92"/>
        <v>47071</v>
      </c>
      <c r="F320" s="51">
        <f t="shared" si="93"/>
        <v>114298</v>
      </c>
      <c r="G320" s="51">
        <f t="shared" si="94"/>
        <v>56349</v>
      </c>
      <c r="H320" s="52">
        <f t="shared" si="95"/>
        <v>57949</v>
      </c>
      <c r="I320" s="52">
        <f t="shared" si="96"/>
        <v>44825</v>
      </c>
      <c r="J320" s="52">
        <f t="shared" si="97"/>
        <v>47071</v>
      </c>
      <c r="K320" s="49">
        <f t="shared" si="98"/>
        <v>11524</v>
      </c>
      <c r="L320" s="50">
        <f t="shared" si="99"/>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c r="A321" s="31" t="s">
        <v>81</v>
      </c>
      <c r="B321" s="1" t="s">
        <v>389</v>
      </c>
      <c r="C321" s="30" t="str">
        <f t="shared" si="100"/>
        <v>LA England - Horsham</v>
      </c>
      <c r="D321" s="50">
        <f t="shared" si="91"/>
        <v>57103</v>
      </c>
      <c r="E321" s="50">
        <f t="shared" si="92"/>
        <v>61460</v>
      </c>
      <c r="F321" s="51">
        <f t="shared" si="93"/>
        <v>148696</v>
      </c>
      <c r="G321" s="51">
        <f t="shared" si="94"/>
        <v>72638</v>
      </c>
      <c r="H321" s="52">
        <f t="shared" si="95"/>
        <v>76058</v>
      </c>
      <c r="I321" s="52">
        <f t="shared" si="96"/>
        <v>57103</v>
      </c>
      <c r="J321" s="52">
        <f t="shared" si="97"/>
        <v>61460</v>
      </c>
      <c r="K321" s="49">
        <f t="shared" si="98"/>
        <v>15535</v>
      </c>
      <c r="L321" s="50">
        <f t="shared" si="99"/>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c r="A322" s="31" t="s">
        <v>81</v>
      </c>
      <c r="B322" s="1" t="s">
        <v>390</v>
      </c>
      <c r="C322" s="30" t="str">
        <f t="shared" si="100"/>
        <v>LA England - Hounslow</v>
      </c>
      <c r="D322" s="50">
        <f t="shared" si="91"/>
        <v>110621</v>
      </c>
      <c r="E322" s="50">
        <f t="shared" si="92"/>
        <v>113039</v>
      </c>
      <c r="F322" s="51">
        <f t="shared" si="93"/>
        <v>290488</v>
      </c>
      <c r="G322" s="51">
        <f t="shared" si="94"/>
        <v>145055</v>
      </c>
      <c r="H322" s="52">
        <f t="shared" si="95"/>
        <v>145433</v>
      </c>
      <c r="I322" s="52">
        <f t="shared" si="96"/>
        <v>110621</v>
      </c>
      <c r="J322" s="52">
        <f t="shared" si="97"/>
        <v>113039</v>
      </c>
      <c r="K322" s="49">
        <f t="shared" si="98"/>
        <v>34434</v>
      </c>
      <c r="L322" s="50">
        <f t="shared" si="99"/>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c r="A323" s="31" t="s">
        <v>81</v>
      </c>
      <c r="B323" s="1" t="s">
        <v>391</v>
      </c>
      <c r="C323" s="30" t="str">
        <f t="shared" si="100"/>
        <v>LA England - Huntingdonshire</v>
      </c>
      <c r="D323" s="50">
        <f t="shared" si="91"/>
        <v>71911</v>
      </c>
      <c r="E323" s="50">
        <f t="shared" si="92"/>
        <v>74728</v>
      </c>
      <c r="F323" s="51">
        <f t="shared" si="93"/>
        <v>184052</v>
      </c>
      <c r="G323" s="51">
        <f t="shared" si="94"/>
        <v>91150</v>
      </c>
      <c r="H323" s="52">
        <f t="shared" si="95"/>
        <v>92902</v>
      </c>
      <c r="I323" s="52">
        <f t="shared" si="96"/>
        <v>71911</v>
      </c>
      <c r="J323" s="52">
        <f t="shared" si="97"/>
        <v>74728</v>
      </c>
      <c r="K323" s="49">
        <f t="shared" si="98"/>
        <v>19239</v>
      </c>
      <c r="L323" s="50">
        <f t="shared" si="99"/>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c r="A324" s="31" t="s">
        <v>81</v>
      </c>
      <c r="B324" s="1" t="s">
        <v>392</v>
      </c>
      <c r="C324" s="30" t="str">
        <f t="shared" si="100"/>
        <v>LA England - Hyndburn</v>
      </c>
      <c r="D324" s="50">
        <f t="shared" si="91"/>
        <v>31512</v>
      </c>
      <c r="E324" s="50">
        <f t="shared" si="92"/>
        <v>32814</v>
      </c>
      <c r="F324" s="51">
        <f t="shared" si="93"/>
        <v>83213</v>
      </c>
      <c r="G324" s="51">
        <f t="shared" si="94"/>
        <v>41151</v>
      </c>
      <c r="H324" s="52">
        <f t="shared" si="95"/>
        <v>42062</v>
      </c>
      <c r="I324" s="52">
        <f t="shared" si="96"/>
        <v>31512</v>
      </c>
      <c r="J324" s="52">
        <f t="shared" si="97"/>
        <v>32814</v>
      </c>
      <c r="K324" s="49">
        <f t="shared" si="98"/>
        <v>9639</v>
      </c>
      <c r="L324" s="50">
        <f t="shared" si="99"/>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c r="A325" s="31" t="s">
        <v>81</v>
      </c>
      <c r="B325" s="1" t="s">
        <v>393</v>
      </c>
      <c r="C325" s="30" t="str">
        <f t="shared" si="100"/>
        <v>LA England - Ipswich</v>
      </c>
      <c r="D325" s="50">
        <f t="shared" si="91"/>
        <v>53071</v>
      </c>
      <c r="E325" s="50">
        <f t="shared" si="92"/>
        <v>54883</v>
      </c>
      <c r="F325" s="51">
        <f t="shared" si="93"/>
        <v>139247</v>
      </c>
      <c r="G325" s="51">
        <f t="shared" si="94"/>
        <v>69076</v>
      </c>
      <c r="H325" s="52">
        <f t="shared" si="95"/>
        <v>70171</v>
      </c>
      <c r="I325" s="52">
        <f t="shared" si="96"/>
        <v>53071</v>
      </c>
      <c r="J325" s="52">
        <f t="shared" si="97"/>
        <v>54883</v>
      </c>
      <c r="K325" s="49">
        <f t="shared" si="98"/>
        <v>16005</v>
      </c>
      <c r="L325" s="50">
        <f t="shared" si="99"/>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c r="A326" s="31" t="s">
        <v>81</v>
      </c>
      <c r="B326" s="1" t="s">
        <v>394</v>
      </c>
      <c r="C326" s="30" t="str">
        <f t="shared" si="100"/>
        <v>LA England - Isle of Wight</v>
      </c>
      <c r="D326" s="50">
        <f t="shared" si="91"/>
        <v>56057</v>
      </c>
      <c r="E326" s="50">
        <f t="shared" si="92"/>
        <v>61177</v>
      </c>
      <c r="F326" s="51">
        <f t="shared" si="93"/>
        <v>140794</v>
      </c>
      <c r="G326" s="51">
        <f t="shared" si="94"/>
        <v>68209</v>
      </c>
      <c r="H326" s="52">
        <f t="shared" si="95"/>
        <v>72585</v>
      </c>
      <c r="I326" s="52">
        <f t="shared" si="96"/>
        <v>56057</v>
      </c>
      <c r="J326" s="52">
        <f t="shared" si="97"/>
        <v>61177</v>
      </c>
      <c r="K326" s="49">
        <f t="shared" si="98"/>
        <v>12152</v>
      </c>
      <c r="L326" s="50">
        <f t="shared" si="99"/>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c r="A327" s="31" t="s">
        <v>81</v>
      </c>
      <c r="B327" s="1" t="s">
        <v>395</v>
      </c>
      <c r="C327" s="30" t="str">
        <f t="shared" si="100"/>
        <v>LA England - Isles of Scilly</v>
      </c>
      <c r="D327" s="50">
        <f t="shared" si="91"/>
        <v>934</v>
      </c>
      <c r="E327" s="50">
        <f t="shared" si="92"/>
        <v>988</v>
      </c>
      <c r="F327" s="51">
        <f t="shared" si="93"/>
        <v>2281</v>
      </c>
      <c r="G327" s="51">
        <f t="shared" si="94"/>
        <v>1123</v>
      </c>
      <c r="H327" s="52">
        <f t="shared" si="95"/>
        <v>1158</v>
      </c>
      <c r="I327" s="52">
        <f t="shared" si="96"/>
        <v>934</v>
      </c>
      <c r="J327" s="52">
        <f t="shared" si="97"/>
        <v>988</v>
      </c>
      <c r="K327" s="49">
        <f t="shared" si="98"/>
        <v>189</v>
      </c>
      <c r="L327" s="50">
        <f t="shared" si="99"/>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c r="A328" s="31" t="s">
        <v>81</v>
      </c>
      <c r="B328" s="1" t="s">
        <v>396</v>
      </c>
      <c r="C328" s="30" t="str">
        <f t="shared" si="100"/>
        <v>LA England - Islington</v>
      </c>
      <c r="D328" s="50">
        <f t="shared" si="91"/>
        <v>86159</v>
      </c>
      <c r="E328" s="50">
        <f t="shared" si="92"/>
        <v>97926</v>
      </c>
      <c r="F328" s="51">
        <f t="shared" si="93"/>
        <v>220373</v>
      </c>
      <c r="G328" s="51">
        <f t="shared" si="94"/>
        <v>104519</v>
      </c>
      <c r="H328" s="52">
        <f t="shared" si="95"/>
        <v>115854</v>
      </c>
      <c r="I328" s="52">
        <f t="shared" si="96"/>
        <v>86159</v>
      </c>
      <c r="J328" s="52">
        <f t="shared" si="97"/>
        <v>97926</v>
      </c>
      <c r="K328" s="49">
        <f t="shared" si="98"/>
        <v>18360</v>
      </c>
      <c r="L328" s="50">
        <f t="shared" si="99"/>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c r="A329" s="31" t="s">
        <v>81</v>
      </c>
      <c r="B329" s="1" t="s">
        <v>397</v>
      </c>
      <c r="C329" s="30" t="str">
        <f t="shared" si="100"/>
        <v>LA England - Kensington and Chelsea</v>
      </c>
      <c r="D329" s="50">
        <f t="shared" ref="D329:D392" si="101">I329</f>
        <v>56925</v>
      </c>
      <c r="E329" s="50">
        <f t="shared" ref="E329:E392" si="102">J329</f>
        <v>66635</v>
      </c>
      <c r="F329" s="51">
        <f t="shared" si="93"/>
        <v>146154</v>
      </c>
      <c r="G329" s="51">
        <f t="shared" si="94"/>
        <v>68296</v>
      </c>
      <c r="H329" s="52">
        <f t="shared" si="95"/>
        <v>77858</v>
      </c>
      <c r="I329" s="52">
        <f t="shared" si="96"/>
        <v>56925</v>
      </c>
      <c r="J329" s="52">
        <f t="shared" si="97"/>
        <v>66635</v>
      </c>
      <c r="K329" s="49">
        <f t="shared" si="98"/>
        <v>11371</v>
      </c>
      <c r="L329" s="50">
        <f t="shared" si="99"/>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c r="A330" s="31" t="s">
        <v>81</v>
      </c>
      <c r="B330" s="1" t="s">
        <v>398</v>
      </c>
      <c r="C330" s="30" t="str">
        <f t="shared" si="100"/>
        <v>LA England - King's Lynn and West Norfolk</v>
      </c>
      <c r="D330" s="50">
        <f t="shared" si="101"/>
        <v>61469</v>
      </c>
      <c r="E330" s="50">
        <f t="shared" si="102"/>
        <v>65483</v>
      </c>
      <c r="F330" s="51">
        <f t="shared" ref="F330:F393" si="103">G330+H330</f>
        <v>155741</v>
      </c>
      <c r="G330" s="51">
        <f t="shared" ref="G330:G393" si="104">SUM(M330:CY330)</f>
        <v>76209</v>
      </c>
      <c r="H330" s="52">
        <f t="shared" ref="H330:H393" si="105">SUM(CZ330:GL330)</f>
        <v>79532</v>
      </c>
      <c r="I330" s="52">
        <f t="shared" ref="I330:I393" si="106">SUM(AE330:CY330)</f>
        <v>61469</v>
      </c>
      <c r="J330" s="52">
        <f t="shared" ref="J330:J393" si="107">SUM(DR330:GL330)</f>
        <v>65483</v>
      </c>
      <c r="K330" s="49">
        <f t="shared" ref="K330:K390" si="108">SUM(M330:AD330)</f>
        <v>14740</v>
      </c>
      <c r="L330" s="50">
        <f t="shared" ref="L330:L393" si="109">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c r="A331" s="31" t="s">
        <v>81</v>
      </c>
      <c r="B331" s="1" t="s">
        <v>399</v>
      </c>
      <c r="C331" s="30" t="str">
        <f t="shared" si="100"/>
        <v>LA England - Kingston upon Hull, City of</v>
      </c>
      <c r="D331" s="50">
        <f t="shared" si="101"/>
        <v>103768</v>
      </c>
      <c r="E331" s="50">
        <f t="shared" si="102"/>
        <v>104915</v>
      </c>
      <c r="F331" s="51">
        <f t="shared" si="103"/>
        <v>268852</v>
      </c>
      <c r="G331" s="51">
        <f t="shared" si="104"/>
        <v>134568</v>
      </c>
      <c r="H331" s="52">
        <f t="shared" si="105"/>
        <v>134284</v>
      </c>
      <c r="I331" s="52">
        <f t="shared" si="106"/>
        <v>103768</v>
      </c>
      <c r="J331" s="52">
        <f t="shared" si="107"/>
        <v>104915</v>
      </c>
      <c r="K331" s="49">
        <f t="shared" si="108"/>
        <v>30800</v>
      </c>
      <c r="L331" s="50">
        <f t="shared" si="109"/>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c r="A332" s="31" t="s">
        <v>81</v>
      </c>
      <c r="B332" s="1" t="s">
        <v>400</v>
      </c>
      <c r="C332" s="30" t="str">
        <f t="shared" ref="C332:C395" si="110">CONCATENATE(A332," - ",B332)</f>
        <v>LA England - Kingston upon Thames</v>
      </c>
      <c r="D332" s="50">
        <f t="shared" si="101"/>
        <v>62505</v>
      </c>
      <c r="E332" s="50">
        <f t="shared" si="102"/>
        <v>69337</v>
      </c>
      <c r="F332" s="51">
        <f t="shared" si="103"/>
        <v>168302</v>
      </c>
      <c r="G332" s="51">
        <f t="shared" si="104"/>
        <v>80907</v>
      </c>
      <c r="H332" s="52">
        <f t="shared" si="105"/>
        <v>87395</v>
      </c>
      <c r="I332" s="52">
        <f t="shared" si="106"/>
        <v>62505</v>
      </c>
      <c r="J332" s="52">
        <f t="shared" si="107"/>
        <v>69337</v>
      </c>
      <c r="K332" s="49">
        <f t="shared" si="108"/>
        <v>18402</v>
      </c>
      <c r="L332" s="50">
        <f t="shared" si="109"/>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c r="A333" s="31" t="s">
        <v>81</v>
      </c>
      <c r="B333" s="1" t="s">
        <v>401</v>
      </c>
      <c r="C333" s="30" t="str">
        <f t="shared" si="110"/>
        <v>LA England - Kirklees</v>
      </c>
      <c r="D333" s="50">
        <f t="shared" si="101"/>
        <v>164518</v>
      </c>
      <c r="E333" s="50">
        <f t="shared" si="102"/>
        <v>174599</v>
      </c>
      <c r="F333" s="51">
        <f t="shared" si="103"/>
        <v>437593</v>
      </c>
      <c r="G333" s="51">
        <f t="shared" si="104"/>
        <v>215001</v>
      </c>
      <c r="H333" s="52">
        <f t="shared" si="105"/>
        <v>222592</v>
      </c>
      <c r="I333" s="52">
        <f t="shared" si="106"/>
        <v>164518</v>
      </c>
      <c r="J333" s="52">
        <f t="shared" si="107"/>
        <v>174599</v>
      </c>
      <c r="K333" s="49">
        <f t="shared" si="108"/>
        <v>50483</v>
      </c>
      <c r="L333" s="50">
        <f t="shared" si="109"/>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c r="A334" s="31" t="s">
        <v>81</v>
      </c>
      <c r="B334" s="1" t="s">
        <v>402</v>
      </c>
      <c r="C334" s="30" t="str">
        <f t="shared" si="110"/>
        <v>LA England - Knowsley</v>
      </c>
      <c r="D334" s="50">
        <f t="shared" si="101"/>
        <v>57340</v>
      </c>
      <c r="E334" s="50">
        <f t="shared" si="102"/>
        <v>64955</v>
      </c>
      <c r="F334" s="51">
        <f t="shared" si="103"/>
        <v>157103</v>
      </c>
      <c r="G334" s="51">
        <f t="shared" si="104"/>
        <v>75222</v>
      </c>
      <c r="H334" s="52">
        <f t="shared" si="105"/>
        <v>81881</v>
      </c>
      <c r="I334" s="52">
        <f t="shared" si="106"/>
        <v>57340</v>
      </c>
      <c r="J334" s="52">
        <f t="shared" si="107"/>
        <v>64955</v>
      </c>
      <c r="K334" s="49">
        <f t="shared" si="108"/>
        <v>17882</v>
      </c>
      <c r="L334" s="50">
        <f t="shared" si="109"/>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c r="A335" s="31" t="s">
        <v>81</v>
      </c>
      <c r="B335" s="1" t="s">
        <v>403</v>
      </c>
      <c r="C335" s="30" t="str">
        <f t="shared" si="110"/>
        <v>LA England - Lambeth</v>
      </c>
      <c r="D335" s="50">
        <f t="shared" si="101"/>
        <v>126443</v>
      </c>
      <c r="E335" s="50">
        <f t="shared" si="102"/>
        <v>137097</v>
      </c>
      <c r="F335" s="51">
        <f t="shared" si="103"/>
        <v>316812</v>
      </c>
      <c r="G335" s="51">
        <f t="shared" si="104"/>
        <v>153533</v>
      </c>
      <c r="H335" s="52">
        <f t="shared" si="105"/>
        <v>163279</v>
      </c>
      <c r="I335" s="52">
        <f t="shared" si="106"/>
        <v>126443</v>
      </c>
      <c r="J335" s="52">
        <f t="shared" si="107"/>
        <v>137097</v>
      </c>
      <c r="K335" s="49">
        <f t="shared" si="108"/>
        <v>27090</v>
      </c>
      <c r="L335" s="50">
        <f t="shared" si="109"/>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c r="A336" s="31" t="s">
        <v>81</v>
      </c>
      <c r="B336" s="1" t="s">
        <v>404</v>
      </c>
      <c r="C336" s="30" t="str">
        <f t="shared" si="110"/>
        <v>LA England - Lancaster</v>
      </c>
      <c r="D336" s="50">
        <f t="shared" si="101"/>
        <v>57302</v>
      </c>
      <c r="E336" s="50">
        <f t="shared" si="102"/>
        <v>60946</v>
      </c>
      <c r="F336" s="51">
        <f t="shared" si="103"/>
        <v>144446</v>
      </c>
      <c r="G336" s="51">
        <f t="shared" si="104"/>
        <v>70625</v>
      </c>
      <c r="H336" s="52">
        <f t="shared" si="105"/>
        <v>73821</v>
      </c>
      <c r="I336" s="52">
        <f t="shared" si="106"/>
        <v>57302</v>
      </c>
      <c r="J336" s="52">
        <f t="shared" si="107"/>
        <v>60946</v>
      </c>
      <c r="K336" s="49">
        <f t="shared" si="108"/>
        <v>13323</v>
      </c>
      <c r="L336" s="50">
        <f t="shared" si="109"/>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c r="A337" s="31" t="s">
        <v>81</v>
      </c>
      <c r="B337" s="1" t="s">
        <v>405</v>
      </c>
      <c r="C337" s="30" t="str">
        <f t="shared" si="110"/>
        <v>LA England - Leeds</v>
      </c>
      <c r="D337" s="50">
        <f t="shared" si="101"/>
        <v>313860</v>
      </c>
      <c r="E337" s="50">
        <f t="shared" si="102"/>
        <v>335972</v>
      </c>
      <c r="F337" s="51">
        <f t="shared" si="103"/>
        <v>822483</v>
      </c>
      <c r="G337" s="51">
        <f t="shared" si="104"/>
        <v>402324</v>
      </c>
      <c r="H337" s="52">
        <f t="shared" si="105"/>
        <v>420159</v>
      </c>
      <c r="I337" s="52">
        <f t="shared" si="106"/>
        <v>313860</v>
      </c>
      <c r="J337" s="52">
        <f t="shared" si="107"/>
        <v>335972</v>
      </c>
      <c r="K337" s="49">
        <f t="shared" si="108"/>
        <v>88464</v>
      </c>
      <c r="L337" s="50">
        <f t="shared" si="109"/>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c r="A338" s="31" t="s">
        <v>81</v>
      </c>
      <c r="B338" s="1" t="s">
        <v>406</v>
      </c>
      <c r="C338" s="30" t="str">
        <f t="shared" si="110"/>
        <v>LA England - Leicester</v>
      </c>
      <c r="D338" s="50">
        <f t="shared" si="101"/>
        <v>140844</v>
      </c>
      <c r="E338" s="50">
        <f t="shared" si="102"/>
        <v>144720</v>
      </c>
      <c r="F338" s="51">
        <f t="shared" si="103"/>
        <v>373399</v>
      </c>
      <c r="G338" s="51">
        <f t="shared" si="104"/>
        <v>186254</v>
      </c>
      <c r="H338" s="52">
        <f t="shared" si="105"/>
        <v>187145</v>
      </c>
      <c r="I338" s="52">
        <f t="shared" si="106"/>
        <v>140844</v>
      </c>
      <c r="J338" s="52">
        <f t="shared" si="107"/>
        <v>144720</v>
      </c>
      <c r="K338" s="49">
        <f t="shared" si="108"/>
        <v>45410</v>
      </c>
      <c r="L338" s="50">
        <f t="shared" si="109"/>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c r="A339" s="31" t="s">
        <v>81</v>
      </c>
      <c r="B339" s="1" t="s">
        <v>407</v>
      </c>
      <c r="C339" s="30" t="str">
        <f t="shared" si="110"/>
        <v>LA England - Lewes</v>
      </c>
      <c r="D339" s="50">
        <f t="shared" si="101"/>
        <v>38633</v>
      </c>
      <c r="E339" s="50">
        <f t="shared" si="102"/>
        <v>43152</v>
      </c>
      <c r="F339" s="51">
        <f t="shared" si="103"/>
        <v>100677</v>
      </c>
      <c r="G339" s="51">
        <f t="shared" si="104"/>
        <v>48428</v>
      </c>
      <c r="H339" s="52">
        <f t="shared" si="105"/>
        <v>52249</v>
      </c>
      <c r="I339" s="52">
        <f t="shared" si="106"/>
        <v>38633</v>
      </c>
      <c r="J339" s="52">
        <f t="shared" si="107"/>
        <v>43152</v>
      </c>
      <c r="K339" s="49">
        <f t="shared" si="108"/>
        <v>9795</v>
      </c>
      <c r="L339" s="50">
        <f t="shared" si="109"/>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c r="A340" s="31" t="s">
        <v>81</v>
      </c>
      <c r="B340" s="1" t="s">
        <v>408</v>
      </c>
      <c r="C340" s="30" t="str">
        <f t="shared" si="110"/>
        <v>LA England - Lewisham</v>
      </c>
      <c r="D340" s="50">
        <f t="shared" si="101"/>
        <v>109313</v>
      </c>
      <c r="E340" s="50">
        <f t="shared" si="102"/>
        <v>125822</v>
      </c>
      <c r="F340" s="51">
        <f t="shared" si="103"/>
        <v>298653</v>
      </c>
      <c r="G340" s="51">
        <f t="shared" si="104"/>
        <v>141527</v>
      </c>
      <c r="H340" s="52">
        <f t="shared" si="105"/>
        <v>157126</v>
      </c>
      <c r="I340" s="52">
        <f t="shared" si="106"/>
        <v>109313</v>
      </c>
      <c r="J340" s="52">
        <f t="shared" si="107"/>
        <v>125822</v>
      </c>
      <c r="K340" s="49">
        <f t="shared" si="108"/>
        <v>32214</v>
      </c>
      <c r="L340" s="50">
        <f t="shared" si="109"/>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c r="A341" s="31" t="s">
        <v>81</v>
      </c>
      <c r="B341" s="1" t="s">
        <v>409</v>
      </c>
      <c r="C341" s="30" t="str">
        <f t="shared" si="110"/>
        <v>LA England - Lichfield</v>
      </c>
      <c r="D341" s="50">
        <f t="shared" si="101"/>
        <v>43015</v>
      </c>
      <c r="E341" s="50">
        <f t="shared" si="102"/>
        <v>44818</v>
      </c>
      <c r="F341" s="51">
        <f t="shared" si="103"/>
        <v>108352</v>
      </c>
      <c r="G341" s="51">
        <f t="shared" si="104"/>
        <v>53454</v>
      </c>
      <c r="H341" s="52">
        <f t="shared" si="105"/>
        <v>54898</v>
      </c>
      <c r="I341" s="52">
        <f t="shared" si="106"/>
        <v>43015</v>
      </c>
      <c r="J341" s="52">
        <f t="shared" si="107"/>
        <v>44818</v>
      </c>
      <c r="K341" s="49">
        <f t="shared" si="108"/>
        <v>10439</v>
      </c>
      <c r="L341" s="50">
        <f t="shared" si="109"/>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c r="A342" s="31" t="s">
        <v>81</v>
      </c>
      <c r="B342" s="1" t="s">
        <v>410</v>
      </c>
      <c r="C342" s="30" t="str">
        <f t="shared" si="110"/>
        <v>LA England - Lincoln</v>
      </c>
      <c r="D342" s="50">
        <f t="shared" si="101"/>
        <v>41121</v>
      </c>
      <c r="E342" s="50">
        <f t="shared" si="102"/>
        <v>42558</v>
      </c>
      <c r="F342" s="51">
        <f t="shared" si="103"/>
        <v>102545</v>
      </c>
      <c r="G342" s="51">
        <f t="shared" si="104"/>
        <v>50965</v>
      </c>
      <c r="H342" s="52">
        <f t="shared" si="105"/>
        <v>51580</v>
      </c>
      <c r="I342" s="52">
        <f t="shared" si="106"/>
        <v>41121</v>
      </c>
      <c r="J342" s="52">
        <f t="shared" si="107"/>
        <v>42558</v>
      </c>
      <c r="K342" s="49">
        <f t="shared" si="108"/>
        <v>9844</v>
      </c>
      <c r="L342" s="50">
        <f t="shared" si="109"/>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c r="A343" s="31" t="s">
        <v>81</v>
      </c>
      <c r="B343" s="1" t="s">
        <v>411</v>
      </c>
      <c r="C343" s="30" t="str">
        <f t="shared" si="110"/>
        <v>LA England - Liverpool</v>
      </c>
      <c r="D343" s="50">
        <f t="shared" si="101"/>
        <v>194715</v>
      </c>
      <c r="E343" s="50">
        <f t="shared" si="102"/>
        <v>207573</v>
      </c>
      <c r="F343" s="51">
        <f t="shared" si="103"/>
        <v>496770</v>
      </c>
      <c r="G343" s="51">
        <f t="shared" si="104"/>
        <v>243137</v>
      </c>
      <c r="H343" s="52">
        <f t="shared" si="105"/>
        <v>253633</v>
      </c>
      <c r="I343" s="52">
        <f t="shared" si="106"/>
        <v>194715</v>
      </c>
      <c r="J343" s="52">
        <f t="shared" si="107"/>
        <v>207573</v>
      </c>
      <c r="K343" s="49">
        <f t="shared" si="108"/>
        <v>48422</v>
      </c>
      <c r="L343" s="50">
        <f t="shared" si="109"/>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c r="A344" s="31" t="s">
        <v>81</v>
      </c>
      <c r="B344" s="1" t="s">
        <v>412</v>
      </c>
      <c r="C344" s="30" t="str">
        <f t="shared" si="110"/>
        <v>LA England - Luton</v>
      </c>
      <c r="D344" s="50">
        <f t="shared" si="101"/>
        <v>84338</v>
      </c>
      <c r="E344" s="50">
        <f t="shared" si="102"/>
        <v>83279</v>
      </c>
      <c r="F344" s="51">
        <f t="shared" si="103"/>
        <v>226973</v>
      </c>
      <c r="G344" s="51">
        <f t="shared" si="104"/>
        <v>114850</v>
      </c>
      <c r="H344" s="52">
        <f t="shared" si="105"/>
        <v>112123</v>
      </c>
      <c r="I344" s="52">
        <f t="shared" si="106"/>
        <v>84338</v>
      </c>
      <c r="J344" s="52">
        <f t="shared" si="107"/>
        <v>83279</v>
      </c>
      <c r="K344" s="49">
        <f t="shared" si="108"/>
        <v>30512</v>
      </c>
      <c r="L344" s="50">
        <f t="shared" si="109"/>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c r="A345" s="31" t="s">
        <v>81</v>
      </c>
      <c r="B345" s="1" t="s">
        <v>413</v>
      </c>
      <c r="C345" s="30" t="str">
        <f t="shared" si="110"/>
        <v>LA England - Maidstone</v>
      </c>
      <c r="D345" s="50">
        <f t="shared" si="101"/>
        <v>68737</v>
      </c>
      <c r="E345" s="50">
        <f t="shared" si="102"/>
        <v>72436</v>
      </c>
      <c r="F345" s="51">
        <f t="shared" si="103"/>
        <v>180428</v>
      </c>
      <c r="G345" s="51">
        <f t="shared" si="104"/>
        <v>88991</v>
      </c>
      <c r="H345" s="52">
        <f t="shared" si="105"/>
        <v>91437</v>
      </c>
      <c r="I345" s="52">
        <f t="shared" si="106"/>
        <v>68737</v>
      </c>
      <c r="J345" s="52">
        <f t="shared" si="107"/>
        <v>72436</v>
      </c>
      <c r="K345" s="49">
        <f t="shared" si="108"/>
        <v>20254</v>
      </c>
      <c r="L345" s="50">
        <f t="shared" si="109"/>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c r="A346" s="31" t="s">
        <v>81</v>
      </c>
      <c r="B346" s="1" t="s">
        <v>414</v>
      </c>
      <c r="C346" s="30" t="str">
        <f t="shared" si="110"/>
        <v>LA England - Maldon</v>
      </c>
      <c r="D346" s="50">
        <f t="shared" si="101"/>
        <v>26618</v>
      </c>
      <c r="E346" s="50">
        <f t="shared" si="102"/>
        <v>28395</v>
      </c>
      <c r="F346" s="51">
        <f t="shared" si="103"/>
        <v>67554</v>
      </c>
      <c r="G346" s="51">
        <f t="shared" si="104"/>
        <v>33035</v>
      </c>
      <c r="H346" s="52">
        <f t="shared" si="105"/>
        <v>34519</v>
      </c>
      <c r="I346" s="52">
        <f t="shared" si="106"/>
        <v>26618</v>
      </c>
      <c r="J346" s="52">
        <f t="shared" si="107"/>
        <v>28395</v>
      </c>
      <c r="K346" s="49">
        <f t="shared" si="108"/>
        <v>6417</v>
      </c>
      <c r="L346" s="50">
        <f t="shared" si="109"/>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c r="A347" s="31" t="s">
        <v>81</v>
      </c>
      <c r="B347" s="1" t="s">
        <v>415</v>
      </c>
      <c r="C347" s="30" t="str">
        <f t="shared" si="110"/>
        <v>LA England - Malvern Hills</v>
      </c>
      <c r="D347" s="50">
        <f t="shared" si="101"/>
        <v>32005</v>
      </c>
      <c r="E347" s="50">
        <f t="shared" si="102"/>
        <v>34534</v>
      </c>
      <c r="F347" s="51">
        <f t="shared" si="103"/>
        <v>81024</v>
      </c>
      <c r="G347" s="51">
        <f t="shared" si="104"/>
        <v>39376</v>
      </c>
      <c r="H347" s="52">
        <f t="shared" si="105"/>
        <v>41648</v>
      </c>
      <c r="I347" s="52">
        <f t="shared" si="106"/>
        <v>32005</v>
      </c>
      <c r="J347" s="52">
        <f t="shared" si="107"/>
        <v>34534</v>
      </c>
      <c r="K347" s="49">
        <f t="shared" si="108"/>
        <v>7371</v>
      </c>
      <c r="L347" s="50">
        <f t="shared" si="109"/>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c r="A348" s="31" t="s">
        <v>81</v>
      </c>
      <c r="B348" s="1" t="s">
        <v>416</v>
      </c>
      <c r="C348" s="30" t="str">
        <f t="shared" si="110"/>
        <v>LA England - Manchester</v>
      </c>
      <c r="D348" s="50">
        <f t="shared" si="101"/>
        <v>217609</v>
      </c>
      <c r="E348" s="50">
        <f t="shared" si="102"/>
        <v>223000</v>
      </c>
      <c r="F348" s="51">
        <f t="shared" si="103"/>
        <v>568996</v>
      </c>
      <c r="G348" s="51">
        <f t="shared" si="104"/>
        <v>282913</v>
      </c>
      <c r="H348" s="52">
        <f t="shared" si="105"/>
        <v>286083</v>
      </c>
      <c r="I348" s="52">
        <f t="shared" si="106"/>
        <v>217609</v>
      </c>
      <c r="J348" s="52">
        <f t="shared" si="107"/>
        <v>223000</v>
      </c>
      <c r="K348" s="49">
        <f t="shared" si="108"/>
        <v>65304</v>
      </c>
      <c r="L348" s="50">
        <f t="shared" si="109"/>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c r="A349" s="31" t="s">
        <v>81</v>
      </c>
      <c r="B349" s="1" t="s">
        <v>417</v>
      </c>
      <c r="C349" s="30" t="str">
        <f t="shared" si="110"/>
        <v>LA England - Mansfield</v>
      </c>
      <c r="D349" s="50">
        <f t="shared" si="101"/>
        <v>42964</v>
      </c>
      <c r="E349" s="50">
        <f t="shared" si="102"/>
        <v>45199</v>
      </c>
      <c r="F349" s="51">
        <f t="shared" si="103"/>
        <v>111117</v>
      </c>
      <c r="G349" s="51">
        <f t="shared" si="104"/>
        <v>54636</v>
      </c>
      <c r="H349" s="52">
        <f t="shared" si="105"/>
        <v>56481</v>
      </c>
      <c r="I349" s="52">
        <f t="shared" si="106"/>
        <v>42964</v>
      </c>
      <c r="J349" s="52">
        <f t="shared" si="107"/>
        <v>45199</v>
      </c>
      <c r="K349" s="49">
        <f t="shared" si="108"/>
        <v>11672</v>
      </c>
      <c r="L349" s="50">
        <f t="shared" si="109"/>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c r="A350" s="31" t="s">
        <v>81</v>
      </c>
      <c r="B350" s="1" t="s">
        <v>418</v>
      </c>
      <c r="C350" s="30" t="str">
        <f t="shared" si="110"/>
        <v>LA England - Medway</v>
      </c>
      <c r="D350" s="50">
        <f t="shared" si="101"/>
        <v>105144</v>
      </c>
      <c r="E350" s="50">
        <f t="shared" si="102"/>
        <v>112269</v>
      </c>
      <c r="F350" s="51">
        <f t="shared" si="103"/>
        <v>282702</v>
      </c>
      <c r="G350" s="51">
        <f t="shared" si="104"/>
        <v>138474</v>
      </c>
      <c r="H350" s="52">
        <f t="shared" si="105"/>
        <v>144228</v>
      </c>
      <c r="I350" s="52">
        <f t="shared" si="106"/>
        <v>105144</v>
      </c>
      <c r="J350" s="52">
        <f t="shared" si="107"/>
        <v>112269</v>
      </c>
      <c r="K350" s="49">
        <f t="shared" si="108"/>
        <v>33330</v>
      </c>
      <c r="L350" s="50">
        <f t="shared" si="109"/>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c r="A351" s="31" t="s">
        <v>81</v>
      </c>
      <c r="B351" s="1" t="s">
        <v>419</v>
      </c>
      <c r="C351" s="30" t="str">
        <f t="shared" si="110"/>
        <v>LA England - Melton</v>
      </c>
      <c r="D351" s="50">
        <f t="shared" si="101"/>
        <v>20471</v>
      </c>
      <c r="E351" s="50">
        <f t="shared" si="102"/>
        <v>21944</v>
      </c>
      <c r="F351" s="51">
        <f t="shared" si="103"/>
        <v>52433</v>
      </c>
      <c r="G351" s="51">
        <f t="shared" si="104"/>
        <v>25534</v>
      </c>
      <c r="H351" s="52">
        <f t="shared" si="105"/>
        <v>26899</v>
      </c>
      <c r="I351" s="52">
        <f t="shared" si="106"/>
        <v>20471</v>
      </c>
      <c r="J351" s="52">
        <f t="shared" si="107"/>
        <v>21944</v>
      </c>
      <c r="K351" s="49">
        <f t="shared" si="108"/>
        <v>5063</v>
      </c>
      <c r="L351" s="50">
        <f t="shared" si="109"/>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c r="A352" s="31" t="s">
        <v>81</v>
      </c>
      <c r="B352" s="1" t="s">
        <v>420</v>
      </c>
      <c r="C352" s="30" t="str">
        <f t="shared" si="110"/>
        <v>LA England - Merton</v>
      </c>
      <c r="D352" s="50">
        <f t="shared" si="101"/>
        <v>80172</v>
      </c>
      <c r="E352" s="50">
        <f t="shared" si="102"/>
        <v>87337</v>
      </c>
      <c r="F352" s="51">
        <f t="shared" si="103"/>
        <v>214709</v>
      </c>
      <c r="G352" s="51">
        <f t="shared" si="104"/>
        <v>104479</v>
      </c>
      <c r="H352" s="52">
        <f t="shared" si="105"/>
        <v>110230</v>
      </c>
      <c r="I352" s="52">
        <f t="shared" si="106"/>
        <v>80172</v>
      </c>
      <c r="J352" s="52">
        <f t="shared" si="107"/>
        <v>87337</v>
      </c>
      <c r="K352" s="49">
        <f t="shared" si="108"/>
        <v>24307</v>
      </c>
      <c r="L352" s="50">
        <f t="shared" si="109"/>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c r="A353" s="31" t="s">
        <v>81</v>
      </c>
      <c r="B353" s="1" t="s">
        <v>421</v>
      </c>
      <c r="C353" s="30" t="str">
        <f t="shared" si="110"/>
        <v>LA England - Mid Devon</v>
      </c>
      <c r="D353" s="50">
        <f t="shared" si="101"/>
        <v>32315</v>
      </c>
      <c r="E353" s="50">
        <f t="shared" si="102"/>
        <v>34809</v>
      </c>
      <c r="F353" s="51">
        <f t="shared" si="103"/>
        <v>83786</v>
      </c>
      <c r="G353" s="51">
        <f t="shared" si="104"/>
        <v>40955</v>
      </c>
      <c r="H353" s="52">
        <f t="shared" si="105"/>
        <v>42831</v>
      </c>
      <c r="I353" s="52">
        <f t="shared" si="106"/>
        <v>32315</v>
      </c>
      <c r="J353" s="52">
        <f t="shared" si="107"/>
        <v>34809</v>
      </c>
      <c r="K353" s="49">
        <f t="shared" si="108"/>
        <v>8640</v>
      </c>
      <c r="L353" s="50">
        <f t="shared" si="109"/>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c r="A354" s="31" t="s">
        <v>81</v>
      </c>
      <c r="B354" s="1" t="s">
        <v>422</v>
      </c>
      <c r="C354" s="30" t="str">
        <f t="shared" si="110"/>
        <v>LA England - Mid Suffolk</v>
      </c>
      <c r="D354" s="50">
        <f t="shared" si="101"/>
        <v>42291</v>
      </c>
      <c r="E354" s="50">
        <f t="shared" si="102"/>
        <v>44223</v>
      </c>
      <c r="F354" s="51">
        <f t="shared" si="103"/>
        <v>105723</v>
      </c>
      <c r="G354" s="51">
        <f t="shared" si="104"/>
        <v>52191</v>
      </c>
      <c r="H354" s="52">
        <f t="shared" si="105"/>
        <v>53532</v>
      </c>
      <c r="I354" s="52">
        <f t="shared" si="106"/>
        <v>42291</v>
      </c>
      <c r="J354" s="52">
        <f t="shared" si="107"/>
        <v>44223</v>
      </c>
      <c r="K354" s="49">
        <f t="shared" si="108"/>
        <v>9900</v>
      </c>
      <c r="L354" s="50">
        <f t="shared" si="109"/>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c r="A355" s="31" t="s">
        <v>81</v>
      </c>
      <c r="B355" s="1" t="s">
        <v>423</v>
      </c>
      <c r="C355" s="30" t="str">
        <f t="shared" si="110"/>
        <v>LA England - Mid Sussex</v>
      </c>
      <c r="D355" s="50">
        <f t="shared" si="101"/>
        <v>58149</v>
      </c>
      <c r="E355" s="50">
        <f t="shared" si="102"/>
        <v>63165</v>
      </c>
      <c r="F355" s="51">
        <f t="shared" si="103"/>
        <v>154930</v>
      </c>
      <c r="G355" s="51">
        <f t="shared" si="104"/>
        <v>75265</v>
      </c>
      <c r="H355" s="52">
        <f t="shared" si="105"/>
        <v>79665</v>
      </c>
      <c r="I355" s="52">
        <f t="shared" si="106"/>
        <v>58149</v>
      </c>
      <c r="J355" s="52">
        <f t="shared" si="107"/>
        <v>63165</v>
      </c>
      <c r="K355" s="49">
        <f t="shared" si="108"/>
        <v>17116</v>
      </c>
      <c r="L355" s="50">
        <f t="shared" si="109"/>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c r="A356" s="31" t="s">
        <v>81</v>
      </c>
      <c r="B356" s="1" t="s">
        <v>424</v>
      </c>
      <c r="C356" s="30" t="str">
        <f t="shared" si="110"/>
        <v>LA England - Middlesbrough</v>
      </c>
      <c r="D356" s="50">
        <f t="shared" si="101"/>
        <v>56441</v>
      </c>
      <c r="E356" s="50">
        <f t="shared" si="102"/>
        <v>57704</v>
      </c>
      <c r="F356" s="51">
        <f t="shared" si="103"/>
        <v>148285</v>
      </c>
      <c r="G356" s="51">
        <f t="shared" si="104"/>
        <v>73893</v>
      </c>
      <c r="H356" s="52">
        <f t="shared" si="105"/>
        <v>74392</v>
      </c>
      <c r="I356" s="52">
        <f t="shared" si="106"/>
        <v>56441</v>
      </c>
      <c r="J356" s="52">
        <f t="shared" si="107"/>
        <v>57704</v>
      </c>
      <c r="K356" s="49">
        <f t="shared" si="108"/>
        <v>17452</v>
      </c>
      <c r="L356" s="50">
        <f t="shared" si="109"/>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c r="A357" s="31" t="s">
        <v>81</v>
      </c>
      <c r="B357" s="1" t="s">
        <v>425</v>
      </c>
      <c r="C357" s="30" t="str">
        <f t="shared" si="110"/>
        <v>LA England - Milton Keynes</v>
      </c>
      <c r="D357" s="50">
        <f t="shared" si="101"/>
        <v>107834</v>
      </c>
      <c r="E357" s="50">
        <f t="shared" si="102"/>
        <v>113512</v>
      </c>
      <c r="F357" s="51">
        <f t="shared" si="103"/>
        <v>292180</v>
      </c>
      <c r="G357" s="51">
        <f t="shared" si="104"/>
        <v>144248</v>
      </c>
      <c r="H357" s="52">
        <f t="shared" si="105"/>
        <v>147932</v>
      </c>
      <c r="I357" s="52">
        <f t="shared" si="106"/>
        <v>107834</v>
      </c>
      <c r="J357" s="52">
        <f t="shared" si="107"/>
        <v>113512</v>
      </c>
      <c r="K357" s="49">
        <f t="shared" si="108"/>
        <v>36414</v>
      </c>
      <c r="L357" s="50">
        <f t="shared" si="109"/>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c r="A358" s="31" t="s">
        <v>81</v>
      </c>
      <c r="B358" s="1" t="s">
        <v>426</v>
      </c>
      <c r="C358" s="30" t="str">
        <f t="shared" si="110"/>
        <v>LA England - Mole Valley</v>
      </c>
      <c r="D358" s="50">
        <f t="shared" si="101"/>
        <v>33978</v>
      </c>
      <c r="E358" s="50">
        <f t="shared" si="102"/>
        <v>36578</v>
      </c>
      <c r="F358" s="51">
        <f t="shared" si="103"/>
        <v>87769</v>
      </c>
      <c r="G358" s="51">
        <f t="shared" si="104"/>
        <v>42730</v>
      </c>
      <c r="H358" s="52">
        <f t="shared" si="105"/>
        <v>45039</v>
      </c>
      <c r="I358" s="52">
        <f t="shared" si="106"/>
        <v>33978</v>
      </c>
      <c r="J358" s="52">
        <f t="shared" si="107"/>
        <v>36578</v>
      </c>
      <c r="K358" s="49">
        <f t="shared" si="108"/>
        <v>8752</v>
      </c>
      <c r="L358" s="50">
        <f t="shared" si="109"/>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c r="A359" s="31" t="s">
        <v>81</v>
      </c>
      <c r="B359" s="1" t="s">
        <v>427</v>
      </c>
      <c r="C359" s="30" t="str">
        <f t="shared" si="110"/>
        <v>LA England - New Forest</v>
      </c>
      <c r="D359" s="50">
        <f t="shared" si="101"/>
        <v>68961</v>
      </c>
      <c r="E359" s="50">
        <f t="shared" si="102"/>
        <v>76537</v>
      </c>
      <c r="F359" s="51">
        <f t="shared" si="103"/>
        <v>175942</v>
      </c>
      <c r="G359" s="51">
        <f t="shared" si="104"/>
        <v>84573</v>
      </c>
      <c r="H359" s="52">
        <f t="shared" si="105"/>
        <v>91369</v>
      </c>
      <c r="I359" s="52">
        <f t="shared" si="106"/>
        <v>68961</v>
      </c>
      <c r="J359" s="52">
        <f t="shared" si="107"/>
        <v>76537</v>
      </c>
      <c r="K359" s="49">
        <f t="shared" si="108"/>
        <v>15612</v>
      </c>
      <c r="L359" s="50">
        <f t="shared" si="109"/>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c r="A360" s="31" t="s">
        <v>81</v>
      </c>
      <c r="B360" s="1" t="s">
        <v>428</v>
      </c>
      <c r="C360" s="30" t="str">
        <f t="shared" si="110"/>
        <v>LA England - Newark and Sherwood</v>
      </c>
      <c r="D360" s="50">
        <f t="shared" si="101"/>
        <v>49311</v>
      </c>
      <c r="E360" s="50">
        <f t="shared" si="102"/>
        <v>51541</v>
      </c>
      <c r="F360" s="51">
        <f t="shared" si="103"/>
        <v>125089</v>
      </c>
      <c r="G360" s="51">
        <f t="shared" si="104"/>
        <v>61623</v>
      </c>
      <c r="H360" s="52">
        <f t="shared" si="105"/>
        <v>63466</v>
      </c>
      <c r="I360" s="52">
        <f t="shared" si="106"/>
        <v>49311</v>
      </c>
      <c r="J360" s="52">
        <f t="shared" si="107"/>
        <v>51541</v>
      </c>
      <c r="K360" s="49">
        <f t="shared" si="108"/>
        <v>12312</v>
      </c>
      <c r="L360" s="50">
        <f t="shared" si="109"/>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c r="A361" s="31" t="s">
        <v>81</v>
      </c>
      <c r="B361" s="1" t="s">
        <v>429</v>
      </c>
      <c r="C361" s="30" t="str">
        <f t="shared" si="110"/>
        <v>LA England - Newcastle upon Tyne</v>
      </c>
      <c r="D361" s="50">
        <f t="shared" si="101"/>
        <v>122298</v>
      </c>
      <c r="E361" s="50">
        <f t="shared" si="102"/>
        <v>126308</v>
      </c>
      <c r="F361" s="51">
        <f t="shared" si="103"/>
        <v>307565</v>
      </c>
      <c r="G361" s="51">
        <f t="shared" si="104"/>
        <v>152597</v>
      </c>
      <c r="H361" s="52">
        <f t="shared" si="105"/>
        <v>154968</v>
      </c>
      <c r="I361" s="52">
        <f t="shared" si="106"/>
        <v>122298</v>
      </c>
      <c r="J361" s="52">
        <f t="shared" si="107"/>
        <v>126308</v>
      </c>
      <c r="K361" s="49">
        <f t="shared" si="108"/>
        <v>30299</v>
      </c>
      <c r="L361" s="50">
        <f t="shared" si="109"/>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c r="A362" s="31" t="s">
        <v>81</v>
      </c>
      <c r="B362" s="1" t="s">
        <v>430</v>
      </c>
      <c r="C362" s="30" t="str">
        <f t="shared" si="110"/>
        <v>LA England - Newcastle-under-Lyme</v>
      </c>
      <c r="D362" s="50">
        <f t="shared" si="101"/>
        <v>49470</v>
      </c>
      <c r="E362" s="50">
        <f t="shared" si="102"/>
        <v>52892</v>
      </c>
      <c r="F362" s="51">
        <f t="shared" si="103"/>
        <v>125297</v>
      </c>
      <c r="G362" s="51">
        <f t="shared" si="104"/>
        <v>61266</v>
      </c>
      <c r="H362" s="52">
        <f t="shared" si="105"/>
        <v>64031</v>
      </c>
      <c r="I362" s="52">
        <f t="shared" si="106"/>
        <v>49470</v>
      </c>
      <c r="J362" s="52">
        <f t="shared" si="107"/>
        <v>52892</v>
      </c>
      <c r="K362" s="49">
        <f t="shared" si="108"/>
        <v>11796</v>
      </c>
      <c r="L362" s="50">
        <f t="shared" si="109"/>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c r="A363" s="31" t="s">
        <v>81</v>
      </c>
      <c r="B363" s="1" t="s">
        <v>431</v>
      </c>
      <c r="C363" s="30" t="str">
        <f t="shared" si="110"/>
        <v>LA England - Newham</v>
      </c>
      <c r="D363" s="50">
        <f t="shared" si="101"/>
        <v>137947</v>
      </c>
      <c r="E363" s="50">
        <f t="shared" si="102"/>
        <v>136704</v>
      </c>
      <c r="F363" s="51">
        <f t="shared" si="103"/>
        <v>358645</v>
      </c>
      <c r="G363" s="51">
        <f t="shared" si="104"/>
        <v>180140</v>
      </c>
      <c r="H363" s="52">
        <f t="shared" si="105"/>
        <v>178505</v>
      </c>
      <c r="I363" s="52">
        <f t="shared" si="106"/>
        <v>137947</v>
      </c>
      <c r="J363" s="52">
        <f t="shared" si="107"/>
        <v>136704</v>
      </c>
      <c r="K363" s="49">
        <f t="shared" si="108"/>
        <v>42193</v>
      </c>
      <c r="L363" s="50">
        <f t="shared" si="109"/>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c r="A364" s="31" t="s">
        <v>81</v>
      </c>
      <c r="B364" s="1" t="s">
        <v>432</v>
      </c>
      <c r="C364" s="30" t="str">
        <f t="shared" si="110"/>
        <v>LA England - North Devon</v>
      </c>
      <c r="D364" s="50">
        <f t="shared" si="101"/>
        <v>39496</v>
      </c>
      <c r="E364" s="50">
        <f t="shared" si="102"/>
        <v>42200</v>
      </c>
      <c r="F364" s="51">
        <f t="shared" si="103"/>
        <v>100505</v>
      </c>
      <c r="G364" s="51">
        <f t="shared" si="104"/>
        <v>49055</v>
      </c>
      <c r="H364" s="52">
        <f t="shared" si="105"/>
        <v>51450</v>
      </c>
      <c r="I364" s="52">
        <f t="shared" si="106"/>
        <v>39496</v>
      </c>
      <c r="J364" s="52">
        <f t="shared" si="107"/>
        <v>42200</v>
      </c>
      <c r="K364" s="49">
        <f t="shared" si="108"/>
        <v>9559</v>
      </c>
      <c r="L364" s="50">
        <f t="shared" si="109"/>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c r="A365" s="31" t="s">
        <v>81</v>
      </c>
      <c r="B365" s="1" t="s">
        <v>433</v>
      </c>
      <c r="C365" s="30" t="str">
        <f t="shared" si="110"/>
        <v>LA England - North East Derbyshire</v>
      </c>
      <c r="D365" s="50">
        <f t="shared" si="101"/>
        <v>40786</v>
      </c>
      <c r="E365" s="50">
        <f t="shared" si="102"/>
        <v>43768</v>
      </c>
      <c r="F365" s="51">
        <f t="shared" si="103"/>
        <v>103783</v>
      </c>
      <c r="G365" s="51">
        <f t="shared" si="104"/>
        <v>50502</v>
      </c>
      <c r="H365" s="52">
        <f t="shared" si="105"/>
        <v>53281</v>
      </c>
      <c r="I365" s="52">
        <f t="shared" si="106"/>
        <v>40786</v>
      </c>
      <c r="J365" s="52">
        <f t="shared" si="107"/>
        <v>43768</v>
      </c>
      <c r="K365" s="49">
        <f t="shared" si="108"/>
        <v>9716</v>
      </c>
      <c r="L365" s="50">
        <f t="shared" si="109"/>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c r="A366" s="31" t="s">
        <v>81</v>
      </c>
      <c r="B366" s="1" t="s">
        <v>434</v>
      </c>
      <c r="C366" s="30" t="str">
        <f t="shared" si="110"/>
        <v>LA England - North East Lincolnshire</v>
      </c>
      <c r="D366" s="50">
        <f t="shared" si="101"/>
        <v>60371</v>
      </c>
      <c r="E366" s="50">
        <f t="shared" si="102"/>
        <v>64235</v>
      </c>
      <c r="F366" s="51">
        <f t="shared" si="103"/>
        <v>157754</v>
      </c>
      <c r="G366" s="51">
        <f t="shared" si="104"/>
        <v>77352</v>
      </c>
      <c r="H366" s="52">
        <f t="shared" si="105"/>
        <v>80402</v>
      </c>
      <c r="I366" s="52">
        <f t="shared" si="106"/>
        <v>60371</v>
      </c>
      <c r="J366" s="52">
        <f t="shared" si="107"/>
        <v>64235</v>
      </c>
      <c r="K366" s="49">
        <f t="shared" si="108"/>
        <v>16981</v>
      </c>
      <c r="L366" s="50">
        <f t="shared" si="109"/>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c r="A367" s="31" t="s">
        <v>81</v>
      </c>
      <c r="B367" s="1" t="s">
        <v>435</v>
      </c>
      <c r="C367" s="30" t="str">
        <f t="shared" si="110"/>
        <v>LA England - North Hertfordshire</v>
      </c>
      <c r="D367" s="50">
        <f t="shared" si="101"/>
        <v>50497</v>
      </c>
      <c r="E367" s="50">
        <f t="shared" si="102"/>
        <v>55060</v>
      </c>
      <c r="F367" s="51">
        <f t="shared" si="103"/>
        <v>134159</v>
      </c>
      <c r="G367" s="51">
        <f t="shared" si="104"/>
        <v>65127</v>
      </c>
      <c r="H367" s="52">
        <f t="shared" si="105"/>
        <v>69032</v>
      </c>
      <c r="I367" s="52">
        <f t="shared" si="106"/>
        <v>50497</v>
      </c>
      <c r="J367" s="52">
        <f t="shared" si="107"/>
        <v>55060</v>
      </c>
      <c r="K367" s="49">
        <f t="shared" si="108"/>
        <v>14630</v>
      </c>
      <c r="L367" s="50">
        <f t="shared" si="109"/>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c r="A368" s="31" t="s">
        <v>81</v>
      </c>
      <c r="B368" s="1" t="s">
        <v>436</v>
      </c>
      <c r="C368" s="30" t="str">
        <f t="shared" si="110"/>
        <v>LA England - North Kesteven</v>
      </c>
      <c r="D368" s="50">
        <f t="shared" si="101"/>
        <v>47221</v>
      </c>
      <c r="E368" s="50">
        <f t="shared" si="102"/>
        <v>49744</v>
      </c>
      <c r="F368" s="51">
        <f t="shared" si="103"/>
        <v>119709</v>
      </c>
      <c r="G368" s="51">
        <f t="shared" si="104"/>
        <v>58672</v>
      </c>
      <c r="H368" s="52">
        <f t="shared" si="105"/>
        <v>61037</v>
      </c>
      <c r="I368" s="52">
        <f t="shared" si="106"/>
        <v>47221</v>
      </c>
      <c r="J368" s="52">
        <f t="shared" si="107"/>
        <v>49744</v>
      </c>
      <c r="K368" s="49">
        <f t="shared" si="108"/>
        <v>11451</v>
      </c>
      <c r="L368" s="50">
        <f t="shared" si="109"/>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c r="A369" s="31" t="s">
        <v>81</v>
      </c>
      <c r="B369" s="1" t="s">
        <v>437</v>
      </c>
      <c r="C369" s="30" t="str">
        <f t="shared" si="110"/>
        <v>LA England - North Lincolnshire</v>
      </c>
      <c r="D369" s="50">
        <f t="shared" si="101"/>
        <v>66371</v>
      </c>
      <c r="E369" s="50">
        <f t="shared" si="102"/>
        <v>69310</v>
      </c>
      <c r="F369" s="51">
        <f t="shared" si="103"/>
        <v>170042</v>
      </c>
      <c r="G369" s="51">
        <f t="shared" si="104"/>
        <v>83843</v>
      </c>
      <c r="H369" s="52">
        <f t="shared" si="105"/>
        <v>86199</v>
      </c>
      <c r="I369" s="52">
        <f t="shared" si="106"/>
        <v>66371</v>
      </c>
      <c r="J369" s="52">
        <f t="shared" si="107"/>
        <v>69310</v>
      </c>
      <c r="K369" s="49">
        <f t="shared" si="108"/>
        <v>17472</v>
      </c>
      <c r="L369" s="50">
        <f t="shared" si="109"/>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c r="A370" s="31" t="s">
        <v>81</v>
      </c>
      <c r="B370" s="1" t="s">
        <v>438</v>
      </c>
      <c r="C370" s="30" t="str">
        <f t="shared" si="110"/>
        <v>LA England - North Norfolk</v>
      </c>
      <c r="D370" s="50">
        <f t="shared" si="101"/>
        <v>42202</v>
      </c>
      <c r="E370" s="50">
        <f t="shared" si="102"/>
        <v>45374</v>
      </c>
      <c r="F370" s="51">
        <f t="shared" si="103"/>
        <v>103227</v>
      </c>
      <c r="G370" s="51">
        <f t="shared" si="104"/>
        <v>50383</v>
      </c>
      <c r="H370" s="52">
        <f t="shared" si="105"/>
        <v>52844</v>
      </c>
      <c r="I370" s="52">
        <f t="shared" si="106"/>
        <v>42202</v>
      </c>
      <c r="J370" s="52">
        <f t="shared" si="107"/>
        <v>45374</v>
      </c>
      <c r="K370" s="49">
        <f t="shared" si="108"/>
        <v>8181</v>
      </c>
      <c r="L370" s="50">
        <f t="shared" si="109"/>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c r="A371" s="31" t="s">
        <v>81</v>
      </c>
      <c r="B371" s="1" t="s">
        <v>439</v>
      </c>
      <c r="C371" s="30" t="str">
        <f t="shared" si="110"/>
        <v>LA England - North Northamptonshire</v>
      </c>
      <c r="D371" s="50">
        <f t="shared" si="101"/>
        <v>138007</v>
      </c>
      <c r="E371" s="50">
        <f t="shared" si="102"/>
        <v>145289</v>
      </c>
      <c r="F371" s="51">
        <f t="shared" si="103"/>
        <v>363408</v>
      </c>
      <c r="G371" s="51">
        <f t="shared" si="104"/>
        <v>179073</v>
      </c>
      <c r="H371" s="52">
        <f t="shared" si="105"/>
        <v>184335</v>
      </c>
      <c r="I371" s="52">
        <f t="shared" si="106"/>
        <v>138007</v>
      </c>
      <c r="J371" s="52">
        <f t="shared" si="107"/>
        <v>145289</v>
      </c>
      <c r="K371" s="49">
        <f t="shared" si="108"/>
        <v>41066</v>
      </c>
      <c r="L371" s="50">
        <f t="shared" si="109"/>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c r="A372" s="31" t="s">
        <v>81</v>
      </c>
      <c r="B372" s="1" t="s">
        <v>440</v>
      </c>
      <c r="C372" s="30" t="str">
        <f t="shared" si="110"/>
        <v>LA England - North Somerset</v>
      </c>
      <c r="D372" s="50">
        <f t="shared" si="101"/>
        <v>84352</v>
      </c>
      <c r="E372" s="50">
        <f t="shared" si="102"/>
        <v>91426</v>
      </c>
      <c r="F372" s="51">
        <f t="shared" si="103"/>
        <v>219145</v>
      </c>
      <c r="G372" s="51">
        <f t="shared" si="104"/>
        <v>106653</v>
      </c>
      <c r="H372" s="52">
        <f t="shared" si="105"/>
        <v>112492</v>
      </c>
      <c r="I372" s="52">
        <f t="shared" si="106"/>
        <v>84352</v>
      </c>
      <c r="J372" s="52">
        <f t="shared" si="107"/>
        <v>91426</v>
      </c>
      <c r="K372" s="49">
        <f t="shared" si="108"/>
        <v>22301</v>
      </c>
      <c r="L372" s="50">
        <f t="shared" si="109"/>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c r="A373" s="31" t="s">
        <v>81</v>
      </c>
      <c r="B373" s="1" t="s">
        <v>441</v>
      </c>
      <c r="C373" s="30" t="str">
        <f t="shared" si="110"/>
        <v>LA England - North Tyneside</v>
      </c>
      <c r="D373" s="50">
        <f t="shared" si="101"/>
        <v>80464</v>
      </c>
      <c r="E373" s="50">
        <f t="shared" si="102"/>
        <v>87929</v>
      </c>
      <c r="F373" s="51">
        <f t="shared" si="103"/>
        <v>210487</v>
      </c>
      <c r="G373" s="51">
        <f t="shared" si="104"/>
        <v>102303</v>
      </c>
      <c r="H373" s="52">
        <f t="shared" si="105"/>
        <v>108184</v>
      </c>
      <c r="I373" s="52">
        <f t="shared" si="106"/>
        <v>80464</v>
      </c>
      <c r="J373" s="52">
        <f t="shared" si="107"/>
        <v>87929</v>
      </c>
      <c r="K373" s="49">
        <f t="shared" si="108"/>
        <v>21839</v>
      </c>
      <c r="L373" s="50">
        <f t="shared" si="109"/>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c r="A374" s="31" t="s">
        <v>81</v>
      </c>
      <c r="B374" s="1" t="s">
        <v>442</v>
      </c>
      <c r="C374" s="30" t="str">
        <f t="shared" si="110"/>
        <v>LA England - North Warwickshire</v>
      </c>
      <c r="D374" s="50">
        <f t="shared" si="101"/>
        <v>25831</v>
      </c>
      <c r="E374" s="50">
        <f t="shared" si="102"/>
        <v>27256</v>
      </c>
      <c r="F374" s="51">
        <f t="shared" si="103"/>
        <v>65946</v>
      </c>
      <c r="G374" s="51">
        <f t="shared" si="104"/>
        <v>32219</v>
      </c>
      <c r="H374" s="52">
        <f t="shared" si="105"/>
        <v>33727</v>
      </c>
      <c r="I374" s="52">
        <f t="shared" si="106"/>
        <v>25831</v>
      </c>
      <c r="J374" s="52">
        <f t="shared" si="107"/>
        <v>27256</v>
      </c>
      <c r="K374" s="49">
        <f t="shared" si="108"/>
        <v>6388</v>
      </c>
      <c r="L374" s="50">
        <f t="shared" si="109"/>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c r="A375" s="31" t="s">
        <v>81</v>
      </c>
      <c r="B375" s="1" t="s">
        <v>443</v>
      </c>
      <c r="C375" s="30" t="str">
        <f t="shared" si="110"/>
        <v>LA England - North West Leicestershire</v>
      </c>
      <c r="D375" s="50">
        <f t="shared" si="101"/>
        <v>41923</v>
      </c>
      <c r="E375" s="50">
        <f t="shared" si="102"/>
        <v>44299</v>
      </c>
      <c r="F375" s="51">
        <f t="shared" si="103"/>
        <v>107672</v>
      </c>
      <c r="G375" s="51">
        <f t="shared" si="104"/>
        <v>52971</v>
      </c>
      <c r="H375" s="52">
        <f t="shared" si="105"/>
        <v>54701</v>
      </c>
      <c r="I375" s="52">
        <f t="shared" si="106"/>
        <v>41923</v>
      </c>
      <c r="J375" s="52">
        <f t="shared" si="107"/>
        <v>44299</v>
      </c>
      <c r="K375" s="49">
        <f t="shared" si="108"/>
        <v>11048</v>
      </c>
      <c r="L375" s="50">
        <f t="shared" si="109"/>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c r="A376" s="31" t="s">
        <v>81</v>
      </c>
      <c r="B376" s="1" t="s">
        <v>444</v>
      </c>
      <c r="C376" s="30" t="str">
        <f t="shared" si="110"/>
        <v>LA England - North Yorkshire</v>
      </c>
      <c r="D376" s="50">
        <f t="shared" si="101"/>
        <v>246935</v>
      </c>
      <c r="E376" s="50">
        <f t="shared" si="102"/>
        <v>262378</v>
      </c>
      <c r="F376" s="51">
        <f t="shared" si="103"/>
        <v>623501</v>
      </c>
      <c r="G376" s="51">
        <f t="shared" si="104"/>
        <v>305722</v>
      </c>
      <c r="H376" s="52">
        <f t="shared" si="105"/>
        <v>317779</v>
      </c>
      <c r="I376" s="52">
        <f t="shared" si="106"/>
        <v>246935</v>
      </c>
      <c r="J376" s="52">
        <f t="shared" si="107"/>
        <v>262378</v>
      </c>
      <c r="K376" s="49">
        <f t="shared" si="108"/>
        <v>58787</v>
      </c>
      <c r="L376" s="50">
        <f t="shared" si="109"/>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c r="A377" s="31" t="s">
        <v>81</v>
      </c>
      <c r="B377" s="1" t="s">
        <v>445</v>
      </c>
      <c r="C377" s="30" t="str">
        <f t="shared" si="110"/>
        <v>LA England - Northumberland</v>
      </c>
      <c r="D377" s="50">
        <f t="shared" si="101"/>
        <v>128234</v>
      </c>
      <c r="E377" s="50">
        <f t="shared" si="102"/>
        <v>137538</v>
      </c>
      <c r="F377" s="51">
        <f t="shared" si="103"/>
        <v>324362</v>
      </c>
      <c r="G377" s="51">
        <f t="shared" si="104"/>
        <v>158454</v>
      </c>
      <c r="H377" s="52">
        <f t="shared" si="105"/>
        <v>165908</v>
      </c>
      <c r="I377" s="52">
        <f t="shared" si="106"/>
        <v>128234</v>
      </c>
      <c r="J377" s="52">
        <f t="shared" si="107"/>
        <v>137538</v>
      </c>
      <c r="K377" s="49">
        <f t="shared" si="108"/>
        <v>30220</v>
      </c>
      <c r="L377" s="50">
        <f t="shared" si="109"/>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c r="A378" s="31" t="s">
        <v>81</v>
      </c>
      <c r="B378" s="1" t="s">
        <v>446</v>
      </c>
      <c r="C378" s="30" t="str">
        <f t="shared" si="110"/>
        <v>LA England - Norwich</v>
      </c>
      <c r="D378" s="50">
        <f t="shared" si="101"/>
        <v>58504</v>
      </c>
      <c r="E378" s="50">
        <f t="shared" si="102"/>
        <v>60393</v>
      </c>
      <c r="F378" s="51">
        <f t="shared" si="103"/>
        <v>144525</v>
      </c>
      <c r="G378" s="51">
        <f t="shared" si="104"/>
        <v>71583</v>
      </c>
      <c r="H378" s="52">
        <f t="shared" si="105"/>
        <v>72942</v>
      </c>
      <c r="I378" s="52">
        <f t="shared" si="106"/>
        <v>58504</v>
      </c>
      <c r="J378" s="52">
        <f t="shared" si="107"/>
        <v>60393</v>
      </c>
      <c r="K378" s="49">
        <f t="shared" si="108"/>
        <v>13079</v>
      </c>
      <c r="L378" s="50">
        <f t="shared" si="109"/>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c r="A379" s="31" t="s">
        <v>81</v>
      </c>
      <c r="B379" s="1" t="s">
        <v>447</v>
      </c>
      <c r="C379" s="30" t="str">
        <f t="shared" si="110"/>
        <v>LA England - Nottingham</v>
      </c>
      <c r="D379" s="50">
        <f t="shared" si="101"/>
        <v>127293</v>
      </c>
      <c r="E379" s="50">
        <f t="shared" si="102"/>
        <v>134119</v>
      </c>
      <c r="F379" s="51">
        <f t="shared" si="103"/>
        <v>328513</v>
      </c>
      <c r="G379" s="51">
        <f t="shared" si="104"/>
        <v>161634</v>
      </c>
      <c r="H379" s="52">
        <f t="shared" si="105"/>
        <v>166879</v>
      </c>
      <c r="I379" s="52">
        <f t="shared" si="106"/>
        <v>127293</v>
      </c>
      <c r="J379" s="52">
        <f t="shared" si="107"/>
        <v>134119</v>
      </c>
      <c r="K379" s="49">
        <f t="shared" si="108"/>
        <v>34341</v>
      </c>
      <c r="L379" s="50">
        <f t="shared" si="109"/>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c r="A380" s="31" t="s">
        <v>81</v>
      </c>
      <c r="B380" s="1" t="s">
        <v>448</v>
      </c>
      <c r="C380" s="30" t="str">
        <f t="shared" si="110"/>
        <v>LA England - Nuneaton and Bedworth</v>
      </c>
      <c r="D380" s="50">
        <f t="shared" si="101"/>
        <v>51571</v>
      </c>
      <c r="E380" s="50">
        <f t="shared" si="102"/>
        <v>54789</v>
      </c>
      <c r="F380" s="51">
        <f t="shared" si="103"/>
        <v>135481</v>
      </c>
      <c r="G380" s="51">
        <f t="shared" si="104"/>
        <v>66464</v>
      </c>
      <c r="H380" s="52">
        <f t="shared" si="105"/>
        <v>69017</v>
      </c>
      <c r="I380" s="52">
        <f t="shared" si="106"/>
        <v>51571</v>
      </c>
      <c r="J380" s="52">
        <f t="shared" si="107"/>
        <v>54789</v>
      </c>
      <c r="K380" s="49">
        <f t="shared" si="108"/>
        <v>14893</v>
      </c>
      <c r="L380" s="50">
        <f t="shared" si="109"/>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c r="A381" s="31" t="s">
        <v>81</v>
      </c>
      <c r="B381" s="1" t="s">
        <v>449</v>
      </c>
      <c r="C381" s="30" t="str">
        <f t="shared" si="110"/>
        <v>LA England - Oadby and Wigston</v>
      </c>
      <c r="D381" s="50">
        <f t="shared" si="101"/>
        <v>22147</v>
      </c>
      <c r="E381" s="50">
        <f t="shared" si="102"/>
        <v>23994</v>
      </c>
      <c r="F381" s="51">
        <f t="shared" si="103"/>
        <v>58341</v>
      </c>
      <c r="G381" s="51">
        <f t="shared" si="104"/>
        <v>28391</v>
      </c>
      <c r="H381" s="52">
        <f t="shared" si="105"/>
        <v>29950</v>
      </c>
      <c r="I381" s="52">
        <f t="shared" si="106"/>
        <v>22147</v>
      </c>
      <c r="J381" s="52">
        <f t="shared" si="107"/>
        <v>23994</v>
      </c>
      <c r="K381" s="49">
        <f t="shared" si="108"/>
        <v>6244</v>
      </c>
      <c r="L381" s="50">
        <f t="shared" si="109"/>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c r="A382" s="31" t="s">
        <v>81</v>
      </c>
      <c r="B382" s="1" t="s">
        <v>450</v>
      </c>
      <c r="C382" s="30" t="str">
        <f t="shared" si="110"/>
        <v>LA England - Oldham</v>
      </c>
      <c r="D382" s="50">
        <f t="shared" si="101"/>
        <v>87601</v>
      </c>
      <c r="E382" s="50">
        <f t="shared" si="102"/>
        <v>93872</v>
      </c>
      <c r="F382" s="51">
        <f t="shared" si="103"/>
        <v>243912</v>
      </c>
      <c r="G382" s="51">
        <f t="shared" si="104"/>
        <v>119371</v>
      </c>
      <c r="H382" s="52">
        <f t="shared" si="105"/>
        <v>124541</v>
      </c>
      <c r="I382" s="52">
        <f t="shared" si="106"/>
        <v>87601</v>
      </c>
      <c r="J382" s="52">
        <f t="shared" si="107"/>
        <v>93872</v>
      </c>
      <c r="K382" s="49">
        <f t="shared" si="108"/>
        <v>31770</v>
      </c>
      <c r="L382" s="50">
        <f t="shared" si="109"/>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c r="A383" s="31" t="s">
        <v>81</v>
      </c>
      <c r="B383" s="1" t="s">
        <v>451</v>
      </c>
      <c r="C383" s="30" t="str">
        <f t="shared" si="110"/>
        <v>LA England - Oxford</v>
      </c>
      <c r="D383" s="50">
        <f t="shared" si="101"/>
        <v>65363</v>
      </c>
      <c r="E383" s="50">
        <f t="shared" si="102"/>
        <v>69154</v>
      </c>
      <c r="F383" s="51">
        <f t="shared" si="103"/>
        <v>163257</v>
      </c>
      <c r="G383" s="51">
        <f t="shared" si="104"/>
        <v>80220</v>
      </c>
      <c r="H383" s="52">
        <f t="shared" si="105"/>
        <v>83037</v>
      </c>
      <c r="I383" s="52">
        <f t="shared" si="106"/>
        <v>65363</v>
      </c>
      <c r="J383" s="52">
        <f t="shared" si="107"/>
        <v>69154</v>
      </c>
      <c r="K383" s="49">
        <f t="shared" si="108"/>
        <v>14857</v>
      </c>
      <c r="L383" s="50">
        <f t="shared" si="109"/>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c r="A384" s="31" t="s">
        <v>81</v>
      </c>
      <c r="B384" s="1" t="s">
        <v>452</v>
      </c>
      <c r="C384" s="30" t="str">
        <f t="shared" si="110"/>
        <v>LA England - Pendle</v>
      </c>
      <c r="D384" s="50">
        <f t="shared" si="101"/>
        <v>35807</v>
      </c>
      <c r="E384" s="50">
        <f t="shared" si="102"/>
        <v>37259</v>
      </c>
      <c r="F384" s="51">
        <f t="shared" si="103"/>
        <v>96110</v>
      </c>
      <c r="G384" s="51">
        <f t="shared" si="104"/>
        <v>47583</v>
      </c>
      <c r="H384" s="52">
        <f t="shared" si="105"/>
        <v>48527</v>
      </c>
      <c r="I384" s="52">
        <f t="shared" si="106"/>
        <v>35807</v>
      </c>
      <c r="J384" s="52">
        <f t="shared" si="107"/>
        <v>37259</v>
      </c>
      <c r="K384" s="49">
        <f t="shared" si="108"/>
        <v>11776</v>
      </c>
      <c r="L384" s="50">
        <f t="shared" si="109"/>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c r="A385" s="31" t="s">
        <v>81</v>
      </c>
      <c r="B385" s="1" t="s">
        <v>453</v>
      </c>
      <c r="C385" s="30" t="str">
        <f t="shared" si="110"/>
        <v>LA England - Peterborough</v>
      </c>
      <c r="D385" s="50">
        <f t="shared" si="101"/>
        <v>79208</v>
      </c>
      <c r="E385" s="50">
        <f t="shared" si="102"/>
        <v>83683</v>
      </c>
      <c r="F385" s="51">
        <f t="shared" si="103"/>
        <v>217705</v>
      </c>
      <c r="G385" s="51">
        <f t="shared" si="104"/>
        <v>107535</v>
      </c>
      <c r="H385" s="52">
        <f t="shared" si="105"/>
        <v>110170</v>
      </c>
      <c r="I385" s="52">
        <f t="shared" si="106"/>
        <v>79208</v>
      </c>
      <c r="J385" s="52">
        <f t="shared" si="107"/>
        <v>83683</v>
      </c>
      <c r="K385" s="49">
        <f t="shared" si="108"/>
        <v>28327</v>
      </c>
      <c r="L385" s="50">
        <f t="shared" si="109"/>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c r="A386" s="31" t="s">
        <v>81</v>
      </c>
      <c r="B386" s="1" t="s">
        <v>454</v>
      </c>
      <c r="C386" s="30" t="str">
        <f t="shared" si="110"/>
        <v>LA England - Plymouth</v>
      </c>
      <c r="D386" s="50">
        <f t="shared" si="101"/>
        <v>104314</v>
      </c>
      <c r="E386" s="50">
        <f t="shared" si="102"/>
        <v>110592</v>
      </c>
      <c r="F386" s="51">
        <f t="shared" si="103"/>
        <v>266862</v>
      </c>
      <c r="G386" s="51">
        <f t="shared" si="104"/>
        <v>131031</v>
      </c>
      <c r="H386" s="52">
        <f t="shared" si="105"/>
        <v>135831</v>
      </c>
      <c r="I386" s="52">
        <f t="shared" si="106"/>
        <v>104314</v>
      </c>
      <c r="J386" s="52">
        <f t="shared" si="107"/>
        <v>110592</v>
      </c>
      <c r="K386" s="49">
        <f t="shared" si="108"/>
        <v>26717</v>
      </c>
      <c r="L386" s="50">
        <f t="shared" si="109"/>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c r="A387" s="31" t="s">
        <v>81</v>
      </c>
      <c r="B387" s="1" t="s">
        <v>455</v>
      </c>
      <c r="C387" s="30" t="str">
        <f t="shared" si="110"/>
        <v>LA England - Portsmouth</v>
      </c>
      <c r="D387" s="50">
        <f t="shared" si="101"/>
        <v>82264</v>
      </c>
      <c r="E387" s="50">
        <f t="shared" si="102"/>
        <v>84108</v>
      </c>
      <c r="F387" s="51">
        <f t="shared" si="103"/>
        <v>208420</v>
      </c>
      <c r="G387" s="51">
        <f t="shared" si="104"/>
        <v>103763</v>
      </c>
      <c r="H387" s="52">
        <f t="shared" si="105"/>
        <v>104657</v>
      </c>
      <c r="I387" s="52">
        <f t="shared" si="106"/>
        <v>82264</v>
      </c>
      <c r="J387" s="52">
        <f t="shared" si="107"/>
        <v>84108</v>
      </c>
      <c r="K387" s="49">
        <f t="shared" si="108"/>
        <v>21499</v>
      </c>
      <c r="L387" s="50">
        <f t="shared" si="109"/>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c r="A388" s="31" t="s">
        <v>81</v>
      </c>
      <c r="B388" s="1" t="s">
        <v>456</v>
      </c>
      <c r="C388" s="30" t="str">
        <f t="shared" si="110"/>
        <v>LA England - Preston</v>
      </c>
      <c r="D388" s="50">
        <f t="shared" si="101"/>
        <v>58655</v>
      </c>
      <c r="E388" s="50">
        <f t="shared" si="102"/>
        <v>59296</v>
      </c>
      <c r="F388" s="51">
        <f t="shared" si="103"/>
        <v>151582</v>
      </c>
      <c r="G388" s="51">
        <f t="shared" si="104"/>
        <v>75998</v>
      </c>
      <c r="H388" s="52">
        <f t="shared" si="105"/>
        <v>75584</v>
      </c>
      <c r="I388" s="52">
        <f t="shared" si="106"/>
        <v>58655</v>
      </c>
      <c r="J388" s="52">
        <f t="shared" si="107"/>
        <v>59296</v>
      </c>
      <c r="K388" s="49">
        <f t="shared" si="108"/>
        <v>17343</v>
      </c>
      <c r="L388" s="50">
        <f t="shared" si="109"/>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c r="A389" s="31" t="s">
        <v>81</v>
      </c>
      <c r="B389" s="1" t="s">
        <v>457</v>
      </c>
      <c r="C389" s="30" t="str">
        <f t="shared" si="110"/>
        <v>LA England - Reading</v>
      </c>
      <c r="D389" s="50">
        <f t="shared" si="101"/>
        <v>68589</v>
      </c>
      <c r="E389" s="50">
        <f t="shared" si="102"/>
        <v>69305</v>
      </c>
      <c r="F389" s="51">
        <f t="shared" si="103"/>
        <v>174820</v>
      </c>
      <c r="G389" s="51">
        <f t="shared" si="104"/>
        <v>87515</v>
      </c>
      <c r="H389" s="52">
        <f t="shared" si="105"/>
        <v>87305</v>
      </c>
      <c r="I389" s="52">
        <f t="shared" si="106"/>
        <v>68589</v>
      </c>
      <c r="J389" s="52">
        <f t="shared" si="107"/>
        <v>69305</v>
      </c>
      <c r="K389" s="49">
        <f t="shared" si="108"/>
        <v>18926</v>
      </c>
      <c r="L389" s="50">
        <f t="shared" si="109"/>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c r="A390" s="31" t="s">
        <v>81</v>
      </c>
      <c r="B390" s="1" t="s">
        <v>458</v>
      </c>
      <c r="C390" s="30" t="str">
        <f t="shared" si="110"/>
        <v>LA England - Redbridge</v>
      </c>
      <c r="D390" s="50">
        <f t="shared" si="101"/>
        <v>114653</v>
      </c>
      <c r="E390" s="50">
        <f t="shared" si="102"/>
        <v>119425</v>
      </c>
      <c r="F390" s="51">
        <f t="shared" si="103"/>
        <v>310911</v>
      </c>
      <c r="G390" s="51">
        <f t="shared" si="104"/>
        <v>153994</v>
      </c>
      <c r="H390" s="52">
        <f t="shared" si="105"/>
        <v>156917</v>
      </c>
      <c r="I390" s="52">
        <f t="shared" si="106"/>
        <v>114653</v>
      </c>
      <c r="J390" s="52">
        <f t="shared" si="107"/>
        <v>119425</v>
      </c>
      <c r="K390" s="49">
        <f t="shared" si="108"/>
        <v>39341</v>
      </c>
      <c r="L390" s="50">
        <f t="shared" si="109"/>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c r="A391" s="31" t="s">
        <v>81</v>
      </c>
      <c r="B391" s="1" t="s">
        <v>459</v>
      </c>
      <c r="C391" s="30" t="str">
        <f t="shared" si="110"/>
        <v>LA England - Redcar and Cleveland</v>
      </c>
      <c r="D391" s="50">
        <f t="shared" si="101"/>
        <v>52655</v>
      </c>
      <c r="E391" s="50">
        <f t="shared" si="102"/>
        <v>57290</v>
      </c>
      <c r="F391" s="51">
        <f t="shared" si="103"/>
        <v>137175</v>
      </c>
      <c r="G391" s="51">
        <f t="shared" si="104"/>
        <v>66603</v>
      </c>
      <c r="H391" s="52">
        <f t="shared" si="105"/>
        <v>70572</v>
      </c>
      <c r="I391" s="52">
        <f t="shared" si="106"/>
        <v>52655</v>
      </c>
      <c r="J391" s="52">
        <f t="shared" si="107"/>
        <v>57290</v>
      </c>
      <c r="K391" s="49">
        <f>SUM(M391:AD391)</f>
        <v>13948</v>
      </c>
      <c r="L391" s="50">
        <f t="shared" si="109"/>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c r="A392" s="31" t="s">
        <v>81</v>
      </c>
      <c r="B392" s="1" t="s">
        <v>460</v>
      </c>
      <c r="C392" s="30" t="str">
        <f t="shared" si="110"/>
        <v>LA England - Redditch</v>
      </c>
      <c r="D392" s="50">
        <f t="shared" si="101"/>
        <v>33200</v>
      </c>
      <c r="E392" s="50">
        <f t="shared" si="102"/>
        <v>35017</v>
      </c>
      <c r="F392" s="51">
        <f t="shared" si="103"/>
        <v>87132</v>
      </c>
      <c r="G392" s="51">
        <f t="shared" si="104"/>
        <v>42934</v>
      </c>
      <c r="H392" s="52">
        <f t="shared" si="105"/>
        <v>44198</v>
      </c>
      <c r="I392" s="52">
        <f t="shared" si="106"/>
        <v>33200</v>
      </c>
      <c r="J392" s="52">
        <f t="shared" si="107"/>
        <v>35017</v>
      </c>
      <c r="K392" s="49">
        <f>SUM(M392:AD392)</f>
        <v>9734</v>
      </c>
      <c r="L392" s="50">
        <f t="shared" si="109"/>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c r="A393" s="31" t="s">
        <v>81</v>
      </c>
      <c r="B393" s="1" t="s">
        <v>461</v>
      </c>
      <c r="C393" s="30" t="str">
        <f t="shared" si="110"/>
        <v>LA England - Reigate and Banstead</v>
      </c>
      <c r="D393" s="50">
        <f t="shared" ref="D393:D456" si="111">I393</f>
        <v>57326</v>
      </c>
      <c r="E393" s="50">
        <f t="shared" ref="E393:E456" si="112">J393</f>
        <v>61482</v>
      </c>
      <c r="F393" s="51">
        <f t="shared" si="103"/>
        <v>153629</v>
      </c>
      <c r="G393" s="51">
        <f t="shared" si="104"/>
        <v>75130</v>
      </c>
      <c r="H393" s="52">
        <f t="shared" si="105"/>
        <v>78499</v>
      </c>
      <c r="I393" s="52">
        <f t="shared" si="106"/>
        <v>57326</v>
      </c>
      <c r="J393" s="52">
        <f t="shared" si="107"/>
        <v>61482</v>
      </c>
      <c r="K393" s="49">
        <f>SUM(M393:AD393)</f>
        <v>17804</v>
      </c>
      <c r="L393" s="50">
        <f t="shared" si="109"/>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c r="A394" s="31" t="s">
        <v>81</v>
      </c>
      <c r="B394" s="1" t="s">
        <v>462</v>
      </c>
      <c r="C394" s="30" t="str">
        <f t="shared" si="110"/>
        <v>LA England - Ribble Valley</v>
      </c>
      <c r="D394" s="50">
        <f t="shared" si="111"/>
        <v>24766</v>
      </c>
      <c r="E394" s="50">
        <f t="shared" si="112"/>
        <v>26411</v>
      </c>
      <c r="F394" s="51">
        <f t="shared" ref="F394:F457" si="113">G394+H394</f>
        <v>63107</v>
      </c>
      <c r="G394" s="51">
        <f t="shared" ref="G394:G457" si="114">SUM(M394:CY394)</f>
        <v>30876</v>
      </c>
      <c r="H394" s="52">
        <f t="shared" ref="H394:H457" si="115">SUM(CZ394:GL394)</f>
        <v>32231</v>
      </c>
      <c r="I394" s="52">
        <f t="shared" ref="I394:I457" si="116">SUM(AE394:CY394)</f>
        <v>24766</v>
      </c>
      <c r="J394" s="52">
        <f t="shared" ref="J394:J457" si="117">SUM(DR394:GL394)</f>
        <v>26411</v>
      </c>
      <c r="K394" s="49">
        <f t="shared" ref="K394:K457" si="118">SUM(M394:AD394)</f>
        <v>6110</v>
      </c>
      <c r="L394" s="50">
        <f t="shared" ref="L394:L457" si="119">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c r="A395" s="31" t="s">
        <v>81</v>
      </c>
      <c r="B395" s="1" t="s">
        <v>463</v>
      </c>
      <c r="C395" s="30" t="str">
        <f t="shared" si="110"/>
        <v>LA England - Richmond upon Thames</v>
      </c>
      <c r="D395" s="50">
        <f t="shared" si="111"/>
        <v>71343</v>
      </c>
      <c r="E395" s="50">
        <f t="shared" si="112"/>
        <v>79557</v>
      </c>
      <c r="F395" s="51">
        <f t="shared" si="113"/>
        <v>194894</v>
      </c>
      <c r="G395" s="51">
        <f t="shared" si="114"/>
        <v>93837</v>
      </c>
      <c r="H395" s="52">
        <f t="shared" si="115"/>
        <v>101057</v>
      </c>
      <c r="I395" s="52">
        <f t="shared" si="116"/>
        <v>71343</v>
      </c>
      <c r="J395" s="52">
        <f t="shared" si="117"/>
        <v>79557</v>
      </c>
      <c r="K395" s="49">
        <f t="shared" si="118"/>
        <v>22494</v>
      </c>
      <c r="L395" s="50">
        <f t="shared" si="119"/>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c r="A396" s="31" t="s">
        <v>81</v>
      </c>
      <c r="B396" s="1" t="s">
        <v>464</v>
      </c>
      <c r="C396" s="30" t="str">
        <f t="shared" ref="C396:C459" si="120">CONCATENATE(A396," - ",B396)</f>
        <v>LA England - Rochdale</v>
      </c>
      <c r="D396" s="50">
        <f t="shared" si="111"/>
        <v>82750</v>
      </c>
      <c r="E396" s="50">
        <f t="shared" si="112"/>
        <v>88568</v>
      </c>
      <c r="F396" s="51">
        <f t="shared" si="113"/>
        <v>226992</v>
      </c>
      <c r="G396" s="51">
        <f t="shared" si="114"/>
        <v>111355</v>
      </c>
      <c r="H396" s="52">
        <f t="shared" si="115"/>
        <v>115637</v>
      </c>
      <c r="I396" s="52">
        <f t="shared" si="116"/>
        <v>82750</v>
      </c>
      <c r="J396" s="52">
        <f t="shared" si="117"/>
        <v>88568</v>
      </c>
      <c r="K396" s="49">
        <f t="shared" si="118"/>
        <v>28605</v>
      </c>
      <c r="L396" s="50">
        <f t="shared" si="119"/>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c r="A397" s="31" t="s">
        <v>81</v>
      </c>
      <c r="B397" s="1" t="s">
        <v>465</v>
      </c>
      <c r="C397" s="30" t="str">
        <f t="shared" si="120"/>
        <v>LA England - Rochford</v>
      </c>
      <c r="D397" s="50">
        <f t="shared" si="111"/>
        <v>33399</v>
      </c>
      <c r="E397" s="50">
        <f t="shared" si="112"/>
        <v>36525</v>
      </c>
      <c r="F397" s="51">
        <f t="shared" si="113"/>
        <v>87216</v>
      </c>
      <c r="G397" s="51">
        <f t="shared" si="114"/>
        <v>42260</v>
      </c>
      <c r="H397" s="52">
        <f t="shared" si="115"/>
        <v>44956</v>
      </c>
      <c r="I397" s="52">
        <f t="shared" si="116"/>
        <v>33399</v>
      </c>
      <c r="J397" s="52">
        <f t="shared" si="117"/>
        <v>36525</v>
      </c>
      <c r="K397" s="49">
        <f t="shared" si="118"/>
        <v>8861</v>
      </c>
      <c r="L397" s="50">
        <f t="shared" si="119"/>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c r="A398" s="31" t="s">
        <v>81</v>
      </c>
      <c r="B398" s="1" t="s">
        <v>466</v>
      </c>
      <c r="C398" s="30" t="str">
        <f t="shared" si="120"/>
        <v>LA England - Rossendale</v>
      </c>
      <c r="D398" s="50">
        <f t="shared" si="111"/>
        <v>27113</v>
      </c>
      <c r="E398" s="50">
        <f t="shared" si="112"/>
        <v>28718</v>
      </c>
      <c r="F398" s="51">
        <f t="shared" si="113"/>
        <v>71169</v>
      </c>
      <c r="G398" s="51">
        <f t="shared" si="114"/>
        <v>34978</v>
      </c>
      <c r="H398" s="52">
        <f t="shared" si="115"/>
        <v>36191</v>
      </c>
      <c r="I398" s="52">
        <f t="shared" si="116"/>
        <v>27113</v>
      </c>
      <c r="J398" s="52">
        <f t="shared" si="117"/>
        <v>28718</v>
      </c>
      <c r="K398" s="49">
        <f t="shared" si="118"/>
        <v>7865</v>
      </c>
      <c r="L398" s="50">
        <f t="shared" si="119"/>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c r="A399" s="31" t="s">
        <v>81</v>
      </c>
      <c r="B399" s="1" t="s">
        <v>467</v>
      </c>
      <c r="C399" s="30" t="str">
        <f t="shared" si="120"/>
        <v>LA England - Rother</v>
      </c>
      <c r="D399" s="50">
        <f t="shared" si="111"/>
        <v>36694</v>
      </c>
      <c r="E399" s="50">
        <f t="shared" si="112"/>
        <v>41811</v>
      </c>
      <c r="F399" s="51">
        <f t="shared" si="113"/>
        <v>94162</v>
      </c>
      <c r="G399" s="51">
        <f t="shared" si="114"/>
        <v>44734</v>
      </c>
      <c r="H399" s="52">
        <f t="shared" si="115"/>
        <v>49428</v>
      </c>
      <c r="I399" s="52">
        <f t="shared" si="116"/>
        <v>36694</v>
      </c>
      <c r="J399" s="52">
        <f t="shared" si="117"/>
        <v>41811</v>
      </c>
      <c r="K399" s="49">
        <f t="shared" si="118"/>
        <v>8040</v>
      </c>
      <c r="L399" s="50">
        <f t="shared" si="119"/>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c r="A400" s="31" t="s">
        <v>81</v>
      </c>
      <c r="B400" s="1" t="s">
        <v>468</v>
      </c>
      <c r="C400" s="30" t="str">
        <f t="shared" si="120"/>
        <v>LA England - Rotherham</v>
      </c>
      <c r="D400" s="50">
        <f t="shared" si="111"/>
        <v>102546</v>
      </c>
      <c r="E400" s="50">
        <f t="shared" si="112"/>
        <v>108578</v>
      </c>
      <c r="F400" s="51">
        <f t="shared" si="113"/>
        <v>268354</v>
      </c>
      <c r="G400" s="51">
        <f t="shared" si="114"/>
        <v>131784</v>
      </c>
      <c r="H400" s="52">
        <f t="shared" si="115"/>
        <v>136570</v>
      </c>
      <c r="I400" s="52">
        <f t="shared" si="116"/>
        <v>102546</v>
      </c>
      <c r="J400" s="52">
        <f t="shared" si="117"/>
        <v>108578</v>
      </c>
      <c r="K400" s="49">
        <f t="shared" si="118"/>
        <v>29238</v>
      </c>
      <c r="L400" s="50">
        <f t="shared" si="119"/>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c r="A401" s="31" t="s">
        <v>81</v>
      </c>
      <c r="B401" s="1" t="s">
        <v>469</v>
      </c>
      <c r="C401" s="30" t="str">
        <f t="shared" si="120"/>
        <v>LA England - Rugby</v>
      </c>
      <c r="D401" s="50">
        <f t="shared" si="111"/>
        <v>44751</v>
      </c>
      <c r="E401" s="50">
        <f t="shared" si="112"/>
        <v>45862</v>
      </c>
      <c r="F401" s="51">
        <f t="shared" si="113"/>
        <v>116436</v>
      </c>
      <c r="G401" s="51">
        <f t="shared" si="114"/>
        <v>57920</v>
      </c>
      <c r="H401" s="52">
        <f t="shared" si="115"/>
        <v>58516</v>
      </c>
      <c r="I401" s="52">
        <f t="shared" si="116"/>
        <v>44751</v>
      </c>
      <c r="J401" s="52">
        <f t="shared" si="117"/>
        <v>45862</v>
      </c>
      <c r="K401" s="49">
        <f t="shared" si="118"/>
        <v>13169</v>
      </c>
      <c r="L401" s="50">
        <f t="shared" si="119"/>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c r="A402" s="31" t="s">
        <v>81</v>
      </c>
      <c r="B402" s="1" t="s">
        <v>470</v>
      </c>
      <c r="C402" s="30" t="str">
        <f t="shared" si="120"/>
        <v>LA England - Runnymede</v>
      </c>
      <c r="D402" s="50">
        <f t="shared" si="111"/>
        <v>33925</v>
      </c>
      <c r="E402" s="50">
        <f t="shared" si="112"/>
        <v>37223</v>
      </c>
      <c r="F402" s="51">
        <f t="shared" si="113"/>
        <v>88524</v>
      </c>
      <c r="G402" s="51">
        <f t="shared" si="114"/>
        <v>42769</v>
      </c>
      <c r="H402" s="52">
        <f t="shared" si="115"/>
        <v>45755</v>
      </c>
      <c r="I402" s="52">
        <f t="shared" si="116"/>
        <v>33925</v>
      </c>
      <c r="J402" s="52">
        <f t="shared" si="117"/>
        <v>37223</v>
      </c>
      <c r="K402" s="49">
        <f t="shared" si="118"/>
        <v>8844</v>
      </c>
      <c r="L402" s="50">
        <f t="shared" si="119"/>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c r="A403" s="31" t="s">
        <v>81</v>
      </c>
      <c r="B403" s="1" t="s">
        <v>471</v>
      </c>
      <c r="C403" s="30" t="str">
        <f t="shared" si="120"/>
        <v>LA England - Rushcliffe</v>
      </c>
      <c r="D403" s="50">
        <f t="shared" si="111"/>
        <v>46826</v>
      </c>
      <c r="E403" s="50">
        <f t="shared" si="112"/>
        <v>49888</v>
      </c>
      <c r="F403" s="51">
        <f t="shared" si="113"/>
        <v>121582</v>
      </c>
      <c r="G403" s="51">
        <f t="shared" si="114"/>
        <v>59659</v>
      </c>
      <c r="H403" s="52">
        <f t="shared" si="115"/>
        <v>61923</v>
      </c>
      <c r="I403" s="52">
        <f t="shared" si="116"/>
        <v>46826</v>
      </c>
      <c r="J403" s="52">
        <f t="shared" si="117"/>
        <v>49888</v>
      </c>
      <c r="K403" s="49">
        <f t="shared" si="118"/>
        <v>12833</v>
      </c>
      <c r="L403" s="50">
        <f t="shared" si="119"/>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c r="A404" s="31" t="s">
        <v>81</v>
      </c>
      <c r="B404" s="1" t="s">
        <v>472</v>
      </c>
      <c r="C404" s="30" t="str">
        <f t="shared" si="120"/>
        <v>LA England - Rushmoor</v>
      </c>
      <c r="D404" s="50">
        <f t="shared" si="111"/>
        <v>39743</v>
      </c>
      <c r="E404" s="50">
        <f t="shared" si="112"/>
        <v>39973</v>
      </c>
      <c r="F404" s="51">
        <f t="shared" si="113"/>
        <v>101060</v>
      </c>
      <c r="G404" s="51">
        <f t="shared" si="114"/>
        <v>50789</v>
      </c>
      <c r="H404" s="52">
        <f t="shared" si="115"/>
        <v>50271</v>
      </c>
      <c r="I404" s="52">
        <f t="shared" si="116"/>
        <v>39743</v>
      </c>
      <c r="J404" s="52">
        <f t="shared" si="117"/>
        <v>39973</v>
      </c>
      <c r="K404" s="49">
        <f t="shared" si="118"/>
        <v>11046</v>
      </c>
      <c r="L404" s="50">
        <f t="shared" si="119"/>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c r="A405" s="31" t="s">
        <v>81</v>
      </c>
      <c r="B405" s="1" t="s">
        <v>473</v>
      </c>
      <c r="C405" s="30" t="str">
        <f t="shared" si="120"/>
        <v>LA England - Rutland</v>
      </c>
      <c r="D405" s="50">
        <f t="shared" si="111"/>
        <v>16942</v>
      </c>
      <c r="E405" s="50">
        <f t="shared" si="112"/>
        <v>16235</v>
      </c>
      <c r="F405" s="51">
        <f t="shared" si="113"/>
        <v>41151</v>
      </c>
      <c r="G405" s="51">
        <f t="shared" si="114"/>
        <v>21127</v>
      </c>
      <c r="H405" s="52">
        <f t="shared" si="115"/>
        <v>20024</v>
      </c>
      <c r="I405" s="52">
        <f t="shared" si="116"/>
        <v>16942</v>
      </c>
      <c r="J405" s="52">
        <f t="shared" si="117"/>
        <v>16235</v>
      </c>
      <c r="K405" s="49">
        <f t="shared" si="118"/>
        <v>4185</v>
      </c>
      <c r="L405" s="50">
        <f t="shared" si="119"/>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c r="A406" s="31" t="s">
        <v>81</v>
      </c>
      <c r="B406" s="1" t="s">
        <v>474</v>
      </c>
      <c r="C406" s="30" t="str">
        <f t="shared" si="120"/>
        <v>LA England - Salford</v>
      </c>
      <c r="D406" s="50">
        <f t="shared" si="111"/>
        <v>108861</v>
      </c>
      <c r="E406" s="50">
        <f t="shared" si="112"/>
        <v>108908</v>
      </c>
      <c r="F406" s="51">
        <f t="shared" si="113"/>
        <v>278064</v>
      </c>
      <c r="G406" s="51">
        <f t="shared" si="114"/>
        <v>139829</v>
      </c>
      <c r="H406" s="52">
        <f t="shared" si="115"/>
        <v>138235</v>
      </c>
      <c r="I406" s="52">
        <f t="shared" si="116"/>
        <v>108861</v>
      </c>
      <c r="J406" s="52">
        <f t="shared" si="117"/>
        <v>108908</v>
      </c>
      <c r="K406" s="49">
        <f t="shared" si="118"/>
        <v>30968</v>
      </c>
      <c r="L406" s="50">
        <f t="shared" si="119"/>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c r="A407" s="31" t="s">
        <v>81</v>
      </c>
      <c r="B407" s="1" t="s">
        <v>475</v>
      </c>
      <c r="C407" s="30" t="str">
        <f t="shared" si="120"/>
        <v>LA England - Sandwell</v>
      </c>
      <c r="D407" s="50">
        <f t="shared" si="111"/>
        <v>125772</v>
      </c>
      <c r="E407" s="50">
        <f t="shared" si="112"/>
        <v>132614</v>
      </c>
      <c r="F407" s="51">
        <f t="shared" si="113"/>
        <v>344210</v>
      </c>
      <c r="G407" s="51">
        <f t="shared" si="114"/>
        <v>170114</v>
      </c>
      <c r="H407" s="52">
        <f t="shared" si="115"/>
        <v>174096</v>
      </c>
      <c r="I407" s="52">
        <f t="shared" si="116"/>
        <v>125772</v>
      </c>
      <c r="J407" s="52">
        <f t="shared" si="117"/>
        <v>132614</v>
      </c>
      <c r="K407" s="49">
        <f t="shared" si="118"/>
        <v>44342</v>
      </c>
      <c r="L407" s="50">
        <f t="shared" si="119"/>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c r="A408" s="31" t="s">
        <v>81</v>
      </c>
      <c r="B408" s="1" t="s">
        <v>476</v>
      </c>
      <c r="C408" s="30" t="str">
        <f t="shared" si="120"/>
        <v>LA England - Sefton</v>
      </c>
      <c r="D408" s="50">
        <f t="shared" si="111"/>
        <v>108849</v>
      </c>
      <c r="E408" s="50">
        <f t="shared" si="112"/>
        <v>118743</v>
      </c>
      <c r="F408" s="51">
        <f t="shared" si="113"/>
        <v>281027</v>
      </c>
      <c r="G408" s="51">
        <f t="shared" si="114"/>
        <v>136313</v>
      </c>
      <c r="H408" s="52">
        <f t="shared" si="115"/>
        <v>144714</v>
      </c>
      <c r="I408" s="52">
        <f t="shared" si="116"/>
        <v>108849</v>
      </c>
      <c r="J408" s="52">
        <f t="shared" si="117"/>
        <v>118743</v>
      </c>
      <c r="K408" s="49">
        <f t="shared" si="118"/>
        <v>27464</v>
      </c>
      <c r="L408" s="50">
        <f t="shared" si="119"/>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c r="A409" s="31" t="s">
        <v>81</v>
      </c>
      <c r="B409" s="1" t="s">
        <v>477</v>
      </c>
      <c r="C409" s="30" t="str">
        <f t="shared" si="120"/>
        <v>LA England - Sevenoaks</v>
      </c>
      <c r="D409" s="50">
        <f t="shared" si="111"/>
        <v>44614</v>
      </c>
      <c r="E409" s="50">
        <f t="shared" si="112"/>
        <v>49425</v>
      </c>
      <c r="F409" s="51">
        <f t="shared" si="113"/>
        <v>121106</v>
      </c>
      <c r="G409" s="51">
        <f t="shared" si="114"/>
        <v>58375</v>
      </c>
      <c r="H409" s="52">
        <f t="shared" si="115"/>
        <v>62731</v>
      </c>
      <c r="I409" s="52">
        <f t="shared" si="116"/>
        <v>44614</v>
      </c>
      <c r="J409" s="52">
        <f t="shared" si="117"/>
        <v>49425</v>
      </c>
      <c r="K409" s="49">
        <f t="shared" si="118"/>
        <v>13761</v>
      </c>
      <c r="L409" s="50">
        <f t="shared" si="119"/>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c r="A410" s="31" t="s">
        <v>81</v>
      </c>
      <c r="B410" s="1" t="s">
        <v>478</v>
      </c>
      <c r="C410" s="30" t="str">
        <f t="shared" si="120"/>
        <v>LA England - Sheffield</v>
      </c>
      <c r="D410" s="50">
        <f t="shared" si="111"/>
        <v>221985</v>
      </c>
      <c r="E410" s="50">
        <f t="shared" si="112"/>
        <v>230539</v>
      </c>
      <c r="F410" s="51">
        <f t="shared" si="113"/>
        <v>566242</v>
      </c>
      <c r="G410" s="51">
        <f t="shared" si="114"/>
        <v>280173</v>
      </c>
      <c r="H410" s="52">
        <f t="shared" si="115"/>
        <v>286069</v>
      </c>
      <c r="I410" s="52">
        <f t="shared" si="116"/>
        <v>221985</v>
      </c>
      <c r="J410" s="52">
        <f t="shared" si="117"/>
        <v>230539</v>
      </c>
      <c r="K410" s="49">
        <f t="shared" si="118"/>
        <v>58188</v>
      </c>
      <c r="L410" s="50">
        <f t="shared" si="119"/>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c r="A411" s="31" t="s">
        <v>81</v>
      </c>
      <c r="B411" s="1" t="s">
        <v>479</v>
      </c>
      <c r="C411" s="30" t="str">
        <f t="shared" si="120"/>
        <v>LA England - Shropshire</v>
      </c>
      <c r="D411" s="50">
        <f t="shared" si="111"/>
        <v>131142</v>
      </c>
      <c r="E411" s="50">
        <f t="shared" si="112"/>
        <v>137200</v>
      </c>
      <c r="F411" s="51">
        <f t="shared" si="113"/>
        <v>327178</v>
      </c>
      <c r="G411" s="51">
        <f t="shared" si="114"/>
        <v>161354</v>
      </c>
      <c r="H411" s="52">
        <f t="shared" si="115"/>
        <v>165824</v>
      </c>
      <c r="I411" s="52">
        <f t="shared" si="116"/>
        <v>131142</v>
      </c>
      <c r="J411" s="52">
        <f t="shared" si="117"/>
        <v>137200</v>
      </c>
      <c r="K411" s="49">
        <f t="shared" si="118"/>
        <v>30212</v>
      </c>
      <c r="L411" s="50">
        <f t="shared" si="119"/>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c r="A412" s="31" t="s">
        <v>81</v>
      </c>
      <c r="B412" s="1" t="s">
        <v>480</v>
      </c>
      <c r="C412" s="30" t="str">
        <f t="shared" si="120"/>
        <v>LA England - Slough</v>
      </c>
      <c r="D412" s="50">
        <f t="shared" si="111"/>
        <v>56441</v>
      </c>
      <c r="E412" s="50">
        <f t="shared" si="112"/>
        <v>58435</v>
      </c>
      <c r="F412" s="51">
        <f t="shared" si="113"/>
        <v>159182</v>
      </c>
      <c r="G412" s="51">
        <f t="shared" si="114"/>
        <v>78924</v>
      </c>
      <c r="H412" s="52">
        <f t="shared" si="115"/>
        <v>80258</v>
      </c>
      <c r="I412" s="52">
        <f t="shared" si="116"/>
        <v>56441</v>
      </c>
      <c r="J412" s="52">
        <f t="shared" si="117"/>
        <v>58435</v>
      </c>
      <c r="K412" s="49">
        <f t="shared" si="118"/>
        <v>22483</v>
      </c>
      <c r="L412" s="50">
        <f t="shared" si="119"/>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c r="A413" s="31" t="s">
        <v>81</v>
      </c>
      <c r="B413" s="1" t="s">
        <v>481</v>
      </c>
      <c r="C413" s="30" t="str">
        <f t="shared" si="120"/>
        <v>LA England - Solihull</v>
      </c>
      <c r="D413" s="50">
        <f t="shared" si="111"/>
        <v>81126</v>
      </c>
      <c r="E413" s="50">
        <f t="shared" si="112"/>
        <v>88740</v>
      </c>
      <c r="F413" s="51">
        <f t="shared" si="113"/>
        <v>217678</v>
      </c>
      <c r="G413" s="51">
        <f t="shared" si="114"/>
        <v>105819</v>
      </c>
      <c r="H413" s="52">
        <f t="shared" si="115"/>
        <v>111859</v>
      </c>
      <c r="I413" s="52">
        <f t="shared" si="116"/>
        <v>81126</v>
      </c>
      <c r="J413" s="52">
        <f t="shared" si="117"/>
        <v>88740</v>
      </c>
      <c r="K413" s="49">
        <f t="shared" si="118"/>
        <v>24693</v>
      </c>
      <c r="L413" s="50">
        <f t="shared" si="119"/>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c r="A414" s="31" t="s">
        <v>81</v>
      </c>
      <c r="B414" s="1" t="s">
        <v>482</v>
      </c>
      <c r="C414" s="30" t="str">
        <f t="shared" si="120"/>
        <v>LA England - Somerset</v>
      </c>
      <c r="D414" s="50">
        <f t="shared" si="111"/>
        <v>225653</v>
      </c>
      <c r="E414" s="50">
        <f t="shared" si="112"/>
        <v>240687</v>
      </c>
      <c r="F414" s="51">
        <f t="shared" si="113"/>
        <v>576852</v>
      </c>
      <c r="G414" s="51">
        <f t="shared" si="114"/>
        <v>282176</v>
      </c>
      <c r="H414" s="52">
        <f t="shared" si="115"/>
        <v>294676</v>
      </c>
      <c r="I414" s="52">
        <f t="shared" si="116"/>
        <v>225653</v>
      </c>
      <c r="J414" s="52">
        <f t="shared" si="117"/>
        <v>240687</v>
      </c>
      <c r="K414" s="49">
        <f t="shared" si="118"/>
        <v>56523</v>
      </c>
      <c r="L414" s="50">
        <f t="shared" si="119"/>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c r="A415" s="31" t="s">
        <v>81</v>
      </c>
      <c r="B415" s="1" t="s">
        <v>483</v>
      </c>
      <c r="C415" s="30" t="str">
        <f t="shared" si="120"/>
        <v>LA England - South Cambridgeshire</v>
      </c>
      <c r="D415" s="50">
        <f t="shared" si="111"/>
        <v>62452</v>
      </c>
      <c r="E415" s="50">
        <f t="shared" si="112"/>
        <v>66468</v>
      </c>
      <c r="F415" s="51">
        <f t="shared" si="113"/>
        <v>165633</v>
      </c>
      <c r="G415" s="51">
        <f t="shared" si="114"/>
        <v>81130</v>
      </c>
      <c r="H415" s="52">
        <f t="shared" si="115"/>
        <v>84503</v>
      </c>
      <c r="I415" s="52">
        <f t="shared" si="116"/>
        <v>62452</v>
      </c>
      <c r="J415" s="52">
        <f t="shared" si="117"/>
        <v>66468</v>
      </c>
      <c r="K415" s="49">
        <f t="shared" si="118"/>
        <v>18678</v>
      </c>
      <c r="L415" s="50">
        <f t="shared" si="119"/>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c r="A416" s="31" t="s">
        <v>81</v>
      </c>
      <c r="B416" s="1" t="s">
        <v>484</v>
      </c>
      <c r="C416" s="30" t="str">
        <f t="shared" si="120"/>
        <v>LA England - South Derbyshire</v>
      </c>
      <c r="D416" s="50">
        <f t="shared" si="111"/>
        <v>42386</v>
      </c>
      <c r="E416" s="50">
        <f t="shared" si="112"/>
        <v>45156</v>
      </c>
      <c r="F416" s="51">
        <f t="shared" si="113"/>
        <v>111133</v>
      </c>
      <c r="G416" s="51">
        <f t="shared" si="114"/>
        <v>54368</v>
      </c>
      <c r="H416" s="52">
        <f t="shared" si="115"/>
        <v>56765</v>
      </c>
      <c r="I416" s="52">
        <f t="shared" si="116"/>
        <v>42386</v>
      </c>
      <c r="J416" s="52">
        <f t="shared" si="117"/>
        <v>45156</v>
      </c>
      <c r="K416" s="49">
        <f t="shared" si="118"/>
        <v>11982</v>
      </c>
      <c r="L416" s="50">
        <f t="shared" si="119"/>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c r="A417" s="31" t="s">
        <v>81</v>
      </c>
      <c r="B417" s="1" t="s">
        <v>485</v>
      </c>
      <c r="C417" s="30" t="str">
        <f t="shared" si="120"/>
        <v>LA England - South Gloucestershire</v>
      </c>
      <c r="D417" s="50">
        <f t="shared" si="111"/>
        <v>115036</v>
      </c>
      <c r="E417" s="50">
        <f t="shared" si="112"/>
        <v>119572</v>
      </c>
      <c r="F417" s="51">
        <f t="shared" si="113"/>
        <v>294765</v>
      </c>
      <c r="G417" s="51">
        <f t="shared" si="114"/>
        <v>145963</v>
      </c>
      <c r="H417" s="52">
        <f t="shared" si="115"/>
        <v>148802</v>
      </c>
      <c r="I417" s="52">
        <f t="shared" si="116"/>
        <v>115036</v>
      </c>
      <c r="J417" s="52">
        <f t="shared" si="117"/>
        <v>119572</v>
      </c>
      <c r="K417" s="49">
        <f t="shared" si="118"/>
        <v>30927</v>
      </c>
      <c r="L417" s="50">
        <f t="shared" si="119"/>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c r="A418" s="31" t="s">
        <v>81</v>
      </c>
      <c r="B418" s="1" t="s">
        <v>486</v>
      </c>
      <c r="C418" s="30" t="str">
        <f t="shared" si="120"/>
        <v>LA England - South Hams</v>
      </c>
      <c r="D418" s="50">
        <f t="shared" si="111"/>
        <v>35333</v>
      </c>
      <c r="E418" s="50">
        <f t="shared" si="112"/>
        <v>38702</v>
      </c>
      <c r="F418" s="51">
        <f t="shared" si="113"/>
        <v>89812</v>
      </c>
      <c r="G418" s="51">
        <f t="shared" si="114"/>
        <v>43356</v>
      </c>
      <c r="H418" s="52">
        <f t="shared" si="115"/>
        <v>46456</v>
      </c>
      <c r="I418" s="52">
        <f t="shared" si="116"/>
        <v>35333</v>
      </c>
      <c r="J418" s="52">
        <f t="shared" si="117"/>
        <v>38702</v>
      </c>
      <c r="K418" s="49">
        <f t="shared" si="118"/>
        <v>8023</v>
      </c>
      <c r="L418" s="50">
        <f t="shared" si="119"/>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c r="A419" s="31" t="s">
        <v>81</v>
      </c>
      <c r="B419" s="1" t="s">
        <v>487</v>
      </c>
      <c r="C419" s="30" t="str">
        <f t="shared" si="120"/>
        <v>LA England - South Holland</v>
      </c>
      <c r="D419" s="50">
        <f t="shared" si="111"/>
        <v>38009</v>
      </c>
      <c r="E419" s="50">
        <f t="shared" si="112"/>
        <v>40343</v>
      </c>
      <c r="F419" s="51">
        <f t="shared" si="113"/>
        <v>96983</v>
      </c>
      <c r="G419" s="51">
        <f t="shared" si="114"/>
        <v>47572</v>
      </c>
      <c r="H419" s="52">
        <f t="shared" si="115"/>
        <v>49411</v>
      </c>
      <c r="I419" s="52">
        <f t="shared" si="116"/>
        <v>38009</v>
      </c>
      <c r="J419" s="52">
        <f t="shared" si="117"/>
        <v>40343</v>
      </c>
      <c r="K419" s="49">
        <f t="shared" si="118"/>
        <v>9563</v>
      </c>
      <c r="L419" s="50">
        <f t="shared" si="119"/>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c r="A420" s="31" t="s">
        <v>81</v>
      </c>
      <c r="B420" s="1" t="s">
        <v>488</v>
      </c>
      <c r="C420" s="30" t="str">
        <f t="shared" si="120"/>
        <v>LA England - South Kesteven</v>
      </c>
      <c r="D420" s="50">
        <f t="shared" si="111"/>
        <v>55210</v>
      </c>
      <c r="E420" s="50">
        <f t="shared" si="112"/>
        <v>60301</v>
      </c>
      <c r="F420" s="51">
        <f t="shared" si="113"/>
        <v>144249</v>
      </c>
      <c r="G420" s="51">
        <f t="shared" si="114"/>
        <v>69829</v>
      </c>
      <c r="H420" s="52">
        <f t="shared" si="115"/>
        <v>74420</v>
      </c>
      <c r="I420" s="52">
        <f t="shared" si="116"/>
        <v>55210</v>
      </c>
      <c r="J420" s="52">
        <f t="shared" si="117"/>
        <v>60301</v>
      </c>
      <c r="K420" s="49">
        <f t="shared" si="118"/>
        <v>14619</v>
      </c>
      <c r="L420" s="50">
        <f t="shared" si="119"/>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c r="A421" s="31" t="s">
        <v>81</v>
      </c>
      <c r="B421" s="1" t="s">
        <v>489</v>
      </c>
      <c r="C421" s="30" t="str">
        <f t="shared" si="120"/>
        <v>LA England - South Norfolk</v>
      </c>
      <c r="D421" s="50">
        <f t="shared" si="111"/>
        <v>55945</v>
      </c>
      <c r="E421" s="50">
        <f t="shared" si="112"/>
        <v>60231</v>
      </c>
      <c r="F421" s="51">
        <f t="shared" si="113"/>
        <v>144593</v>
      </c>
      <c r="G421" s="51">
        <f t="shared" si="114"/>
        <v>70458</v>
      </c>
      <c r="H421" s="52">
        <f t="shared" si="115"/>
        <v>74135</v>
      </c>
      <c r="I421" s="52">
        <f t="shared" si="116"/>
        <v>55945</v>
      </c>
      <c r="J421" s="52">
        <f t="shared" si="117"/>
        <v>60231</v>
      </c>
      <c r="K421" s="49">
        <f t="shared" si="118"/>
        <v>14513</v>
      </c>
      <c r="L421" s="50">
        <f t="shared" si="119"/>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c r="A422" s="31" t="s">
        <v>81</v>
      </c>
      <c r="B422" s="1" t="s">
        <v>490</v>
      </c>
      <c r="C422" s="30" t="str">
        <f t="shared" si="120"/>
        <v>LA England - South Oxfordshire</v>
      </c>
      <c r="D422" s="50">
        <f t="shared" si="111"/>
        <v>58831</v>
      </c>
      <c r="E422" s="50">
        <f t="shared" si="112"/>
        <v>61584</v>
      </c>
      <c r="F422" s="51">
        <f t="shared" si="113"/>
        <v>151820</v>
      </c>
      <c r="G422" s="51">
        <f t="shared" si="114"/>
        <v>74852</v>
      </c>
      <c r="H422" s="52">
        <f t="shared" si="115"/>
        <v>76968</v>
      </c>
      <c r="I422" s="52">
        <f t="shared" si="116"/>
        <v>58831</v>
      </c>
      <c r="J422" s="52">
        <f t="shared" si="117"/>
        <v>61584</v>
      </c>
      <c r="K422" s="49">
        <f t="shared" si="118"/>
        <v>16021</v>
      </c>
      <c r="L422" s="50">
        <f t="shared" si="119"/>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c r="A423" s="31" t="s">
        <v>81</v>
      </c>
      <c r="B423" s="1" t="s">
        <v>491</v>
      </c>
      <c r="C423" s="30" t="str">
        <f t="shared" si="120"/>
        <v>LA England - South Ribble</v>
      </c>
      <c r="D423" s="50">
        <f t="shared" si="111"/>
        <v>43597</v>
      </c>
      <c r="E423" s="50">
        <f t="shared" si="112"/>
        <v>46503</v>
      </c>
      <c r="F423" s="51">
        <f t="shared" si="113"/>
        <v>112166</v>
      </c>
      <c r="G423" s="51">
        <f t="shared" si="114"/>
        <v>54874</v>
      </c>
      <c r="H423" s="52">
        <f t="shared" si="115"/>
        <v>57292</v>
      </c>
      <c r="I423" s="52">
        <f t="shared" si="116"/>
        <v>43597</v>
      </c>
      <c r="J423" s="52">
        <f t="shared" si="117"/>
        <v>46503</v>
      </c>
      <c r="K423" s="49">
        <f t="shared" si="118"/>
        <v>11277</v>
      </c>
      <c r="L423" s="50">
        <f t="shared" si="119"/>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c r="A424" s="31" t="s">
        <v>81</v>
      </c>
      <c r="B424" s="1" t="s">
        <v>492</v>
      </c>
      <c r="C424" s="30" t="str">
        <f t="shared" si="120"/>
        <v>LA England - South Staffordshire</v>
      </c>
      <c r="D424" s="50">
        <f t="shared" si="111"/>
        <v>45750</v>
      </c>
      <c r="E424" s="50">
        <f t="shared" si="112"/>
        <v>46074</v>
      </c>
      <c r="F424" s="51">
        <f t="shared" si="113"/>
        <v>111527</v>
      </c>
      <c r="G424" s="51">
        <f t="shared" si="114"/>
        <v>55746</v>
      </c>
      <c r="H424" s="52">
        <f t="shared" si="115"/>
        <v>55781</v>
      </c>
      <c r="I424" s="52">
        <f t="shared" si="116"/>
        <v>45750</v>
      </c>
      <c r="J424" s="52">
        <f t="shared" si="117"/>
        <v>46074</v>
      </c>
      <c r="K424" s="49">
        <f t="shared" si="118"/>
        <v>9996</v>
      </c>
      <c r="L424" s="50">
        <f t="shared" si="119"/>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c r="A425" s="31" t="s">
        <v>81</v>
      </c>
      <c r="B425" s="1" t="s">
        <v>493</v>
      </c>
      <c r="C425" s="30" t="str">
        <f t="shared" si="120"/>
        <v>LA England - South Tyneside</v>
      </c>
      <c r="D425" s="50">
        <f t="shared" si="111"/>
        <v>56904</v>
      </c>
      <c r="E425" s="50">
        <f t="shared" si="112"/>
        <v>61816</v>
      </c>
      <c r="F425" s="51">
        <f t="shared" si="113"/>
        <v>148667</v>
      </c>
      <c r="G425" s="51">
        <f t="shared" si="114"/>
        <v>72355</v>
      </c>
      <c r="H425" s="52">
        <f t="shared" si="115"/>
        <v>76312</v>
      </c>
      <c r="I425" s="52">
        <f t="shared" si="116"/>
        <v>56904</v>
      </c>
      <c r="J425" s="52">
        <f t="shared" si="117"/>
        <v>61816</v>
      </c>
      <c r="K425" s="49">
        <f t="shared" si="118"/>
        <v>15451</v>
      </c>
      <c r="L425" s="50">
        <f t="shared" si="119"/>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c r="A426" s="31" t="s">
        <v>81</v>
      </c>
      <c r="B426" s="1" t="s">
        <v>494</v>
      </c>
      <c r="C426" s="30" t="str">
        <f t="shared" si="120"/>
        <v>LA England - Southampton</v>
      </c>
      <c r="D426" s="50">
        <f t="shared" si="111"/>
        <v>100951</v>
      </c>
      <c r="E426" s="50">
        <f t="shared" si="112"/>
        <v>101874</v>
      </c>
      <c r="F426" s="51">
        <f t="shared" si="113"/>
        <v>252689</v>
      </c>
      <c r="G426" s="51">
        <f t="shared" si="114"/>
        <v>126412</v>
      </c>
      <c r="H426" s="52">
        <f t="shared" si="115"/>
        <v>126277</v>
      </c>
      <c r="I426" s="52">
        <f t="shared" si="116"/>
        <v>100951</v>
      </c>
      <c r="J426" s="52">
        <f t="shared" si="117"/>
        <v>101874</v>
      </c>
      <c r="K426" s="49">
        <f t="shared" si="118"/>
        <v>25461</v>
      </c>
      <c r="L426" s="50">
        <f t="shared" si="119"/>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c r="A427" s="31" t="s">
        <v>81</v>
      </c>
      <c r="B427" s="1" t="s">
        <v>495</v>
      </c>
      <c r="C427" s="30" t="str">
        <f t="shared" si="120"/>
        <v>LA England - Southend-on-Sea</v>
      </c>
      <c r="D427" s="50">
        <f t="shared" si="111"/>
        <v>68646</v>
      </c>
      <c r="E427" s="50">
        <f t="shared" si="112"/>
        <v>73948</v>
      </c>
      <c r="F427" s="51">
        <f t="shared" si="113"/>
        <v>180915</v>
      </c>
      <c r="G427" s="51">
        <f t="shared" si="114"/>
        <v>88198</v>
      </c>
      <c r="H427" s="52">
        <f t="shared" si="115"/>
        <v>92717</v>
      </c>
      <c r="I427" s="52">
        <f t="shared" si="116"/>
        <v>68646</v>
      </c>
      <c r="J427" s="52">
        <f t="shared" si="117"/>
        <v>73948</v>
      </c>
      <c r="K427" s="49">
        <f t="shared" si="118"/>
        <v>19552</v>
      </c>
      <c r="L427" s="50">
        <f t="shared" si="119"/>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c r="A428" s="31" t="s">
        <v>81</v>
      </c>
      <c r="B428" s="1" t="s">
        <v>496</v>
      </c>
      <c r="C428" s="30" t="str">
        <f t="shared" si="120"/>
        <v>LA England - Southwark</v>
      </c>
      <c r="D428" s="50">
        <f t="shared" si="111"/>
        <v>122213</v>
      </c>
      <c r="E428" s="50">
        <f t="shared" si="112"/>
        <v>132671</v>
      </c>
      <c r="F428" s="51">
        <f t="shared" si="113"/>
        <v>311913</v>
      </c>
      <c r="G428" s="51">
        <f t="shared" si="114"/>
        <v>151277</v>
      </c>
      <c r="H428" s="52">
        <f t="shared" si="115"/>
        <v>160636</v>
      </c>
      <c r="I428" s="52">
        <f t="shared" si="116"/>
        <v>122213</v>
      </c>
      <c r="J428" s="52">
        <f t="shared" si="117"/>
        <v>132671</v>
      </c>
      <c r="K428" s="49">
        <f t="shared" si="118"/>
        <v>29064</v>
      </c>
      <c r="L428" s="50">
        <f t="shared" si="119"/>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c r="A429" s="31" t="s">
        <v>81</v>
      </c>
      <c r="B429" s="1" t="s">
        <v>497</v>
      </c>
      <c r="C429" s="30" t="str">
        <f t="shared" si="120"/>
        <v>LA England - Spelthorne</v>
      </c>
      <c r="D429" s="50">
        <f t="shared" si="111"/>
        <v>39462</v>
      </c>
      <c r="E429" s="50">
        <f t="shared" si="112"/>
        <v>41979</v>
      </c>
      <c r="F429" s="51">
        <f t="shared" si="113"/>
        <v>103551</v>
      </c>
      <c r="G429" s="51">
        <f t="shared" si="114"/>
        <v>50846</v>
      </c>
      <c r="H429" s="52">
        <f t="shared" si="115"/>
        <v>52705</v>
      </c>
      <c r="I429" s="52">
        <f t="shared" si="116"/>
        <v>39462</v>
      </c>
      <c r="J429" s="52">
        <f t="shared" si="117"/>
        <v>41979</v>
      </c>
      <c r="K429" s="49">
        <f t="shared" si="118"/>
        <v>11384</v>
      </c>
      <c r="L429" s="50">
        <f t="shared" si="119"/>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c r="A430" s="31" t="s">
        <v>81</v>
      </c>
      <c r="B430" s="1" t="s">
        <v>498</v>
      </c>
      <c r="C430" s="30" t="str">
        <f t="shared" si="120"/>
        <v>LA England - St Albans</v>
      </c>
      <c r="D430" s="50">
        <f t="shared" si="111"/>
        <v>53988</v>
      </c>
      <c r="E430" s="50">
        <f t="shared" si="112"/>
        <v>58356</v>
      </c>
      <c r="F430" s="51">
        <f t="shared" si="113"/>
        <v>148358</v>
      </c>
      <c r="G430" s="51">
        <f t="shared" si="114"/>
        <v>72473</v>
      </c>
      <c r="H430" s="52">
        <f t="shared" si="115"/>
        <v>75885</v>
      </c>
      <c r="I430" s="52">
        <f t="shared" si="116"/>
        <v>53988</v>
      </c>
      <c r="J430" s="52">
        <f t="shared" si="117"/>
        <v>58356</v>
      </c>
      <c r="K430" s="49">
        <f t="shared" si="118"/>
        <v>18485</v>
      </c>
      <c r="L430" s="50">
        <f t="shared" si="119"/>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c r="A431" s="31" t="s">
        <v>81</v>
      </c>
      <c r="B431" s="1" t="s">
        <v>499</v>
      </c>
      <c r="C431" s="30" t="str">
        <f t="shared" si="120"/>
        <v>LA England - St. Helens</v>
      </c>
      <c r="D431" s="50">
        <f t="shared" si="111"/>
        <v>71708</v>
      </c>
      <c r="E431" s="50">
        <f t="shared" si="112"/>
        <v>76120</v>
      </c>
      <c r="F431" s="51">
        <f t="shared" si="113"/>
        <v>184728</v>
      </c>
      <c r="G431" s="51">
        <f t="shared" si="114"/>
        <v>90663</v>
      </c>
      <c r="H431" s="52">
        <f t="shared" si="115"/>
        <v>94065</v>
      </c>
      <c r="I431" s="52">
        <f t="shared" si="116"/>
        <v>71708</v>
      </c>
      <c r="J431" s="52">
        <f t="shared" si="117"/>
        <v>76120</v>
      </c>
      <c r="K431" s="49">
        <f t="shared" si="118"/>
        <v>18955</v>
      </c>
      <c r="L431" s="50">
        <f t="shared" si="119"/>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c r="A432" s="31" t="s">
        <v>81</v>
      </c>
      <c r="B432" s="1" t="s">
        <v>500</v>
      </c>
      <c r="C432" s="30" t="str">
        <f t="shared" si="120"/>
        <v>LA England - Stafford</v>
      </c>
      <c r="D432" s="50">
        <f t="shared" si="111"/>
        <v>54925</v>
      </c>
      <c r="E432" s="50">
        <f t="shared" si="112"/>
        <v>57357</v>
      </c>
      <c r="F432" s="51">
        <f t="shared" si="113"/>
        <v>138670</v>
      </c>
      <c r="G432" s="51">
        <f t="shared" si="114"/>
        <v>68380</v>
      </c>
      <c r="H432" s="52">
        <f t="shared" si="115"/>
        <v>70290</v>
      </c>
      <c r="I432" s="52">
        <f t="shared" si="116"/>
        <v>54925</v>
      </c>
      <c r="J432" s="52">
        <f t="shared" si="117"/>
        <v>57357</v>
      </c>
      <c r="K432" s="49">
        <f t="shared" si="118"/>
        <v>13455</v>
      </c>
      <c r="L432" s="50">
        <f t="shared" si="119"/>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c r="A433" s="31" t="s">
        <v>81</v>
      </c>
      <c r="B433" s="1" t="s">
        <v>501</v>
      </c>
      <c r="C433" s="30" t="str">
        <f t="shared" si="120"/>
        <v>LA England - Staffordshire Moorlands</v>
      </c>
      <c r="D433" s="50">
        <f t="shared" si="111"/>
        <v>38487</v>
      </c>
      <c r="E433" s="50">
        <f t="shared" si="112"/>
        <v>40418</v>
      </c>
      <c r="F433" s="51">
        <f t="shared" si="113"/>
        <v>95899</v>
      </c>
      <c r="G433" s="51">
        <f t="shared" si="114"/>
        <v>47233</v>
      </c>
      <c r="H433" s="52">
        <f t="shared" si="115"/>
        <v>48666</v>
      </c>
      <c r="I433" s="52">
        <f t="shared" si="116"/>
        <v>38487</v>
      </c>
      <c r="J433" s="52">
        <f t="shared" si="117"/>
        <v>40418</v>
      </c>
      <c r="K433" s="49">
        <f t="shared" si="118"/>
        <v>8746</v>
      </c>
      <c r="L433" s="50">
        <f t="shared" si="119"/>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c r="A434" s="31" t="s">
        <v>81</v>
      </c>
      <c r="B434" s="1" t="s">
        <v>502</v>
      </c>
      <c r="C434" s="30" t="str">
        <f t="shared" si="120"/>
        <v>LA England - Stevenage</v>
      </c>
      <c r="D434" s="50">
        <f t="shared" si="111"/>
        <v>33692</v>
      </c>
      <c r="E434" s="50">
        <f t="shared" si="112"/>
        <v>35549</v>
      </c>
      <c r="F434" s="51">
        <f t="shared" si="113"/>
        <v>89737</v>
      </c>
      <c r="G434" s="51">
        <f t="shared" si="114"/>
        <v>44356</v>
      </c>
      <c r="H434" s="52">
        <f t="shared" si="115"/>
        <v>45381</v>
      </c>
      <c r="I434" s="52">
        <f t="shared" si="116"/>
        <v>33692</v>
      </c>
      <c r="J434" s="52">
        <f t="shared" si="117"/>
        <v>35549</v>
      </c>
      <c r="K434" s="49">
        <f t="shared" si="118"/>
        <v>10664</v>
      </c>
      <c r="L434" s="50">
        <f t="shared" si="119"/>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c r="A435" s="31" t="s">
        <v>81</v>
      </c>
      <c r="B435" s="1" t="s">
        <v>503</v>
      </c>
      <c r="C435" s="30" t="str">
        <f t="shared" si="120"/>
        <v>LA England - Stockport</v>
      </c>
      <c r="D435" s="50">
        <f t="shared" si="111"/>
        <v>112123</v>
      </c>
      <c r="E435" s="50">
        <f t="shared" si="112"/>
        <v>121529</v>
      </c>
      <c r="F435" s="51">
        <f t="shared" si="113"/>
        <v>297107</v>
      </c>
      <c r="G435" s="51">
        <f t="shared" si="114"/>
        <v>144724</v>
      </c>
      <c r="H435" s="52">
        <f t="shared" si="115"/>
        <v>152383</v>
      </c>
      <c r="I435" s="52">
        <f t="shared" si="116"/>
        <v>112123</v>
      </c>
      <c r="J435" s="52">
        <f t="shared" si="117"/>
        <v>121529</v>
      </c>
      <c r="K435" s="49">
        <f t="shared" si="118"/>
        <v>32601</v>
      </c>
      <c r="L435" s="50">
        <f t="shared" si="119"/>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c r="A436" s="31" t="s">
        <v>81</v>
      </c>
      <c r="B436" s="1" t="s">
        <v>504</v>
      </c>
      <c r="C436" s="30" t="str">
        <f t="shared" si="120"/>
        <v>LA England - Stockton-on-Tees</v>
      </c>
      <c r="D436" s="50">
        <f t="shared" si="111"/>
        <v>76156</v>
      </c>
      <c r="E436" s="50">
        <f t="shared" si="112"/>
        <v>80008</v>
      </c>
      <c r="F436" s="51">
        <f t="shared" si="113"/>
        <v>199966</v>
      </c>
      <c r="G436" s="51">
        <f t="shared" si="114"/>
        <v>98511</v>
      </c>
      <c r="H436" s="52">
        <f t="shared" si="115"/>
        <v>101455</v>
      </c>
      <c r="I436" s="52">
        <f t="shared" si="116"/>
        <v>76156</v>
      </c>
      <c r="J436" s="52">
        <f t="shared" si="117"/>
        <v>80008</v>
      </c>
      <c r="K436" s="49">
        <f t="shared" si="118"/>
        <v>22355</v>
      </c>
      <c r="L436" s="50">
        <f t="shared" si="119"/>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c r="A437" s="31" t="s">
        <v>81</v>
      </c>
      <c r="B437" s="1" t="s">
        <v>505</v>
      </c>
      <c r="C437" s="30" t="str">
        <f t="shared" si="120"/>
        <v>LA England - Stoke-on-Trent</v>
      </c>
      <c r="D437" s="50">
        <f t="shared" si="111"/>
        <v>99573</v>
      </c>
      <c r="E437" s="50">
        <f t="shared" si="112"/>
        <v>101147</v>
      </c>
      <c r="F437" s="51">
        <f t="shared" si="113"/>
        <v>259965</v>
      </c>
      <c r="G437" s="51">
        <f t="shared" si="114"/>
        <v>129616</v>
      </c>
      <c r="H437" s="52">
        <f t="shared" si="115"/>
        <v>130349</v>
      </c>
      <c r="I437" s="52">
        <f t="shared" si="116"/>
        <v>99573</v>
      </c>
      <c r="J437" s="52">
        <f t="shared" si="117"/>
        <v>101147</v>
      </c>
      <c r="K437" s="49">
        <f t="shared" si="118"/>
        <v>30043</v>
      </c>
      <c r="L437" s="50">
        <f t="shared" si="119"/>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c r="A438" s="31" t="s">
        <v>81</v>
      </c>
      <c r="B438" s="1" t="s">
        <v>506</v>
      </c>
      <c r="C438" s="30" t="str">
        <f t="shared" si="120"/>
        <v>LA England - Stratford-on-Avon</v>
      </c>
      <c r="D438" s="50">
        <f t="shared" si="111"/>
        <v>54171</v>
      </c>
      <c r="E438" s="50">
        <f t="shared" si="112"/>
        <v>58699</v>
      </c>
      <c r="F438" s="51">
        <f t="shared" si="113"/>
        <v>138583</v>
      </c>
      <c r="G438" s="51">
        <f t="shared" si="114"/>
        <v>67296</v>
      </c>
      <c r="H438" s="52">
        <f t="shared" si="115"/>
        <v>71287</v>
      </c>
      <c r="I438" s="52">
        <f t="shared" si="116"/>
        <v>54171</v>
      </c>
      <c r="J438" s="52">
        <f t="shared" si="117"/>
        <v>58699</v>
      </c>
      <c r="K438" s="49">
        <f t="shared" si="118"/>
        <v>13125</v>
      </c>
      <c r="L438" s="50">
        <f t="shared" si="119"/>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c r="A439" s="31" t="s">
        <v>81</v>
      </c>
      <c r="B439" s="1" t="s">
        <v>507</v>
      </c>
      <c r="C439" s="30" t="str">
        <f t="shared" si="120"/>
        <v>LA England - Stroud</v>
      </c>
      <c r="D439" s="50">
        <f t="shared" si="111"/>
        <v>47896</v>
      </c>
      <c r="E439" s="50">
        <f t="shared" si="112"/>
        <v>51332</v>
      </c>
      <c r="F439" s="51">
        <f t="shared" si="113"/>
        <v>123205</v>
      </c>
      <c r="G439" s="51">
        <f t="shared" si="114"/>
        <v>60231</v>
      </c>
      <c r="H439" s="52">
        <f t="shared" si="115"/>
        <v>62974</v>
      </c>
      <c r="I439" s="52">
        <f t="shared" si="116"/>
        <v>47896</v>
      </c>
      <c r="J439" s="52">
        <f t="shared" si="117"/>
        <v>51332</v>
      </c>
      <c r="K439" s="49">
        <f t="shared" si="118"/>
        <v>12335</v>
      </c>
      <c r="L439" s="50">
        <f t="shared" si="119"/>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c r="A440" s="31" t="s">
        <v>81</v>
      </c>
      <c r="B440" s="1" t="s">
        <v>508</v>
      </c>
      <c r="C440" s="30" t="str">
        <f t="shared" si="120"/>
        <v>LA England - Sunderland</v>
      </c>
      <c r="D440" s="50">
        <f t="shared" si="111"/>
        <v>106856</v>
      </c>
      <c r="E440" s="50">
        <f t="shared" si="112"/>
        <v>115417</v>
      </c>
      <c r="F440" s="51">
        <f t="shared" si="113"/>
        <v>277354</v>
      </c>
      <c r="G440" s="51">
        <f t="shared" si="114"/>
        <v>135038</v>
      </c>
      <c r="H440" s="52">
        <f t="shared" si="115"/>
        <v>142316</v>
      </c>
      <c r="I440" s="52">
        <f t="shared" si="116"/>
        <v>106856</v>
      </c>
      <c r="J440" s="52">
        <f t="shared" si="117"/>
        <v>115417</v>
      </c>
      <c r="K440" s="49">
        <f t="shared" si="118"/>
        <v>28182</v>
      </c>
      <c r="L440" s="50">
        <f t="shared" si="119"/>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c r="A441" s="31" t="s">
        <v>81</v>
      </c>
      <c r="B441" s="1" t="s">
        <v>509</v>
      </c>
      <c r="C441" s="30" t="str">
        <f t="shared" si="120"/>
        <v>LA England - Surrey Heath</v>
      </c>
      <c r="D441" s="50">
        <f t="shared" si="111"/>
        <v>35098</v>
      </c>
      <c r="E441" s="50">
        <f t="shared" si="112"/>
        <v>37088</v>
      </c>
      <c r="F441" s="51">
        <f t="shared" si="113"/>
        <v>91237</v>
      </c>
      <c r="G441" s="51">
        <f t="shared" si="114"/>
        <v>44936</v>
      </c>
      <c r="H441" s="52">
        <f t="shared" si="115"/>
        <v>46301</v>
      </c>
      <c r="I441" s="52">
        <f t="shared" si="116"/>
        <v>35098</v>
      </c>
      <c r="J441" s="52">
        <f t="shared" si="117"/>
        <v>37088</v>
      </c>
      <c r="K441" s="49">
        <f t="shared" si="118"/>
        <v>9838</v>
      </c>
      <c r="L441" s="50">
        <f t="shared" si="119"/>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c r="A442" s="31" t="s">
        <v>81</v>
      </c>
      <c r="B442" s="1" t="s">
        <v>510</v>
      </c>
      <c r="C442" s="30" t="str">
        <f t="shared" si="120"/>
        <v>LA England - Sutton</v>
      </c>
      <c r="D442" s="50">
        <f t="shared" si="111"/>
        <v>76298</v>
      </c>
      <c r="E442" s="50">
        <f t="shared" si="112"/>
        <v>84273</v>
      </c>
      <c r="F442" s="51">
        <f t="shared" si="113"/>
        <v>210053</v>
      </c>
      <c r="G442" s="51">
        <f t="shared" si="114"/>
        <v>101742</v>
      </c>
      <c r="H442" s="52">
        <f t="shared" si="115"/>
        <v>108311</v>
      </c>
      <c r="I442" s="52">
        <f t="shared" si="116"/>
        <v>76298</v>
      </c>
      <c r="J442" s="52">
        <f t="shared" si="117"/>
        <v>84273</v>
      </c>
      <c r="K442" s="49">
        <f t="shared" si="118"/>
        <v>25444</v>
      </c>
      <c r="L442" s="50">
        <f t="shared" si="119"/>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c r="A443" s="31" t="s">
        <v>81</v>
      </c>
      <c r="B443" s="1" t="s">
        <v>511</v>
      </c>
      <c r="C443" s="30" t="str">
        <f t="shared" si="120"/>
        <v>LA England - Swale</v>
      </c>
      <c r="D443" s="50">
        <f t="shared" si="111"/>
        <v>59250</v>
      </c>
      <c r="E443" s="50">
        <f t="shared" si="112"/>
        <v>61367</v>
      </c>
      <c r="F443" s="51">
        <f t="shared" si="113"/>
        <v>154619</v>
      </c>
      <c r="G443" s="51">
        <f t="shared" si="114"/>
        <v>76731</v>
      </c>
      <c r="H443" s="52">
        <f t="shared" si="115"/>
        <v>77888</v>
      </c>
      <c r="I443" s="52">
        <f t="shared" si="116"/>
        <v>59250</v>
      </c>
      <c r="J443" s="52">
        <f t="shared" si="117"/>
        <v>61367</v>
      </c>
      <c r="K443" s="49">
        <f t="shared" si="118"/>
        <v>17481</v>
      </c>
      <c r="L443" s="50">
        <f t="shared" si="119"/>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c r="A444" s="31" t="s">
        <v>81</v>
      </c>
      <c r="B444" s="1" t="s">
        <v>512</v>
      </c>
      <c r="C444" s="30" t="str">
        <f t="shared" si="120"/>
        <v>LA England - Swindon</v>
      </c>
      <c r="D444" s="50">
        <f t="shared" si="111"/>
        <v>90470</v>
      </c>
      <c r="E444" s="50">
        <f t="shared" si="112"/>
        <v>92993</v>
      </c>
      <c r="F444" s="51">
        <f t="shared" si="113"/>
        <v>235657</v>
      </c>
      <c r="G444" s="51">
        <f t="shared" si="114"/>
        <v>117144</v>
      </c>
      <c r="H444" s="52">
        <f t="shared" si="115"/>
        <v>118513</v>
      </c>
      <c r="I444" s="52">
        <f t="shared" si="116"/>
        <v>90470</v>
      </c>
      <c r="J444" s="52">
        <f t="shared" si="117"/>
        <v>92993</v>
      </c>
      <c r="K444" s="49">
        <f t="shared" si="118"/>
        <v>26674</v>
      </c>
      <c r="L444" s="50">
        <f t="shared" si="119"/>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c r="A445" s="31" t="s">
        <v>81</v>
      </c>
      <c r="B445" s="1" t="s">
        <v>513</v>
      </c>
      <c r="C445" s="30" t="str">
        <f t="shared" si="120"/>
        <v>LA England - Tameside</v>
      </c>
      <c r="D445" s="50">
        <f t="shared" si="111"/>
        <v>87749</v>
      </c>
      <c r="E445" s="50">
        <f t="shared" si="112"/>
        <v>93356</v>
      </c>
      <c r="F445" s="51">
        <f t="shared" si="113"/>
        <v>232753</v>
      </c>
      <c r="G445" s="51">
        <f t="shared" si="114"/>
        <v>114289</v>
      </c>
      <c r="H445" s="52">
        <f t="shared" si="115"/>
        <v>118464</v>
      </c>
      <c r="I445" s="52">
        <f t="shared" si="116"/>
        <v>87749</v>
      </c>
      <c r="J445" s="52">
        <f t="shared" si="117"/>
        <v>93356</v>
      </c>
      <c r="K445" s="49">
        <f t="shared" si="118"/>
        <v>26540</v>
      </c>
      <c r="L445" s="50">
        <f t="shared" si="119"/>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c r="A446" s="31" t="s">
        <v>81</v>
      </c>
      <c r="B446" s="1" t="s">
        <v>514</v>
      </c>
      <c r="C446" s="30" t="str">
        <f t="shared" si="120"/>
        <v>LA England - Tamworth</v>
      </c>
      <c r="D446" s="50">
        <f t="shared" si="111"/>
        <v>30375</v>
      </c>
      <c r="E446" s="50">
        <f t="shared" si="112"/>
        <v>32366</v>
      </c>
      <c r="F446" s="51">
        <f t="shared" si="113"/>
        <v>79639</v>
      </c>
      <c r="G446" s="51">
        <f t="shared" si="114"/>
        <v>39099</v>
      </c>
      <c r="H446" s="52">
        <f t="shared" si="115"/>
        <v>40540</v>
      </c>
      <c r="I446" s="52">
        <f t="shared" si="116"/>
        <v>30375</v>
      </c>
      <c r="J446" s="52">
        <f t="shared" si="117"/>
        <v>32366</v>
      </c>
      <c r="K446" s="49">
        <f t="shared" si="118"/>
        <v>8724</v>
      </c>
      <c r="L446" s="50">
        <f t="shared" si="119"/>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c r="A447" s="31" t="s">
        <v>81</v>
      </c>
      <c r="B447" s="1" t="s">
        <v>515</v>
      </c>
      <c r="C447" s="30" t="str">
        <f t="shared" si="120"/>
        <v>LA England - Tandridge</v>
      </c>
      <c r="D447" s="50">
        <f t="shared" si="111"/>
        <v>32937</v>
      </c>
      <c r="E447" s="50">
        <f t="shared" si="112"/>
        <v>36216</v>
      </c>
      <c r="F447" s="51">
        <f t="shared" si="113"/>
        <v>88707</v>
      </c>
      <c r="G447" s="51">
        <f t="shared" si="114"/>
        <v>42751</v>
      </c>
      <c r="H447" s="52">
        <f t="shared" si="115"/>
        <v>45956</v>
      </c>
      <c r="I447" s="52">
        <f t="shared" si="116"/>
        <v>32937</v>
      </c>
      <c r="J447" s="52">
        <f t="shared" si="117"/>
        <v>36216</v>
      </c>
      <c r="K447" s="49">
        <f t="shared" si="118"/>
        <v>9814</v>
      </c>
      <c r="L447" s="50">
        <f t="shared" si="119"/>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c r="A448" s="31" t="s">
        <v>81</v>
      </c>
      <c r="B448" s="1" t="s">
        <v>516</v>
      </c>
      <c r="C448" s="30" t="str">
        <f t="shared" si="120"/>
        <v>LA England - Teignbridge</v>
      </c>
      <c r="D448" s="50">
        <f t="shared" si="111"/>
        <v>53523</v>
      </c>
      <c r="E448" s="50">
        <f t="shared" si="112"/>
        <v>58246</v>
      </c>
      <c r="F448" s="51">
        <f t="shared" si="113"/>
        <v>135952</v>
      </c>
      <c r="G448" s="51">
        <f t="shared" si="114"/>
        <v>66022</v>
      </c>
      <c r="H448" s="52">
        <f t="shared" si="115"/>
        <v>69930</v>
      </c>
      <c r="I448" s="52">
        <f t="shared" si="116"/>
        <v>53523</v>
      </c>
      <c r="J448" s="52">
        <f t="shared" si="117"/>
        <v>58246</v>
      </c>
      <c r="K448" s="49">
        <f t="shared" si="118"/>
        <v>12499</v>
      </c>
      <c r="L448" s="50">
        <f t="shared" si="119"/>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c r="A449" s="31" t="s">
        <v>81</v>
      </c>
      <c r="B449" s="1" t="s">
        <v>517</v>
      </c>
      <c r="C449" s="30" t="str">
        <f t="shared" si="120"/>
        <v>LA England - Telford and Wrekin</v>
      </c>
      <c r="D449" s="50">
        <f t="shared" si="111"/>
        <v>71191</v>
      </c>
      <c r="E449" s="50">
        <f t="shared" si="112"/>
        <v>75392</v>
      </c>
      <c r="F449" s="51">
        <f t="shared" si="113"/>
        <v>188871</v>
      </c>
      <c r="G449" s="51">
        <f t="shared" si="114"/>
        <v>92843</v>
      </c>
      <c r="H449" s="52">
        <f t="shared" si="115"/>
        <v>96028</v>
      </c>
      <c r="I449" s="52">
        <f t="shared" si="116"/>
        <v>71191</v>
      </c>
      <c r="J449" s="52">
        <f t="shared" si="117"/>
        <v>75392</v>
      </c>
      <c r="K449" s="49">
        <f t="shared" si="118"/>
        <v>21652</v>
      </c>
      <c r="L449" s="50">
        <f t="shared" si="119"/>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c r="A450" s="31" t="s">
        <v>81</v>
      </c>
      <c r="B450" s="1" t="s">
        <v>518</v>
      </c>
      <c r="C450" s="30" t="str">
        <f t="shared" si="120"/>
        <v>LA England - Tendring</v>
      </c>
      <c r="D450" s="50">
        <f t="shared" si="111"/>
        <v>59275</v>
      </c>
      <c r="E450" s="50">
        <f t="shared" si="112"/>
        <v>65302</v>
      </c>
      <c r="F450" s="51">
        <f t="shared" si="113"/>
        <v>151451</v>
      </c>
      <c r="G450" s="51">
        <f t="shared" si="114"/>
        <v>72970</v>
      </c>
      <c r="H450" s="52">
        <f t="shared" si="115"/>
        <v>78481</v>
      </c>
      <c r="I450" s="52">
        <f t="shared" si="116"/>
        <v>59275</v>
      </c>
      <c r="J450" s="52">
        <f t="shared" si="117"/>
        <v>65302</v>
      </c>
      <c r="K450" s="49">
        <f t="shared" si="118"/>
        <v>13695</v>
      </c>
      <c r="L450" s="50">
        <f t="shared" si="119"/>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c r="A451" s="31" t="s">
        <v>81</v>
      </c>
      <c r="B451" s="1" t="s">
        <v>519</v>
      </c>
      <c r="C451" s="30" t="str">
        <f t="shared" si="120"/>
        <v>LA England - Test Valley</v>
      </c>
      <c r="D451" s="50">
        <f t="shared" si="111"/>
        <v>51126</v>
      </c>
      <c r="E451" s="50">
        <f t="shared" si="112"/>
        <v>54565</v>
      </c>
      <c r="F451" s="51">
        <f t="shared" si="113"/>
        <v>132871</v>
      </c>
      <c r="G451" s="51">
        <f t="shared" si="114"/>
        <v>64891</v>
      </c>
      <c r="H451" s="52">
        <f t="shared" si="115"/>
        <v>67980</v>
      </c>
      <c r="I451" s="52">
        <f t="shared" si="116"/>
        <v>51126</v>
      </c>
      <c r="J451" s="52">
        <f t="shared" si="117"/>
        <v>54565</v>
      </c>
      <c r="K451" s="49">
        <f t="shared" si="118"/>
        <v>13765</v>
      </c>
      <c r="L451" s="50">
        <f t="shared" si="119"/>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c r="A452" s="31" t="s">
        <v>81</v>
      </c>
      <c r="B452" s="1" t="s">
        <v>520</v>
      </c>
      <c r="C452" s="30" t="str">
        <f t="shared" si="120"/>
        <v>LA England - Tewkesbury</v>
      </c>
      <c r="D452" s="50">
        <f t="shared" si="111"/>
        <v>36746</v>
      </c>
      <c r="E452" s="50">
        <f t="shared" si="112"/>
        <v>40256</v>
      </c>
      <c r="F452" s="51">
        <f t="shared" si="113"/>
        <v>97000</v>
      </c>
      <c r="G452" s="51">
        <f t="shared" si="114"/>
        <v>47040</v>
      </c>
      <c r="H452" s="52">
        <f t="shared" si="115"/>
        <v>49960</v>
      </c>
      <c r="I452" s="52">
        <f t="shared" si="116"/>
        <v>36746</v>
      </c>
      <c r="J452" s="52">
        <f t="shared" si="117"/>
        <v>40256</v>
      </c>
      <c r="K452" s="49">
        <f t="shared" si="118"/>
        <v>10294</v>
      </c>
      <c r="L452" s="50">
        <f t="shared" si="119"/>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c r="A453" s="31" t="s">
        <v>81</v>
      </c>
      <c r="B453" s="1" t="s">
        <v>521</v>
      </c>
      <c r="C453" s="30" t="str">
        <f t="shared" si="120"/>
        <v>LA England - Thanet</v>
      </c>
      <c r="D453" s="50">
        <f t="shared" si="111"/>
        <v>52906</v>
      </c>
      <c r="E453" s="50">
        <f t="shared" si="112"/>
        <v>59428</v>
      </c>
      <c r="F453" s="51">
        <f t="shared" si="113"/>
        <v>140689</v>
      </c>
      <c r="G453" s="51">
        <f t="shared" si="114"/>
        <v>67694</v>
      </c>
      <c r="H453" s="52">
        <f t="shared" si="115"/>
        <v>72995</v>
      </c>
      <c r="I453" s="52">
        <f t="shared" si="116"/>
        <v>52906</v>
      </c>
      <c r="J453" s="52">
        <f t="shared" si="117"/>
        <v>59428</v>
      </c>
      <c r="K453" s="49">
        <f t="shared" si="118"/>
        <v>14788</v>
      </c>
      <c r="L453" s="50">
        <f t="shared" si="119"/>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c r="A454" s="31" t="s">
        <v>81</v>
      </c>
      <c r="B454" s="1" t="s">
        <v>522</v>
      </c>
      <c r="C454" s="30" t="str">
        <f t="shared" si="120"/>
        <v>LA England - Three Rivers</v>
      </c>
      <c r="D454" s="50">
        <f t="shared" si="111"/>
        <v>35006</v>
      </c>
      <c r="E454" s="50">
        <f t="shared" si="112"/>
        <v>37853</v>
      </c>
      <c r="F454" s="51">
        <f t="shared" si="113"/>
        <v>94123</v>
      </c>
      <c r="G454" s="51">
        <f t="shared" si="114"/>
        <v>45800</v>
      </c>
      <c r="H454" s="52">
        <f t="shared" si="115"/>
        <v>48323</v>
      </c>
      <c r="I454" s="52">
        <f t="shared" si="116"/>
        <v>35006</v>
      </c>
      <c r="J454" s="52">
        <f t="shared" si="117"/>
        <v>37853</v>
      </c>
      <c r="K454" s="49">
        <f t="shared" si="118"/>
        <v>10794</v>
      </c>
      <c r="L454" s="50">
        <f t="shared" si="119"/>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c r="A455" s="31" t="s">
        <v>81</v>
      </c>
      <c r="B455" s="1" t="s">
        <v>523</v>
      </c>
      <c r="C455" s="30" t="str">
        <f t="shared" si="120"/>
        <v>LA England - Thurrock</v>
      </c>
      <c r="D455" s="50">
        <f t="shared" si="111"/>
        <v>63582</v>
      </c>
      <c r="E455" s="50">
        <f t="shared" si="112"/>
        <v>68415</v>
      </c>
      <c r="F455" s="51">
        <f t="shared" si="113"/>
        <v>176877</v>
      </c>
      <c r="G455" s="51">
        <f t="shared" si="114"/>
        <v>86665</v>
      </c>
      <c r="H455" s="52">
        <f t="shared" si="115"/>
        <v>90212</v>
      </c>
      <c r="I455" s="52">
        <f t="shared" si="116"/>
        <v>63582</v>
      </c>
      <c r="J455" s="52">
        <f t="shared" si="117"/>
        <v>68415</v>
      </c>
      <c r="K455" s="49">
        <f t="shared" si="118"/>
        <v>23083</v>
      </c>
      <c r="L455" s="50">
        <f t="shared" si="119"/>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c r="A456" s="31" t="s">
        <v>81</v>
      </c>
      <c r="B456" s="1" t="s">
        <v>524</v>
      </c>
      <c r="C456" s="30" t="str">
        <f t="shared" si="120"/>
        <v>LA England - Tonbridge and Malling</v>
      </c>
      <c r="D456" s="50">
        <f t="shared" si="111"/>
        <v>49279</v>
      </c>
      <c r="E456" s="50">
        <f t="shared" si="112"/>
        <v>54077</v>
      </c>
      <c r="F456" s="51">
        <f t="shared" si="113"/>
        <v>133661</v>
      </c>
      <c r="G456" s="51">
        <f t="shared" si="114"/>
        <v>64931</v>
      </c>
      <c r="H456" s="52">
        <f t="shared" si="115"/>
        <v>68730</v>
      </c>
      <c r="I456" s="52">
        <f t="shared" si="116"/>
        <v>49279</v>
      </c>
      <c r="J456" s="52">
        <f t="shared" si="117"/>
        <v>54077</v>
      </c>
      <c r="K456" s="49">
        <f t="shared" si="118"/>
        <v>15652</v>
      </c>
      <c r="L456" s="50">
        <f t="shared" si="119"/>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c r="A457" s="31" t="s">
        <v>81</v>
      </c>
      <c r="B457" s="1" t="s">
        <v>525</v>
      </c>
      <c r="C457" s="30" t="str">
        <f t="shared" si="120"/>
        <v>LA England - Torbay</v>
      </c>
      <c r="D457" s="50">
        <f t="shared" ref="D457:D496" si="121">I457</f>
        <v>55034</v>
      </c>
      <c r="E457" s="50">
        <f t="shared" ref="E457:E496" si="122">J457</f>
        <v>59323</v>
      </c>
      <c r="F457" s="51">
        <f t="shared" si="113"/>
        <v>139479</v>
      </c>
      <c r="G457" s="51">
        <f t="shared" si="114"/>
        <v>67916</v>
      </c>
      <c r="H457" s="52">
        <f t="shared" si="115"/>
        <v>71563</v>
      </c>
      <c r="I457" s="52">
        <f t="shared" si="116"/>
        <v>55034</v>
      </c>
      <c r="J457" s="52">
        <f t="shared" si="117"/>
        <v>59323</v>
      </c>
      <c r="K457" s="49">
        <f t="shared" si="118"/>
        <v>12882</v>
      </c>
      <c r="L457" s="50">
        <f t="shared" si="119"/>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c r="A458" s="31" t="s">
        <v>81</v>
      </c>
      <c r="B458" s="1" t="s">
        <v>526</v>
      </c>
      <c r="C458" s="30" t="str">
        <f t="shared" si="120"/>
        <v>LA England - Torridge</v>
      </c>
      <c r="D458" s="50">
        <f t="shared" si="121"/>
        <v>27392</v>
      </c>
      <c r="E458" s="50">
        <f t="shared" si="122"/>
        <v>29329</v>
      </c>
      <c r="F458" s="51">
        <f t="shared" ref="F458:F496" si="123">G458+H458</f>
        <v>68635</v>
      </c>
      <c r="G458" s="51">
        <f t="shared" ref="G458:G496" si="124">SUM(M458:CY458)</f>
        <v>33615</v>
      </c>
      <c r="H458" s="52">
        <f t="shared" ref="H458:H496" si="125">SUM(CZ458:GL458)</f>
        <v>35020</v>
      </c>
      <c r="I458" s="52">
        <f t="shared" ref="I458:I496" si="126">SUM(AE458:CY458)</f>
        <v>27392</v>
      </c>
      <c r="J458" s="52">
        <f t="shared" ref="J458:J496" si="127">SUM(DR458:GL458)</f>
        <v>29329</v>
      </c>
      <c r="K458" s="49">
        <f t="shared" ref="K458:K496" si="128">SUM(M458:AD458)</f>
        <v>6223</v>
      </c>
      <c r="L458" s="50">
        <f t="shared" ref="L458:L496" si="129">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c r="A459" s="31" t="s">
        <v>81</v>
      </c>
      <c r="B459" s="1" t="s">
        <v>527</v>
      </c>
      <c r="C459" s="30" t="str">
        <f t="shared" si="120"/>
        <v>LA England - Tower Hamlets</v>
      </c>
      <c r="D459" s="50">
        <f t="shared" si="121"/>
        <v>131116</v>
      </c>
      <c r="E459" s="50">
        <f t="shared" si="122"/>
        <v>130385</v>
      </c>
      <c r="F459" s="51">
        <f t="shared" si="123"/>
        <v>325789</v>
      </c>
      <c r="G459" s="51">
        <f t="shared" si="124"/>
        <v>163842</v>
      </c>
      <c r="H459" s="52">
        <f t="shared" si="125"/>
        <v>161947</v>
      </c>
      <c r="I459" s="52">
        <f t="shared" si="126"/>
        <v>131116</v>
      </c>
      <c r="J459" s="52">
        <f t="shared" si="127"/>
        <v>130385</v>
      </c>
      <c r="K459" s="49">
        <f t="shared" si="128"/>
        <v>32726</v>
      </c>
      <c r="L459" s="50">
        <f t="shared" si="129"/>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c r="A460" s="31" t="s">
        <v>81</v>
      </c>
      <c r="B460" s="1" t="s">
        <v>528</v>
      </c>
      <c r="C460" s="30" t="str">
        <f t="shared" ref="C460:C496" si="130">CONCATENATE(A460," - ",B460)</f>
        <v>LA England - Trafford</v>
      </c>
      <c r="D460" s="50">
        <f t="shared" si="121"/>
        <v>86869</v>
      </c>
      <c r="E460" s="50">
        <f t="shared" si="122"/>
        <v>94098</v>
      </c>
      <c r="F460" s="51">
        <f t="shared" si="123"/>
        <v>236301</v>
      </c>
      <c r="G460" s="51">
        <f t="shared" si="124"/>
        <v>115249</v>
      </c>
      <c r="H460" s="52">
        <f t="shared" si="125"/>
        <v>121052</v>
      </c>
      <c r="I460" s="52">
        <f t="shared" si="126"/>
        <v>86869</v>
      </c>
      <c r="J460" s="52">
        <f t="shared" si="127"/>
        <v>94098</v>
      </c>
      <c r="K460" s="49">
        <f t="shared" si="128"/>
        <v>28380</v>
      </c>
      <c r="L460" s="50">
        <f t="shared" si="129"/>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c r="A461" s="31" t="s">
        <v>81</v>
      </c>
      <c r="B461" s="1" t="s">
        <v>529</v>
      </c>
      <c r="C461" s="30" t="str">
        <f t="shared" si="130"/>
        <v>LA England - Tunbridge Wells</v>
      </c>
      <c r="D461" s="50">
        <f t="shared" si="121"/>
        <v>43174</v>
      </c>
      <c r="E461" s="50">
        <f t="shared" si="122"/>
        <v>46777</v>
      </c>
      <c r="F461" s="51">
        <f t="shared" si="123"/>
        <v>116028</v>
      </c>
      <c r="G461" s="51">
        <f t="shared" si="124"/>
        <v>56457</v>
      </c>
      <c r="H461" s="52">
        <f t="shared" si="125"/>
        <v>59571</v>
      </c>
      <c r="I461" s="52">
        <f t="shared" si="126"/>
        <v>43174</v>
      </c>
      <c r="J461" s="52">
        <f t="shared" si="127"/>
        <v>46777</v>
      </c>
      <c r="K461" s="49">
        <f t="shared" si="128"/>
        <v>13283</v>
      </c>
      <c r="L461" s="50">
        <f t="shared" si="129"/>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c r="A462" s="31" t="s">
        <v>81</v>
      </c>
      <c r="B462" s="1" t="s">
        <v>530</v>
      </c>
      <c r="C462" s="30" t="str">
        <f t="shared" si="130"/>
        <v>LA England - Uttlesford</v>
      </c>
      <c r="D462" s="50">
        <f t="shared" si="121"/>
        <v>35068</v>
      </c>
      <c r="E462" s="50">
        <f t="shared" si="122"/>
        <v>37411</v>
      </c>
      <c r="F462" s="51">
        <f t="shared" si="123"/>
        <v>92578</v>
      </c>
      <c r="G462" s="51">
        <f t="shared" si="124"/>
        <v>45371</v>
      </c>
      <c r="H462" s="52">
        <f t="shared" si="125"/>
        <v>47207</v>
      </c>
      <c r="I462" s="52">
        <f t="shared" si="126"/>
        <v>35068</v>
      </c>
      <c r="J462" s="52">
        <f t="shared" si="127"/>
        <v>37411</v>
      </c>
      <c r="K462" s="49">
        <f t="shared" si="128"/>
        <v>10303</v>
      </c>
      <c r="L462" s="50">
        <f t="shared" si="129"/>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c r="A463" s="31" t="s">
        <v>81</v>
      </c>
      <c r="B463" s="1" t="s">
        <v>531</v>
      </c>
      <c r="C463" s="30" t="str">
        <f t="shared" si="130"/>
        <v>LA England - Vale of White Horse</v>
      </c>
      <c r="D463" s="50">
        <f t="shared" si="121"/>
        <v>54457</v>
      </c>
      <c r="E463" s="50">
        <f t="shared" si="122"/>
        <v>56871</v>
      </c>
      <c r="F463" s="51">
        <f t="shared" si="123"/>
        <v>142116</v>
      </c>
      <c r="G463" s="51">
        <f t="shared" si="124"/>
        <v>70559</v>
      </c>
      <c r="H463" s="52">
        <f t="shared" si="125"/>
        <v>71557</v>
      </c>
      <c r="I463" s="52">
        <f t="shared" si="126"/>
        <v>54457</v>
      </c>
      <c r="J463" s="52">
        <f t="shared" si="127"/>
        <v>56871</v>
      </c>
      <c r="K463" s="49">
        <f t="shared" si="128"/>
        <v>16102</v>
      </c>
      <c r="L463" s="50">
        <f t="shared" si="129"/>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c r="A464" s="31" t="s">
        <v>81</v>
      </c>
      <c r="B464" s="1" t="s">
        <v>532</v>
      </c>
      <c r="C464" s="30" t="str">
        <f t="shared" si="130"/>
        <v>LA England - Wakefield</v>
      </c>
      <c r="D464" s="50">
        <f t="shared" si="121"/>
        <v>137621</v>
      </c>
      <c r="E464" s="50">
        <f t="shared" si="122"/>
        <v>145330</v>
      </c>
      <c r="F464" s="51">
        <f t="shared" si="123"/>
        <v>357729</v>
      </c>
      <c r="G464" s="51">
        <f t="shared" si="124"/>
        <v>176034</v>
      </c>
      <c r="H464" s="52">
        <f t="shared" si="125"/>
        <v>181695</v>
      </c>
      <c r="I464" s="52">
        <f t="shared" si="126"/>
        <v>137621</v>
      </c>
      <c r="J464" s="52">
        <f t="shared" si="127"/>
        <v>145330</v>
      </c>
      <c r="K464" s="49">
        <f t="shared" si="128"/>
        <v>38413</v>
      </c>
      <c r="L464" s="50">
        <f t="shared" si="129"/>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c r="A465" s="31" t="s">
        <v>81</v>
      </c>
      <c r="B465" s="1" t="s">
        <v>533</v>
      </c>
      <c r="C465" s="30" t="str">
        <f t="shared" si="130"/>
        <v>LA England - Walsall</v>
      </c>
      <c r="D465" s="50">
        <f t="shared" si="121"/>
        <v>104721</v>
      </c>
      <c r="E465" s="50">
        <f t="shared" si="122"/>
        <v>112263</v>
      </c>
      <c r="F465" s="51">
        <f t="shared" si="123"/>
        <v>286105</v>
      </c>
      <c r="G465" s="51">
        <f t="shared" si="124"/>
        <v>140018</v>
      </c>
      <c r="H465" s="52">
        <f t="shared" si="125"/>
        <v>146087</v>
      </c>
      <c r="I465" s="52">
        <f t="shared" si="126"/>
        <v>104721</v>
      </c>
      <c r="J465" s="52">
        <f t="shared" si="127"/>
        <v>112263</v>
      </c>
      <c r="K465" s="49">
        <f t="shared" si="128"/>
        <v>35297</v>
      </c>
      <c r="L465" s="50">
        <f t="shared" si="129"/>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c r="A466" s="31" t="s">
        <v>81</v>
      </c>
      <c r="B466" s="1" t="s">
        <v>534</v>
      </c>
      <c r="C466" s="30" t="str">
        <f t="shared" si="130"/>
        <v>LA England - Waltham Forest</v>
      </c>
      <c r="D466" s="50">
        <f t="shared" si="121"/>
        <v>103110</v>
      </c>
      <c r="E466" s="50">
        <f t="shared" si="122"/>
        <v>110543</v>
      </c>
      <c r="F466" s="51">
        <f t="shared" si="123"/>
        <v>275887</v>
      </c>
      <c r="G466" s="51">
        <f t="shared" si="124"/>
        <v>134906</v>
      </c>
      <c r="H466" s="52">
        <f t="shared" si="125"/>
        <v>140981</v>
      </c>
      <c r="I466" s="52">
        <f t="shared" si="126"/>
        <v>103110</v>
      </c>
      <c r="J466" s="52">
        <f t="shared" si="127"/>
        <v>110543</v>
      </c>
      <c r="K466" s="49">
        <f t="shared" si="128"/>
        <v>31796</v>
      </c>
      <c r="L466" s="50">
        <f t="shared" si="129"/>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c r="A467" s="31" t="s">
        <v>81</v>
      </c>
      <c r="B467" s="1" t="s">
        <v>535</v>
      </c>
      <c r="C467" s="30" t="str">
        <f t="shared" si="130"/>
        <v>LA England - Wandsworth</v>
      </c>
      <c r="D467" s="50">
        <f t="shared" si="121"/>
        <v>125772</v>
      </c>
      <c r="E467" s="50">
        <f t="shared" si="122"/>
        <v>144662</v>
      </c>
      <c r="F467" s="51">
        <f t="shared" si="123"/>
        <v>329035</v>
      </c>
      <c r="G467" s="51">
        <f t="shared" si="124"/>
        <v>155750</v>
      </c>
      <c r="H467" s="52">
        <f t="shared" si="125"/>
        <v>173285</v>
      </c>
      <c r="I467" s="52">
        <f t="shared" si="126"/>
        <v>125772</v>
      </c>
      <c r="J467" s="52">
        <f t="shared" si="127"/>
        <v>144662</v>
      </c>
      <c r="K467" s="49">
        <f t="shared" si="128"/>
        <v>29978</v>
      </c>
      <c r="L467" s="50">
        <f t="shared" si="129"/>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c r="A468" s="31" t="s">
        <v>81</v>
      </c>
      <c r="B468" s="1" t="s">
        <v>536</v>
      </c>
      <c r="C468" s="30" t="str">
        <f t="shared" si="130"/>
        <v>LA England - Warrington</v>
      </c>
      <c r="D468" s="50">
        <f t="shared" si="121"/>
        <v>82284</v>
      </c>
      <c r="E468" s="50">
        <f t="shared" si="122"/>
        <v>85828</v>
      </c>
      <c r="F468" s="51">
        <f t="shared" si="123"/>
        <v>211580</v>
      </c>
      <c r="G468" s="51">
        <f t="shared" si="124"/>
        <v>104613</v>
      </c>
      <c r="H468" s="52">
        <f t="shared" si="125"/>
        <v>106967</v>
      </c>
      <c r="I468" s="52">
        <f t="shared" si="126"/>
        <v>82284</v>
      </c>
      <c r="J468" s="52">
        <f t="shared" si="127"/>
        <v>85828</v>
      </c>
      <c r="K468" s="49">
        <f t="shared" si="128"/>
        <v>22329</v>
      </c>
      <c r="L468" s="50">
        <f t="shared" si="129"/>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c r="A469" s="31" t="s">
        <v>81</v>
      </c>
      <c r="B469" s="1" t="s">
        <v>537</v>
      </c>
      <c r="C469" s="30" t="str">
        <f t="shared" si="130"/>
        <v>LA England - Warwick</v>
      </c>
      <c r="D469" s="50">
        <f t="shared" si="121"/>
        <v>60382</v>
      </c>
      <c r="E469" s="50">
        <f t="shared" si="122"/>
        <v>61789</v>
      </c>
      <c r="F469" s="51">
        <f t="shared" si="123"/>
        <v>151158</v>
      </c>
      <c r="G469" s="51">
        <f t="shared" si="124"/>
        <v>75257</v>
      </c>
      <c r="H469" s="52">
        <f t="shared" si="125"/>
        <v>75901</v>
      </c>
      <c r="I469" s="52">
        <f t="shared" si="126"/>
        <v>60382</v>
      </c>
      <c r="J469" s="52">
        <f t="shared" si="127"/>
        <v>61789</v>
      </c>
      <c r="K469" s="49">
        <f t="shared" si="128"/>
        <v>14875</v>
      </c>
      <c r="L469" s="50">
        <f t="shared" si="129"/>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c r="A470" s="31" t="s">
        <v>81</v>
      </c>
      <c r="B470" s="1" t="s">
        <v>538</v>
      </c>
      <c r="C470" s="30" t="str">
        <f t="shared" si="130"/>
        <v>LA England - Watford</v>
      </c>
      <c r="D470" s="50">
        <f t="shared" si="121"/>
        <v>38247</v>
      </c>
      <c r="E470" s="50">
        <f t="shared" si="122"/>
        <v>40598</v>
      </c>
      <c r="F470" s="51">
        <f t="shared" si="123"/>
        <v>103031</v>
      </c>
      <c r="G470" s="51">
        <f t="shared" si="124"/>
        <v>50602</v>
      </c>
      <c r="H470" s="52">
        <f t="shared" si="125"/>
        <v>52429</v>
      </c>
      <c r="I470" s="52">
        <f t="shared" si="126"/>
        <v>38247</v>
      </c>
      <c r="J470" s="52">
        <f t="shared" si="127"/>
        <v>40598</v>
      </c>
      <c r="K470" s="49">
        <f t="shared" si="128"/>
        <v>12355</v>
      </c>
      <c r="L470" s="50">
        <f t="shared" si="129"/>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c r="A471" s="31" t="s">
        <v>81</v>
      </c>
      <c r="B471" s="1" t="s">
        <v>539</v>
      </c>
      <c r="C471" s="30" t="str">
        <f t="shared" si="130"/>
        <v>LA England - Waverley</v>
      </c>
      <c r="D471" s="50">
        <f t="shared" si="121"/>
        <v>48174</v>
      </c>
      <c r="E471" s="50">
        <f t="shared" si="122"/>
        <v>53203</v>
      </c>
      <c r="F471" s="51">
        <f t="shared" si="123"/>
        <v>130063</v>
      </c>
      <c r="G471" s="51">
        <f t="shared" si="124"/>
        <v>62934</v>
      </c>
      <c r="H471" s="52">
        <f t="shared" si="125"/>
        <v>67129</v>
      </c>
      <c r="I471" s="52">
        <f t="shared" si="126"/>
        <v>48174</v>
      </c>
      <c r="J471" s="52">
        <f t="shared" si="127"/>
        <v>53203</v>
      </c>
      <c r="K471" s="49">
        <f t="shared" si="128"/>
        <v>14760</v>
      </c>
      <c r="L471" s="50">
        <f t="shared" si="129"/>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c r="A472" s="31" t="s">
        <v>81</v>
      </c>
      <c r="B472" s="1" t="s">
        <v>540</v>
      </c>
      <c r="C472" s="30" t="str">
        <f t="shared" si="130"/>
        <v>LA England - Wealden</v>
      </c>
      <c r="D472" s="50">
        <f t="shared" si="121"/>
        <v>62777</v>
      </c>
      <c r="E472" s="50">
        <f t="shared" si="122"/>
        <v>69627</v>
      </c>
      <c r="F472" s="51">
        <f t="shared" si="123"/>
        <v>163012</v>
      </c>
      <c r="G472" s="51">
        <f t="shared" si="124"/>
        <v>78460</v>
      </c>
      <c r="H472" s="52">
        <f t="shared" si="125"/>
        <v>84552</v>
      </c>
      <c r="I472" s="52">
        <f t="shared" si="126"/>
        <v>62777</v>
      </c>
      <c r="J472" s="52">
        <f t="shared" si="127"/>
        <v>69627</v>
      </c>
      <c r="K472" s="49">
        <f t="shared" si="128"/>
        <v>15683</v>
      </c>
      <c r="L472" s="50">
        <f t="shared" si="129"/>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c r="A473" s="31" t="s">
        <v>81</v>
      </c>
      <c r="B473" s="1" t="s">
        <v>541</v>
      </c>
      <c r="C473" s="30" t="str">
        <f t="shared" si="130"/>
        <v>LA England - Welwyn Hatfield</v>
      </c>
      <c r="D473" s="50">
        <f t="shared" si="121"/>
        <v>46448</v>
      </c>
      <c r="E473" s="50">
        <f t="shared" si="122"/>
        <v>48368</v>
      </c>
      <c r="F473" s="51">
        <f t="shared" si="123"/>
        <v>120213</v>
      </c>
      <c r="G473" s="51">
        <f t="shared" si="124"/>
        <v>59463</v>
      </c>
      <c r="H473" s="52">
        <f t="shared" si="125"/>
        <v>60750</v>
      </c>
      <c r="I473" s="52">
        <f t="shared" si="126"/>
        <v>46448</v>
      </c>
      <c r="J473" s="52">
        <f t="shared" si="127"/>
        <v>48368</v>
      </c>
      <c r="K473" s="49">
        <f t="shared" si="128"/>
        <v>13015</v>
      </c>
      <c r="L473" s="50">
        <f t="shared" si="129"/>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c r="A474" s="31" t="s">
        <v>81</v>
      </c>
      <c r="B474" s="1" t="s">
        <v>542</v>
      </c>
      <c r="C474" s="30" t="str">
        <f t="shared" si="130"/>
        <v>LA England - West Berkshire</v>
      </c>
      <c r="D474" s="50">
        <f t="shared" si="121"/>
        <v>62228</v>
      </c>
      <c r="E474" s="50">
        <f t="shared" si="122"/>
        <v>65218</v>
      </c>
      <c r="F474" s="51">
        <f t="shared" si="123"/>
        <v>162215</v>
      </c>
      <c r="G474" s="51">
        <f t="shared" si="124"/>
        <v>80000</v>
      </c>
      <c r="H474" s="52">
        <f t="shared" si="125"/>
        <v>82215</v>
      </c>
      <c r="I474" s="52">
        <f t="shared" si="126"/>
        <v>62228</v>
      </c>
      <c r="J474" s="52">
        <f t="shared" si="127"/>
        <v>65218</v>
      </c>
      <c r="K474" s="49">
        <f t="shared" si="128"/>
        <v>17772</v>
      </c>
      <c r="L474" s="50">
        <f t="shared" si="129"/>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c r="A475" s="31" t="s">
        <v>81</v>
      </c>
      <c r="B475" s="1" t="s">
        <v>543</v>
      </c>
      <c r="C475" s="30" t="str">
        <f t="shared" si="130"/>
        <v>LA England - West Devon</v>
      </c>
      <c r="D475" s="50">
        <f t="shared" si="121"/>
        <v>23429</v>
      </c>
      <c r="E475" s="50">
        <f t="shared" si="122"/>
        <v>24733</v>
      </c>
      <c r="F475" s="51">
        <f t="shared" si="123"/>
        <v>58190</v>
      </c>
      <c r="G475" s="51">
        <f t="shared" si="124"/>
        <v>28479</v>
      </c>
      <c r="H475" s="52">
        <f t="shared" si="125"/>
        <v>29711</v>
      </c>
      <c r="I475" s="52">
        <f t="shared" si="126"/>
        <v>23429</v>
      </c>
      <c r="J475" s="52">
        <f t="shared" si="127"/>
        <v>24733</v>
      </c>
      <c r="K475" s="49">
        <f t="shared" si="128"/>
        <v>5050</v>
      </c>
      <c r="L475" s="50">
        <f t="shared" si="129"/>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c r="A476" s="31" t="s">
        <v>81</v>
      </c>
      <c r="B476" s="1" t="s">
        <v>544</v>
      </c>
      <c r="C476" s="30" t="str">
        <f t="shared" si="130"/>
        <v>LA England - West Lancashire</v>
      </c>
      <c r="D476" s="50">
        <f t="shared" si="121"/>
        <v>45960</v>
      </c>
      <c r="E476" s="50">
        <f t="shared" si="122"/>
        <v>51265</v>
      </c>
      <c r="F476" s="51">
        <f t="shared" si="123"/>
        <v>119367</v>
      </c>
      <c r="G476" s="51">
        <f t="shared" si="124"/>
        <v>57283</v>
      </c>
      <c r="H476" s="52">
        <f t="shared" si="125"/>
        <v>62084</v>
      </c>
      <c r="I476" s="52">
        <f t="shared" si="126"/>
        <v>45960</v>
      </c>
      <c r="J476" s="52">
        <f t="shared" si="127"/>
        <v>51265</v>
      </c>
      <c r="K476" s="49">
        <f t="shared" si="128"/>
        <v>11323</v>
      </c>
      <c r="L476" s="50">
        <f t="shared" si="129"/>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c r="A477" s="31" t="s">
        <v>81</v>
      </c>
      <c r="B477" s="1" t="s">
        <v>545</v>
      </c>
      <c r="C477" s="30" t="str">
        <f t="shared" si="130"/>
        <v>LA England - West Lindsey</v>
      </c>
      <c r="D477" s="50">
        <f t="shared" si="121"/>
        <v>38057</v>
      </c>
      <c r="E477" s="50">
        <f t="shared" si="122"/>
        <v>40441</v>
      </c>
      <c r="F477" s="51">
        <f t="shared" si="123"/>
        <v>96817</v>
      </c>
      <c r="G477" s="51">
        <f t="shared" si="124"/>
        <v>47535</v>
      </c>
      <c r="H477" s="52">
        <f t="shared" si="125"/>
        <v>49282</v>
      </c>
      <c r="I477" s="52">
        <f t="shared" si="126"/>
        <v>38057</v>
      </c>
      <c r="J477" s="52">
        <f t="shared" si="127"/>
        <v>40441</v>
      </c>
      <c r="K477" s="49">
        <f t="shared" si="128"/>
        <v>9478</v>
      </c>
      <c r="L477" s="50">
        <f t="shared" si="129"/>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c r="A478" s="31" t="s">
        <v>81</v>
      </c>
      <c r="B478" s="1" t="s">
        <v>546</v>
      </c>
      <c r="C478" s="30" t="str">
        <f t="shared" si="130"/>
        <v>LA England - West Northamptonshire</v>
      </c>
      <c r="D478" s="50">
        <f t="shared" si="121"/>
        <v>164541</v>
      </c>
      <c r="E478" s="50">
        <f t="shared" si="122"/>
        <v>170970</v>
      </c>
      <c r="F478" s="51">
        <f t="shared" si="123"/>
        <v>429013</v>
      </c>
      <c r="G478" s="51">
        <f t="shared" si="124"/>
        <v>212074</v>
      </c>
      <c r="H478" s="52">
        <f t="shared" si="125"/>
        <v>216939</v>
      </c>
      <c r="I478" s="52">
        <f t="shared" si="126"/>
        <v>164541</v>
      </c>
      <c r="J478" s="52">
        <f t="shared" si="127"/>
        <v>170970</v>
      </c>
      <c r="K478" s="49">
        <f t="shared" si="128"/>
        <v>47533</v>
      </c>
      <c r="L478" s="50">
        <f t="shared" si="129"/>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c r="A479" s="31" t="s">
        <v>81</v>
      </c>
      <c r="B479" s="1" t="s">
        <v>547</v>
      </c>
      <c r="C479" s="30" t="str">
        <f t="shared" si="130"/>
        <v>LA England - West Oxfordshire</v>
      </c>
      <c r="D479" s="50">
        <f t="shared" si="121"/>
        <v>45599</v>
      </c>
      <c r="E479" s="50">
        <f t="shared" si="122"/>
        <v>48039</v>
      </c>
      <c r="F479" s="51">
        <f t="shared" si="123"/>
        <v>116928</v>
      </c>
      <c r="G479" s="51">
        <f t="shared" si="124"/>
        <v>57569</v>
      </c>
      <c r="H479" s="52">
        <f t="shared" si="125"/>
        <v>59359</v>
      </c>
      <c r="I479" s="52">
        <f t="shared" si="126"/>
        <v>45599</v>
      </c>
      <c r="J479" s="52">
        <f t="shared" si="127"/>
        <v>48039</v>
      </c>
      <c r="K479" s="49">
        <f t="shared" si="128"/>
        <v>11970</v>
      </c>
      <c r="L479" s="50">
        <f t="shared" si="129"/>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c r="A480" s="31" t="s">
        <v>81</v>
      </c>
      <c r="B480" s="1" t="s">
        <v>548</v>
      </c>
      <c r="C480" s="30" t="str">
        <f t="shared" si="130"/>
        <v>LA England - West Suffolk</v>
      </c>
      <c r="D480" s="50">
        <f t="shared" si="121"/>
        <v>72670</v>
      </c>
      <c r="E480" s="50">
        <f t="shared" si="122"/>
        <v>73488</v>
      </c>
      <c r="F480" s="51">
        <f t="shared" si="123"/>
        <v>182228</v>
      </c>
      <c r="G480" s="51">
        <f t="shared" si="124"/>
        <v>91277</v>
      </c>
      <c r="H480" s="52">
        <f t="shared" si="125"/>
        <v>90951</v>
      </c>
      <c r="I480" s="52">
        <f t="shared" si="126"/>
        <v>72670</v>
      </c>
      <c r="J480" s="52">
        <f t="shared" si="127"/>
        <v>73488</v>
      </c>
      <c r="K480" s="49">
        <f t="shared" si="128"/>
        <v>18607</v>
      </c>
      <c r="L480" s="50">
        <f t="shared" si="129"/>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c r="A481" s="31" t="s">
        <v>81</v>
      </c>
      <c r="B481" s="1" t="s">
        <v>549</v>
      </c>
      <c r="C481" s="30" t="str">
        <f t="shared" si="130"/>
        <v>LA England - Westminster</v>
      </c>
      <c r="D481" s="50">
        <f t="shared" si="121"/>
        <v>86711</v>
      </c>
      <c r="E481" s="50">
        <f t="shared" si="122"/>
        <v>94428</v>
      </c>
      <c r="F481" s="51">
        <f t="shared" si="123"/>
        <v>211365</v>
      </c>
      <c r="G481" s="51">
        <f t="shared" si="124"/>
        <v>102207</v>
      </c>
      <c r="H481" s="52">
        <f t="shared" si="125"/>
        <v>109158</v>
      </c>
      <c r="I481" s="52">
        <f t="shared" si="126"/>
        <v>86711</v>
      </c>
      <c r="J481" s="52">
        <f t="shared" si="127"/>
        <v>94428</v>
      </c>
      <c r="K481" s="49">
        <f t="shared" si="128"/>
        <v>15496</v>
      </c>
      <c r="L481" s="50">
        <f t="shared" si="129"/>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c r="A482" s="31" t="s">
        <v>81</v>
      </c>
      <c r="B482" s="1" t="s">
        <v>550</v>
      </c>
      <c r="C482" s="30" t="str">
        <f t="shared" si="130"/>
        <v>LA England - Westmorland and Furness</v>
      </c>
      <c r="D482" s="50">
        <f t="shared" si="121"/>
        <v>92287</v>
      </c>
      <c r="E482" s="50">
        <f t="shared" si="122"/>
        <v>96258</v>
      </c>
      <c r="F482" s="51">
        <f t="shared" si="123"/>
        <v>227643</v>
      </c>
      <c r="G482" s="51">
        <f t="shared" si="124"/>
        <v>112393</v>
      </c>
      <c r="H482" s="52">
        <f t="shared" si="125"/>
        <v>115250</v>
      </c>
      <c r="I482" s="52">
        <f t="shared" si="126"/>
        <v>92287</v>
      </c>
      <c r="J482" s="52">
        <f t="shared" si="127"/>
        <v>96258</v>
      </c>
      <c r="K482" s="49">
        <f t="shared" si="128"/>
        <v>20106</v>
      </c>
      <c r="L482" s="50">
        <f t="shared" si="129"/>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c r="A483" s="31" t="s">
        <v>81</v>
      </c>
      <c r="B483" s="1" t="s">
        <v>551</v>
      </c>
      <c r="C483" s="30" t="str">
        <f t="shared" si="130"/>
        <v>LA England - Wigan</v>
      </c>
      <c r="D483" s="50">
        <f t="shared" si="121"/>
        <v>129821</v>
      </c>
      <c r="E483" s="50">
        <f t="shared" si="122"/>
        <v>134943</v>
      </c>
      <c r="F483" s="51">
        <f t="shared" si="123"/>
        <v>334110</v>
      </c>
      <c r="G483" s="51">
        <f t="shared" si="124"/>
        <v>165612</v>
      </c>
      <c r="H483" s="52">
        <f t="shared" si="125"/>
        <v>168498</v>
      </c>
      <c r="I483" s="52">
        <f t="shared" si="126"/>
        <v>129821</v>
      </c>
      <c r="J483" s="52">
        <f t="shared" si="127"/>
        <v>134943</v>
      </c>
      <c r="K483" s="49">
        <f t="shared" si="128"/>
        <v>35791</v>
      </c>
      <c r="L483" s="50">
        <f t="shared" si="129"/>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c r="A484" s="31" t="s">
        <v>81</v>
      </c>
      <c r="B484" s="1" t="s">
        <v>552</v>
      </c>
      <c r="C484" s="30" t="str">
        <f t="shared" si="130"/>
        <v>LA England - Wiltshire</v>
      </c>
      <c r="D484" s="50">
        <f t="shared" si="121"/>
        <v>202273</v>
      </c>
      <c r="E484" s="50">
        <f t="shared" si="122"/>
        <v>210563</v>
      </c>
      <c r="F484" s="51">
        <f t="shared" si="123"/>
        <v>515885</v>
      </c>
      <c r="G484" s="51">
        <f t="shared" si="124"/>
        <v>254963</v>
      </c>
      <c r="H484" s="52">
        <f t="shared" si="125"/>
        <v>260922</v>
      </c>
      <c r="I484" s="52">
        <f t="shared" si="126"/>
        <v>202273</v>
      </c>
      <c r="J484" s="52">
        <f t="shared" si="127"/>
        <v>210563</v>
      </c>
      <c r="K484" s="49">
        <f t="shared" si="128"/>
        <v>52690</v>
      </c>
      <c r="L484" s="50">
        <f t="shared" si="129"/>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c r="A485" s="31" t="s">
        <v>81</v>
      </c>
      <c r="B485" s="1" t="s">
        <v>553</v>
      </c>
      <c r="C485" s="30" t="str">
        <f t="shared" si="130"/>
        <v>LA England - Winchester</v>
      </c>
      <c r="D485" s="50">
        <f t="shared" si="121"/>
        <v>49783</v>
      </c>
      <c r="E485" s="50">
        <f t="shared" si="122"/>
        <v>53918</v>
      </c>
      <c r="F485" s="51">
        <f t="shared" si="123"/>
        <v>130268</v>
      </c>
      <c r="G485" s="51">
        <f t="shared" si="124"/>
        <v>63583</v>
      </c>
      <c r="H485" s="52">
        <f t="shared" si="125"/>
        <v>66685</v>
      </c>
      <c r="I485" s="52">
        <f t="shared" si="126"/>
        <v>49783</v>
      </c>
      <c r="J485" s="52">
        <f t="shared" si="127"/>
        <v>53918</v>
      </c>
      <c r="K485" s="49">
        <f t="shared" si="128"/>
        <v>13800</v>
      </c>
      <c r="L485" s="50">
        <f t="shared" si="129"/>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c r="A486" s="31" t="s">
        <v>81</v>
      </c>
      <c r="B486" s="1" t="s">
        <v>554</v>
      </c>
      <c r="C486" s="30" t="str">
        <f t="shared" si="130"/>
        <v>LA England - Windsor and Maidenhead</v>
      </c>
      <c r="D486" s="50">
        <f t="shared" si="121"/>
        <v>58554</v>
      </c>
      <c r="E486" s="50">
        <f t="shared" si="122"/>
        <v>62091</v>
      </c>
      <c r="F486" s="51">
        <f t="shared" si="123"/>
        <v>154738</v>
      </c>
      <c r="G486" s="51">
        <f t="shared" si="124"/>
        <v>76388</v>
      </c>
      <c r="H486" s="52">
        <f t="shared" si="125"/>
        <v>78350</v>
      </c>
      <c r="I486" s="52">
        <f t="shared" si="126"/>
        <v>58554</v>
      </c>
      <c r="J486" s="52">
        <f t="shared" si="127"/>
        <v>62091</v>
      </c>
      <c r="K486" s="49">
        <f t="shared" si="128"/>
        <v>17834</v>
      </c>
      <c r="L486" s="50">
        <f t="shared" si="129"/>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c r="A487" s="31" t="s">
        <v>81</v>
      </c>
      <c r="B487" s="1" t="s">
        <v>555</v>
      </c>
      <c r="C487" s="30" t="str">
        <f t="shared" si="130"/>
        <v>LA England - Wirral</v>
      </c>
      <c r="D487" s="50">
        <f t="shared" si="121"/>
        <v>122282</v>
      </c>
      <c r="E487" s="50">
        <f t="shared" si="122"/>
        <v>134481</v>
      </c>
      <c r="F487" s="51">
        <f t="shared" si="123"/>
        <v>322453</v>
      </c>
      <c r="G487" s="51">
        <f t="shared" si="124"/>
        <v>156079</v>
      </c>
      <c r="H487" s="52">
        <f t="shared" si="125"/>
        <v>166374</v>
      </c>
      <c r="I487" s="52">
        <f t="shared" si="126"/>
        <v>122282</v>
      </c>
      <c r="J487" s="52">
        <f t="shared" si="127"/>
        <v>134481</v>
      </c>
      <c r="K487" s="49">
        <f t="shared" si="128"/>
        <v>33797</v>
      </c>
      <c r="L487" s="50">
        <f t="shared" si="129"/>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c r="A488" s="31" t="s">
        <v>81</v>
      </c>
      <c r="B488" s="1" t="s">
        <v>556</v>
      </c>
      <c r="C488" s="30" t="str">
        <f t="shared" si="130"/>
        <v>LA England - Woking</v>
      </c>
      <c r="D488" s="50">
        <f t="shared" si="121"/>
        <v>39702</v>
      </c>
      <c r="E488" s="50">
        <f t="shared" si="122"/>
        <v>41208</v>
      </c>
      <c r="F488" s="51">
        <f t="shared" si="123"/>
        <v>104179</v>
      </c>
      <c r="G488" s="51">
        <f t="shared" si="124"/>
        <v>51709</v>
      </c>
      <c r="H488" s="52">
        <f t="shared" si="125"/>
        <v>52470</v>
      </c>
      <c r="I488" s="52">
        <f t="shared" si="126"/>
        <v>39702</v>
      </c>
      <c r="J488" s="52">
        <f t="shared" si="127"/>
        <v>41208</v>
      </c>
      <c r="K488" s="49">
        <f t="shared" si="128"/>
        <v>12007</v>
      </c>
      <c r="L488" s="50">
        <f t="shared" si="129"/>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c r="A489" s="31" t="s">
        <v>81</v>
      </c>
      <c r="B489" s="1" t="s">
        <v>557</v>
      </c>
      <c r="C489" s="30" t="str">
        <f t="shared" si="130"/>
        <v>LA England - Wokingham</v>
      </c>
      <c r="D489" s="50">
        <f t="shared" si="121"/>
        <v>67200</v>
      </c>
      <c r="E489" s="50">
        <f t="shared" si="122"/>
        <v>71396</v>
      </c>
      <c r="F489" s="51">
        <f t="shared" si="123"/>
        <v>180967</v>
      </c>
      <c r="G489" s="51">
        <f t="shared" si="124"/>
        <v>88984</v>
      </c>
      <c r="H489" s="52">
        <f t="shared" si="125"/>
        <v>91983</v>
      </c>
      <c r="I489" s="52">
        <f t="shared" si="126"/>
        <v>67200</v>
      </c>
      <c r="J489" s="52">
        <f t="shared" si="127"/>
        <v>71396</v>
      </c>
      <c r="K489" s="49">
        <f t="shared" si="128"/>
        <v>21784</v>
      </c>
      <c r="L489" s="50">
        <f t="shared" si="129"/>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c r="A490" s="31" t="s">
        <v>81</v>
      </c>
      <c r="B490" s="1" t="s">
        <v>558</v>
      </c>
      <c r="C490" s="30" t="str">
        <f t="shared" si="130"/>
        <v>LA England - Wolverhampton</v>
      </c>
      <c r="D490" s="50">
        <f t="shared" si="121"/>
        <v>98939</v>
      </c>
      <c r="E490" s="50">
        <f t="shared" si="122"/>
        <v>105012</v>
      </c>
      <c r="F490" s="51">
        <f t="shared" si="123"/>
        <v>267651</v>
      </c>
      <c r="G490" s="51">
        <f t="shared" si="124"/>
        <v>131809</v>
      </c>
      <c r="H490" s="52">
        <f t="shared" si="125"/>
        <v>135842</v>
      </c>
      <c r="I490" s="52">
        <f t="shared" si="126"/>
        <v>98939</v>
      </c>
      <c r="J490" s="52">
        <f t="shared" si="127"/>
        <v>105012</v>
      </c>
      <c r="K490" s="49">
        <f t="shared" si="128"/>
        <v>32870</v>
      </c>
      <c r="L490" s="50">
        <f t="shared" si="129"/>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c r="A491" s="31" t="s">
        <v>81</v>
      </c>
      <c r="B491" s="1" t="s">
        <v>559</v>
      </c>
      <c r="C491" s="30" t="str">
        <f t="shared" si="130"/>
        <v>LA England - Worcester</v>
      </c>
      <c r="D491" s="50">
        <f t="shared" si="121"/>
        <v>40332</v>
      </c>
      <c r="E491" s="50">
        <f t="shared" si="122"/>
        <v>43237</v>
      </c>
      <c r="F491" s="51">
        <f t="shared" si="123"/>
        <v>104120</v>
      </c>
      <c r="G491" s="51">
        <f t="shared" si="124"/>
        <v>50821</v>
      </c>
      <c r="H491" s="52">
        <f t="shared" si="125"/>
        <v>53299</v>
      </c>
      <c r="I491" s="52">
        <f t="shared" si="126"/>
        <v>40332</v>
      </c>
      <c r="J491" s="52">
        <f t="shared" si="127"/>
        <v>43237</v>
      </c>
      <c r="K491" s="49">
        <f t="shared" si="128"/>
        <v>10489</v>
      </c>
      <c r="L491" s="50">
        <f t="shared" si="129"/>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c r="A492" s="31" t="s">
        <v>81</v>
      </c>
      <c r="B492" s="1" t="s">
        <v>560</v>
      </c>
      <c r="C492" s="30" t="str">
        <f t="shared" si="130"/>
        <v>LA England - Worthing</v>
      </c>
      <c r="D492" s="50">
        <f t="shared" si="121"/>
        <v>43261</v>
      </c>
      <c r="E492" s="50">
        <f t="shared" si="122"/>
        <v>47561</v>
      </c>
      <c r="F492" s="51">
        <f t="shared" si="123"/>
        <v>112044</v>
      </c>
      <c r="G492" s="51">
        <f t="shared" si="124"/>
        <v>54118</v>
      </c>
      <c r="H492" s="52">
        <f t="shared" si="125"/>
        <v>57926</v>
      </c>
      <c r="I492" s="52">
        <f t="shared" si="126"/>
        <v>43261</v>
      </c>
      <c r="J492" s="52">
        <f t="shared" si="127"/>
        <v>47561</v>
      </c>
      <c r="K492" s="49">
        <f t="shared" si="128"/>
        <v>10857</v>
      </c>
      <c r="L492" s="50">
        <f t="shared" si="129"/>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c r="A493" s="31" t="s">
        <v>81</v>
      </c>
      <c r="B493" s="1" t="s">
        <v>561</v>
      </c>
      <c r="C493" s="30" t="str">
        <f t="shared" si="130"/>
        <v>LA England - Wychavon</v>
      </c>
      <c r="D493" s="50">
        <f t="shared" si="121"/>
        <v>52982</v>
      </c>
      <c r="E493" s="50">
        <f t="shared" si="122"/>
        <v>56493</v>
      </c>
      <c r="F493" s="51">
        <f t="shared" si="123"/>
        <v>134536</v>
      </c>
      <c r="G493" s="51">
        <f t="shared" si="124"/>
        <v>65827</v>
      </c>
      <c r="H493" s="52">
        <f t="shared" si="125"/>
        <v>68709</v>
      </c>
      <c r="I493" s="52">
        <f t="shared" si="126"/>
        <v>52982</v>
      </c>
      <c r="J493" s="52">
        <f t="shared" si="127"/>
        <v>56493</v>
      </c>
      <c r="K493" s="49">
        <f t="shared" si="128"/>
        <v>12845</v>
      </c>
      <c r="L493" s="50">
        <f t="shared" si="129"/>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c r="A494" s="31" t="s">
        <v>81</v>
      </c>
      <c r="B494" s="1" t="s">
        <v>562</v>
      </c>
      <c r="C494" s="30" t="str">
        <f t="shared" si="130"/>
        <v>LA England - Wyre</v>
      </c>
      <c r="D494" s="50">
        <f t="shared" si="121"/>
        <v>45357</v>
      </c>
      <c r="E494" s="50">
        <f t="shared" si="122"/>
        <v>49033</v>
      </c>
      <c r="F494" s="51">
        <f t="shared" si="123"/>
        <v>114809</v>
      </c>
      <c r="G494" s="51">
        <f t="shared" si="124"/>
        <v>55883</v>
      </c>
      <c r="H494" s="52">
        <f t="shared" si="125"/>
        <v>58926</v>
      </c>
      <c r="I494" s="52">
        <f t="shared" si="126"/>
        <v>45357</v>
      </c>
      <c r="J494" s="52">
        <f t="shared" si="127"/>
        <v>49033</v>
      </c>
      <c r="K494" s="49">
        <f t="shared" si="128"/>
        <v>10526</v>
      </c>
      <c r="L494" s="50">
        <f t="shared" si="129"/>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c r="A495" s="31" t="s">
        <v>81</v>
      </c>
      <c r="B495" s="1" t="s">
        <v>563</v>
      </c>
      <c r="C495" s="30" t="str">
        <f t="shared" si="130"/>
        <v>LA England - Wyre Forest</v>
      </c>
      <c r="D495" s="50">
        <f t="shared" si="121"/>
        <v>40213</v>
      </c>
      <c r="E495" s="50">
        <f t="shared" si="122"/>
        <v>42976</v>
      </c>
      <c r="F495" s="51">
        <f t="shared" si="123"/>
        <v>102328</v>
      </c>
      <c r="G495" s="51">
        <f t="shared" si="124"/>
        <v>50175</v>
      </c>
      <c r="H495" s="52">
        <f t="shared" si="125"/>
        <v>52153</v>
      </c>
      <c r="I495" s="52">
        <f t="shared" si="126"/>
        <v>40213</v>
      </c>
      <c r="J495" s="52">
        <f t="shared" si="127"/>
        <v>42976</v>
      </c>
      <c r="K495" s="49">
        <f t="shared" si="128"/>
        <v>9962</v>
      </c>
      <c r="L495" s="50">
        <f t="shared" si="129"/>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c r="A496" s="31" t="s">
        <v>81</v>
      </c>
      <c r="B496" s="1" t="s">
        <v>564</v>
      </c>
      <c r="C496" s="30" t="str">
        <f t="shared" si="130"/>
        <v>LA England - York</v>
      </c>
      <c r="D496" s="50">
        <f t="shared" si="121"/>
        <v>80380</v>
      </c>
      <c r="E496" s="50">
        <f t="shared" si="122"/>
        <v>89539</v>
      </c>
      <c r="F496" s="51">
        <f t="shared" si="123"/>
        <v>204551</v>
      </c>
      <c r="G496" s="51">
        <f t="shared" si="124"/>
        <v>98072</v>
      </c>
      <c r="H496" s="52">
        <f t="shared" si="125"/>
        <v>106479</v>
      </c>
      <c r="I496" s="52">
        <f t="shared" si="126"/>
        <v>80380</v>
      </c>
      <c r="J496" s="52">
        <f t="shared" si="127"/>
        <v>89539</v>
      </c>
      <c r="K496" s="49">
        <f t="shared" si="128"/>
        <v>17692</v>
      </c>
      <c r="L496" s="50">
        <f t="shared" si="129"/>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5" customFormat="1" ht="15">
      <c r="A497" s="112"/>
      <c r="B497" s="119"/>
      <c r="C497" s="112"/>
      <c r="D497" s="135">
        <f t="shared" ref="D497:L497" si="131">SUM(D201:D496)</f>
        <v>21895402</v>
      </c>
      <c r="E497" s="135">
        <f t="shared" si="131"/>
        <v>23324090</v>
      </c>
      <c r="F497" s="135">
        <f t="shared" si="131"/>
        <v>57106398</v>
      </c>
      <c r="G497" s="135">
        <f t="shared" si="131"/>
        <v>27983290</v>
      </c>
      <c r="H497" s="135">
        <f t="shared" si="131"/>
        <v>29123108</v>
      </c>
      <c r="I497" s="135">
        <f t="shared" si="131"/>
        <v>21895402</v>
      </c>
      <c r="J497" s="135">
        <f t="shared" si="131"/>
        <v>23324090</v>
      </c>
      <c r="K497" s="135">
        <f t="shared" si="131"/>
        <v>6087888</v>
      </c>
      <c r="L497" s="135">
        <f t="shared" si="131"/>
        <v>5799018</v>
      </c>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c r="AQ497" s="114"/>
      <c r="AR497" s="114"/>
      <c r="AS497" s="114"/>
      <c r="AT497" s="114"/>
      <c r="AU497" s="114"/>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c r="BT497" s="114"/>
      <c r="BU497" s="114"/>
      <c r="BV497" s="114"/>
      <c r="BW497" s="114"/>
      <c r="BX497" s="114"/>
      <c r="BY497" s="114"/>
      <c r="BZ497" s="114"/>
      <c r="CA497" s="114"/>
      <c r="CB497" s="114"/>
      <c r="CC497" s="114"/>
      <c r="CD497" s="114"/>
      <c r="CE497" s="114"/>
      <c r="CF497" s="114"/>
      <c r="CG497" s="114"/>
      <c r="CH497" s="114"/>
      <c r="CI497" s="114"/>
      <c r="CJ497" s="114"/>
      <c r="CK497" s="114"/>
      <c r="CL497" s="114"/>
      <c r="CM497" s="114"/>
      <c r="CN497" s="114"/>
      <c r="CO497" s="114"/>
      <c r="CP497" s="114"/>
      <c r="CQ497" s="114"/>
      <c r="CR497" s="114"/>
      <c r="CS497" s="114"/>
      <c r="CT497" s="114"/>
      <c r="CU497" s="114"/>
      <c r="CV497" s="114"/>
      <c r="CW497" s="114"/>
      <c r="CX497" s="114"/>
      <c r="CY497" s="114"/>
      <c r="CZ497" s="114"/>
      <c r="DA497" s="114"/>
      <c r="DB497" s="114"/>
      <c r="DC497" s="114"/>
      <c r="DD497" s="114"/>
      <c r="DE497" s="114"/>
      <c r="DF497" s="114"/>
      <c r="DG497" s="114"/>
      <c r="DH497" s="114"/>
      <c r="DI497" s="114"/>
      <c r="DJ497" s="114"/>
      <c r="DK497" s="114"/>
      <c r="DL497" s="114"/>
      <c r="DM497" s="114"/>
      <c r="DN497" s="114"/>
      <c r="DO497" s="114"/>
      <c r="DP497" s="114"/>
      <c r="DQ497" s="114"/>
      <c r="DR497" s="114"/>
      <c r="DS497" s="114"/>
      <c r="DT497" s="114"/>
      <c r="DU497" s="114"/>
      <c r="DV497" s="114"/>
      <c r="DW497" s="114"/>
      <c r="DX497" s="114"/>
      <c r="DY497" s="114"/>
      <c r="DZ497" s="114"/>
      <c r="EA497" s="114"/>
      <c r="EB497" s="114"/>
      <c r="EC497" s="114"/>
      <c r="ED497" s="114"/>
      <c r="EE497" s="114"/>
      <c r="EF497" s="114"/>
      <c r="EG497" s="114"/>
      <c r="EH497" s="114"/>
      <c r="EI497" s="114"/>
      <c r="EJ497" s="114"/>
      <c r="EK497" s="114"/>
      <c r="EL497" s="114"/>
      <c r="EM497" s="114"/>
      <c r="EN497" s="114"/>
      <c r="EO497" s="114"/>
      <c r="EP497" s="114"/>
      <c r="EQ497" s="114"/>
      <c r="ER497" s="114"/>
      <c r="ES497" s="114"/>
      <c r="ET497" s="114"/>
      <c r="EU497" s="114"/>
      <c r="EV497" s="114"/>
      <c r="EW497" s="114"/>
      <c r="EX497" s="114"/>
      <c r="EY497" s="114"/>
      <c r="EZ497" s="114"/>
      <c r="FA497" s="114"/>
      <c r="FB497" s="114"/>
      <c r="FC497" s="114"/>
      <c r="FD497" s="114"/>
      <c r="FE497" s="114"/>
      <c r="FF497" s="114"/>
      <c r="FG497" s="114"/>
      <c r="FH497" s="114"/>
      <c r="FI497" s="114"/>
      <c r="FJ497" s="114"/>
      <c r="FK497" s="114"/>
      <c r="FL497" s="114"/>
      <c r="FM497" s="114"/>
      <c r="FN497" s="114"/>
      <c r="FO497" s="114"/>
      <c r="FP497" s="114"/>
      <c r="FQ497" s="114"/>
      <c r="FR497" s="114"/>
      <c r="FS497" s="114"/>
      <c r="FT497" s="114"/>
      <c r="FU497" s="114"/>
      <c r="FV497" s="114"/>
      <c r="FW497" s="114"/>
      <c r="FX497" s="114"/>
      <c r="FY497" s="114"/>
      <c r="FZ497" s="114"/>
      <c r="GA497" s="114"/>
      <c r="GB497" s="114"/>
      <c r="GC497" s="114"/>
      <c r="GD497" s="114"/>
      <c r="GE497" s="114"/>
      <c r="GF497" s="114"/>
      <c r="GG497" s="114"/>
      <c r="GH497" s="114"/>
      <c r="GI497" s="114"/>
      <c r="GJ497" s="114"/>
      <c r="GK497" s="114"/>
      <c r="GL497" s="113"/>
    </row>
    <row r="498" spans="1:194" s="1" customFormat="1">
      <c r="A498" s="31" t="s">
        <v>565</v>
      </c>
      <c r="B498" s="1" t="s">
        <v>566</v>
      </c>
      <c r="C498" s="30" t="str">
        <f t="shared" ref="C498:C531" si="132">CONCATENATE(A498," - ",B498)</f>
        <v>LA wales - Blaenau Gwent</v>
      </c>
      <c r="D498" s="50">
        <f t="shared" ref="D498:D519" si="133">I498</f>
        <v>26209</v>
      </c>
      <c r="E498" s="50">
        <f t="shared" ref="E498:E519" si="134">J498</f>
        <v>27615</v>
      </c>
      <c r="F498" s="51">
        <f>G498+H498</f>
        <v>67014</v>
      </c>
      <c r="G498" s="51">
        <f>SUM(M498:CY498)</f>
        <v>32977</v>
      </c>
      <c r="H498" s="52">
        <f>SUM(CZ498:GL498)</f>
        <v>34037</v>
      </c>
      <c r="I498" s="52">
        <f>SUM(AE498:CY498)</f>
        <v>26209</v>
      </c>
      <c r="J498" s="52">
        <f>SUM(DR498:GL498)</f>
        <v>27615</v>
      </c>
      <c r="K498" s="49">
        <f>SUM(M498:AD498)</f>
        <v>6768</v>
      </c>
      <c r="L498" s="50">
        <f>SUM(CZ498:DQ498)</f>
        <v>6422</v>
      </c>
      <c r="M498" s="536">
        <v>391</v>
      </c>
      <c r="N498" s="536">
        <v>334</v>
      </c>
      <c r="O498" s="536">
        <v>374</v>
      </c>
      <c r="P498" s="536">
        <v>393</v>
      </c>
      <c r="Q498" s="536">
        <v>365</v>
      </c>
      <c r="R498" s="536">
        <v>333</v>
      </c>
      <c r="S498" s="536">
        <v>365</v>
      </c>
      <c r="T498" s="536">
        <v>388</v>
      </c>
      <c r="U498" s="536">
        <v>394</v>
      </c>
      <c r="V498" s="536">
        <v>392</v>
      </c>
      <c r="W498" s="536">
        <v>375</v>
      </c>
      <c r="X498" s="536">
        <v>423</v>
      </c>
      <c r="Y498" s="536">
        <v>403</v>
      </c>
      <c r="Z498" s="536">
        <v>425</v>
      </c>
      <c r="AA498" s="536">
        <v>394</v>
      </c>
      <c r="AB498" s="536">
        <v>319</v>
      </c>
      <c r="AC498" s="536">
        <v>337</v>
      </c>
      <c r="AD498" s="536">
        <v>363</v>
      </c>
      <c r="AE498" s="536">
        <v>363</v>
      </c>
      <c r="AF498" s="536">
        <v>317</v>
      </c>
      <c r="AG498" s="536">
        <v>288</v>
      </c>
      <c r="AH498" s="536">
        <v>332</v>
      </c>
      <c r="AI498" s="536">
        <v>374</v>
      </c>
      <c r="AJ498" s="536">
        <v>338</v>
      </c>
      <c r="AK498" s="536">
        <v>389</v>
      </c>
      <c r="AL498" s="536">
        <v>412</v>
      </c>
      <c r="AM498" s="536">
        <v>367</v>
      </c>
      <c r="AN498" s="536">
        <v>361</v>
      </c>
      <c r="AO498" s="536">
        <v>441</v>
      </c>
      <c r="AP498" s="536">
        <v>438</v>
      </c>
      <c r="AQ498" s="536">
        <v>468</v>
      </c>
      <c r="AR498" s="536">
        <v>465</v>
      </c>
      <c r="AS498" s="536">
        <v>442</v>
      </c>
      <c r="AT498" s="536">
        <v>467</v>
      </c>
      <c r="AU498" s="536">
        <v>398</v>
      </c>
      <c r="AV498" s="536">
        <v>423</v>
      </c>
      <c r="AW498" s="536">
        <v>418</v>
      </c>
      <c r="AX498" s="536">
        <v>449</v>
      </c>
      <c r="AY498" s="536">
        <v>389</v>
      </c>
      <c r="AZ498" s="536">
        <v>409</v>
      </c>
      <c r="BA498" s="536">
        <v>365</v>
      </c>
      <c r="BB498" s="536">
        <v>396</v>
      </c>
      <c r="BC498" s="536">
        <v>373</v>
      </c>
      <c r="BD498" s="536">
        <v>369</v>
      </c>
      <c r="BE498" s="536">
        <v>348</v>
      </c>
      <c r="BF498" s="536">
        <v>299</v>
      </c>
      <c r="BG498" s="536">
        <v>345</v>
      </c>
      <c r="BH498" s="536">
        <v>417</v>
      </c>
      <c r="BI498" s="536">
        <v>386</v>
      </c>
      <c r="BJ498" s="536">
        <v>430</v>
      </c>
      <c r="BK498" s="536">
        <v>495</v>
      </c>
      <c r="BL498" s="536">
        <v>469</v>
      </c>
      <c r="BM498" s="536">
        <v>471</v>
      </c>
      <c r="BN498" s="536">
        <v>521</v>
      </c>
      <c r="BO498" s="536">
        <v>498</v>
      </c>
      <c r="BP498" s="536">
        <v>491</v>
      </c>
      <c r="BQ498" s="536">
        <v>525</v>
      </c>
      <c r="BR498" s="536">
        <v>529</v>
      </c>
      <c r="BS498" s="536">
        <v>512</v>
      </c>
      <c r="BT498" s="536">
        <v>493</v>
      </c>
      <c r="BU498" s="536">
        <v>503</v>
      </c>
      <c r="BV498" s="536">
        <v>432</v>
      </c>
      <c r="BW498" s="536">
        <v>445</v>
      </c>
      <c r="BX498" s="536">
        <v>434</v>
      </c>
      <c r="BY498" s="536">
        <v>364</v>
      </c>
      <c r="BZ498" s="536">
        <v>441</v>
      </c>
      <c r="CA498" s="536">
        <v>389</v>
      </c>
      <c r="CB498" s="536">
        <v>372</v>
      </c>
      <c r="CC498" s="536">
        <v>364</v>
      </c>
      <c r="CD498" s="536">
        <v>375</v>
      </c>
      <c r="CE498" s="536">
        <v>341</v>
      </c>
      <c r="CF498" s="536">
        <v>358</v>
      </c>
      <c r="CG498" s="536">
        <v>351</v>
      </c>
      <c r="CH498" s="536">
        <v>359</v>
      </c>
      <c r="CI498" s="536">
        <v>343</v>
      </c>
      <c r="CJ498" s="536">
        <v>401</v>
      </c>
      <c r="CK498" s="536">
        <v>297</v>
      </c>
      <c r="CL498" s="536">
        <v>262</v>
      </c>
      <c r="CM498" s="536">
        <v>235</v>
      </c>
      <c r="CN498" s="536">
        <v>261</v>
      </c>
      <c r="CO498" s="536">
        <v>210</v>
      </c>
      <c r="CP498" s="536">
        <v>179</v>
      </c>
      <c r="CQ498" s="536">
        <v>155</v>
      </c>
      <c r="CR498" s="536">
        <v>164</v>
      </c>
      <c r="CS498" s="536">
        <v>135</v>
      </c>
      <c r="CT498" s="536">
        <v>101</v>
      </c>
      <c r="CU498" s="536">
        <v>100</v>
      </c>
      <c r="CV498" s="536">
        <v>87</v>
      </c>
      <c r="CW498" s="536">
        <v>55</v>
      </c>
      <c r="CX498" s="536">
        <v>58</v>
      </c>
      <c r="CY498" s="536">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c r="A499" s="31" t="s">
        <v>69</v>
      </c>
      <c r="B499" s="1" t="s">
        <v>567</v>
      </c>
      <c r="C499" s="30" t="str">
        <f t="shared" si="132"/>
        <v>LA Wales - Bridgend</v>
      </c>
      <c r="D499" s="50">
        <f t="shared" si="133"/>
        <v>57122</v>
      </c>
      <c r="E499" s="50">
        <f t="shared" si="134"/>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36">
        <v>731</v>
      </c>
      <c r="N499" s="536">
        <v>689</v>
      </c>
      <c r="O499" s="536">
        <v>714</v>
      </c>
      <c r="P499" s="536">
        <v>751</v>
      </c>
      <c r="Q499" s="536">
        <v>788</v>
      </c>
      <c r="R499" s="536">
        <v>823</v>
      </c>
      <c r="S499" s="536">
        <v>811</v>
      </c>
      <c r="T499" s="536">
        <v>852</v>
      </c>
      <c r="U499" s="536">
        <v>862</v>
      </c>
      <c r="V499" s="536">
        <v>879</v>
      </c>
      <c r="W499" s="536">
        <v>884</v>
      </c>
      <c r="X499" s="536">
        <v>978</v>
      </c>
      <c r="Y499" s="536">
        <v>895</v>
      </c>
      <c r="Z499" s="536">
        <v>924</v>
      </c>
      <c r="AA499" s="536">
        <v>890</v>
      </c>
      <c r="AB499" s="536">
        <v>868</v>
      </c>
      <c r="AC499" s="536">
        <v>836</v>
      </c>
      <c r="AD499" s="536">
        <v>905</v>
      </c>
      <c r="AE499" s="536">
        <v>777</v>
      </c>
      <c r="AF499" s="536">
        <v>641</v>
      </c>
      <c r="AG499" s="536">
        <v>674</v>
      </c>
      <c r="AH499" s="536">
        <v>686</v>
      </c>
      <c r="AI499" s="536">
        <v>727</v>
      </c>
      <c r="AJ499" s="536">
        <v>840</v>
      </c>
      <c r="AK499" s="536">
        <v>858</v>
      </c>
      <c r="AL499" s="536">
        <v>945</v>
      </c>
      <c r="AM499" s="536">
        <v>890</v>
      </c>
      <c r="AN499" s="536">
        <v>816</v>
      </c>
      <c r="AO499" s="536">
        <v>944</v>
      </c>
      <c r="AP499" s="536">
        <v>857</v>
      </c>
      <c r="AQ499" s="536">
        <v>968</v>
      </c>
      <c r="AR499" s="536">
        <v>910</v>
      </c>
      <c r="AS499" s="536">
        <v>982</v>
      </c>
      <c r="AT499" s="536">
        <v>986</v>
      </c>
      <c r="AU499" s="536">
        <v>996</v>
      </c>
      <c r="AV499" s="536">
        <v>984</v>
      </c>
      <c r="AW499" s="536">
        <v>944</v>
      </c>
      <c r="AX499" s="536">
        <v>937</v>
      </c>
      <c r="AY499" s="536">
        <v>874</v>
      </c>
      <c r="AZ499" s="536">
        <v>882</v>
      </c>
      <c r="BA499" s="536">
        <v>860</v>
      </c>
      <c r="BB499" s="536">
        <v>916</v>
      </c>
      <c r="BC499" s="536">
        <v>935</v>
      </c>
      <c r="BD499" s="536">
        <v>885</v>
      </c>
      <c r="BE499" s="536">
        <v>798</v>
      </c>
      <c r="BF499" s="536">
        <v>764</v>
      </c>
      <c r="BG499" s="536">
        <v>821</v>
      </c>
      <c r="BH499" s="536">
        <v>816</v>
      </c>
      <c r="BI499" s="536">
        <v>884</v>
      </c>
      <c r="BJ499" s="536">
        <v>901</v>
      </c>
      <c r="BK499" s="536">
        <v>1009</v>
      </c>
      <c r="BL499" s="536">
        <v>1091</v>
      </c>
      <c r="BM499" s="536">
        <v>977</v>
      </c>
      <c r="BN499" s="536">
        <v>1017</v>
      </c>
      <c r="BO499" s="536">
        <v>1078</v>
      </c>
      <c r="BP499" s="536">
        <v>1056</v>
      </c>
      <c r="BQ499" s="536">
        <v>1081</v>
      </c>
      <c r="BR499" s="536">
        <v>1062</v>
      </c>
      <c r="BS499" s="536">
        <v>1067</v>
      </c>
      <c r="BT499" s="536">
        <v>1000</v>
      </c>
      <c r="BU499" s="536">
        <v>1035</v>
      </c>
      <c r="BV499" s="536">
        <v>984</v>
      </c>
      <c r="BW499" s="536">
        <v>918</v>
      </c>
      <c r="BX499" s="536">
        <v>903</v>
      </c>
      <c r="BY499" s="536">
        <v>907</v>
      </c>
      <c r="BZ499" s="536">
        <v>835</v>
      </c>
      <c r="CA499" s="536">
        <v>831</v>
      </c>
      <c r="CB499" s="536">
        <v>766</v>
      </c>
      <c r="CC499" s="536">
        <v>742</v>
      </c>
      <c r="CD499" s="536">
        <v>776</v>
      </c>
      <c r="CE499" s="536">
        <v>736</v>
      </c>
      <c r="CF499" s="536">
        <v>767</v>
      </c>
      <c r="CG499" s="536">
        <v>726</v>
      </c>
      <c r="CH499" s="536">
        <v>780</v>
      </c>
      <c r="CI499" s="536">
        <v>754</v>
      </c>
      <c r="CJ499" s="536">
        <v>809</v>
      </c>
      <c r="CK499" s="536">
        <v>632</v>
      </c>
      <c r="CL499" s="536">
        <v>617</v>
      </c>
      <c r="CM499" s="536">
        <v>572</v>
      </c>
      <c r="CN499" s="536">
        <v>506</v>
      </c>
      <c r="CO499" s="536">
        <v>443</v>
      </c>
      <c r="CP499" s="536">
        <v>449</v>
      </c>
      <c r="CQ499" s="536">
        <v>367</v>
      </c>
      <c r="CR499" s="536">
        <v>336</v>
      </c>
      <c r="CS499" s="536">
        <v>314</v>
      </c>
      <c r="CT499" s="536">
        <v>257</v>
      </c>
      <c r="CU499" s="536">
        <v>226</v>
      </c>
      <c r="CV499" s="536">
        <v>223</v>
      </c>
      <c r="CW499" s="536">
        <v>154</v>
      </c>
      <c r="CX499" s="536">
        <v>144</v>
      </c>
      <c r="CY499" s="536">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c r="A500" s="31" t="s">
        <v>69</v>
      </c>
      <c r="B500" s="1" t="s">
        <v>568</v>
      </c>
      <c r="C500" s="30" t="str">
        <f t="shared" si="132"/>
        <v>LA Wales - Caerphilly</v>
      </c>
      <c r="D500" s="50">
        <f t="shared" si="133"/>
        <v>67530</v>
      </c>
      <c r="E500" s="50">
        <f t="shared" si="134"/>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36">
        <v>834</v>
      </c>
      <c r="N500" s="536">
        <v>824</v>
      </c>
      <c r="O500" s="536">
        <v>908</v>
      </c>
      <c r="P500" s="536">
        <v>935</v>
      </c>
      <c r="Q500" s="536">
        <v>1007</v>
      </c>
      <c r="R500" s="536">
        <v>996</v>
      </c>
      <c r="S500" s="536">
        <v>1029</v>
      </c>
      <c r="T500" s="536">
        <v>1072</v>
      </c>
      <c r="U500" s="536">
        <v>1068</v>
      </c>
      <c r="V500" s="536">
        <v>1056</v>
      </c>
      <c r="W500" s="536">
        <v>1069</v>
      </c>
      <c r="X500" s="536">
        <v>1095</v>
      </c>
      <c r="Y500" s="536">
        <v>1148</v>
      </c>
      <c r="Z500" s="536">
        <v>1126</v>
      </c>
      <c r="AA500" s="536">
        <v>1141</v>
      </c>
      <c r="AB500" s="536">
        <v>1053</v>
      </c>
      <c r="AC500" s="536">
        <v>1026</v>
      </c>
      <c r="AD500" s="536">
        <v>1028</v>
      </c>
      <c r="AE500" s="536">
        <v>1108</v>
      </c>
      <c r="AF500" s="536">
        <v>875</v>
      </c>
      <c r="AG500" s="536">
        <v>817</v>
      </c>
      <c r="AH500" s="536">
        <v>888</v>
      </c>
      <c r="AI500" s="536">
        <v>942</v>
      </c>
      <c r="AJ500" s="536">
        <v>891</v>
      </c>
      <c r="AK500" s="536">
        <v>901</v>
      </c>
      <c r="AL500" s="536">
        <v>1103</v>
      </c>
      <c r="AM500" s="536">
        <v>1005</v>
      </c>
      <c r="AN500" s="536">
        <v>987</v>
      </c>
      <c r="AO500" s="536">
        <v>1032</v>
      </c>
      <c r="AP500" s="536">
        <v>1030</v>
      </c>
      <c r="AQ500" s="536">
        <v>1074</v>
      </c>
      <c r="AR500" s="536">
        <v>1182</v>
      </c>
      <c r="AS500" s="536">
        <v>1115</v>
      </c>
      <c r="AT500" s="536">
        <v>1132</v>
      </c>
      <c r="AU500" s="536">
        <v>1167</v>
      </c>
      <c r="AV500" s="536">
        <v>1071</v>
      </c>
      <c r="AW500" s="536">
        <v>1140</v>
      </c>
      <c r="AX500" s="536">
        <v>1077</v>
      </c>
      <c r="AY500" s="536">
        <v>1079</v>
      </c>
      <c r="AZ500" s="536">
        <v>1060</v>
      </c>
      <c r="BA500" s="536">
        <v>1012</v>
      </c>
      <c r="BB500" s="536">
        <v>1070</v>
      </c>
      <c r="BC500" s="536">
        <v>1085</v>
      </c>
      <c r="BD500" s="536">
        <v>1002</v>
      </c>
      <c r="BE500" s="536">
        <v>958</v>
      </c>
      <c r="BF500" s="536">
        <v>997</v>
      </c>
      <c r="BG500" s="536">
        <v>992</v>
      </c>
      <c r="BH500" s="536">
        <v>988</v>
      </c>
      <c r="BI500" s="536">
        <v>1077</v>
      </c>
      <c r="BJ500" s="536">
        <v>1113</v>
      </c>
      <c r="BK500" s="536">
        <v>1157</v>
      </c>
      <c r="BL500" s="536">
        <v>1232</v>
      </c>
      <c r="BM500" s="536">
        <v>1129</v>
      </c>
      <c r="BN500" s="536">
        <v>1299</v>
      </c>
      <c r="BO500" s="536">
        <v>1259</v>
      </c>
      <c r="BP500" s="536">
        <v>1214</v>
      </c>
      <c r="BQ500" s="536">
        <v>1265</v>
      </c>
      <c r="BR500" s="536">
        <v>1277</v>
      </c>
      <c r="BS500" s="536">
        <v>1255</v>
      </c>
      <c r="BT500" s="536">
        <v>1273</v>
      </c>
      <c r="BU500" s="536">
        <v>1181</v>
      </c>
      <c r="BV500" s="536">
        <v>1146</v>
      </c>
      <c r="BW500" s="536">
        <v>1118</v>
      </c>
      <c r="BX500" s="536">
        <v>1064</v>
      </c>
      <c r="BY500" s="536">
        <v>1058</v>
      </c>
      <c r="BZ500" s="536">
        <v>1029</v>
      </c>
      <c r="CA500" s="536">
        <v>925</v>
      </c>
      <c r="CB500" s="536">
        <v>870</v>
      </c>
      <c r="CC500" s="536">
        <v>989</v>
      </c>
      <c r="CD500" s="536">
        <v>948</v>
      </c>
      <c r="CE500" s="536">
        <v>880</v>
      </c>
      <c r="CF500" s="536">
        <v>910</v>
      </c>
      <c r="CG500" s="536">
        <v>938</v>
      </c>
      <c r="CH500" s="536">
        <v>837</v>
      </c>
      <c r="CI500" s="536">
        <v>970</v>
      </c>
      <c r="CJ500" s="536">
        <v>989</v>
      </c>
      <c r="CK500" s="536">
        <v>740</v>
      </c>
      <c r="CL500" s="536">
        <v>691</v>
      </c>
      <c r="CM500" s="536">
        <v>645</v>
      </c>
      <c r="CN500" s="536">
        <v>570</v>
      </c>
      <c r="CO500" s="536">
        <v>578</v>
      </c>
      <c r="CP500" s="536">
        <v>442</v>
      </c>
      <c r="CQ500" s="536">
        <v>426</v>
      </c>
      <c r="CR500" s="536">
        <v>410</v>
      </c>
      <c r="CS500" s="536">
        <v>355</v>
      </c>
      <c r="CT500" s="536">
        <v>296</v>
      </c>
      <c r="CU500" s="536">
        <v>259</v>
      </c>
      <c r="CV500" s="536">
        <v>215</v>
      </c>
      <c r="CW500" s="536">
        <v>176</v>
      </c>
      <c r="CX500" s="536">
        <v>150</v>
      </c>
      <c r="CY500" s="536">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c r="A501" s="31" t="s">
        <v>69</v>
      </c>
      <c r="B501" s="1" t="s">
        <v>569</v>
      </c>
      <c r="C501" s="30" t="str">
        <f t="shared" si="132"/>
        <v>LA Wales - Cardiff</v>
      </c>
      <c r="D501" s="50">
        <f t="shared" si="133"/>
        <v>144027</v>
      </c>
      <c r="E501" s="50">
        <f t="shared" si="134"/>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36">
        <v>1950</v>
      </c>
      <c r="N501" s="536">
        <v>1875</v>
      </c>
      <c r="O501" s="536">
        <v>1880</v>
      </c>
      <c r="P501" s="536">
        <v>1977</v>
      </c>
      <c r="Q501" s="536">
        <v>2035</v>
      </c>
      <c r="R501" s="536">
        <v>2099</v>
      </c>
      <c r="S501" s="536">
        <v>2234</v>
      </c>
      <c r="T501" s="536">
        <v>2194</v>
      </c>
      <c r="U501" s="536">
        <v>2213</v>
      </c>
      <c r="V501" s="536">
        <v>2181</v>
      </c>
      <c r="W501" s="536">
        <v>2303</v>
      </c>
      <c r="X501" s="536">
        <v>2380</v>
      </c>
      <c r="Y501" s="536">
        <v>2271</v>
      </c>
      <c r="Z501" s="536">
        <v>2188</v>
      </c>
      <c r="AA501" s="536">
        <v>2173</v>
      </c>
      <c r="AB501" s="536">
        <v>2117</v>
      </c>
      <c r="AC501" s="536">
        <v>2130</v>
      </c>
      <c r="AD501" s="536">
        <v>2130</v>
      </c>
      <c r="AE501" s="536">
        <v>2327</v>
      </c>
      <c r="AF501" s="536">
        <v>4164</v>
      </c>
      <c r="AG501" s="536">
        <v>4565</v>
      </c>
      <c r="AH501" s="536">
        <v>4249</v>
      </c>
      <c r="AI501" s="536">
        <v>3797</v>
      </c>
      <c r="AJ501" s="536">
        <v>3628</v>
      </c>
      <c r="AK501" s="536">
        <v>3513</v>
      </c>
      <c r="AL501" s="536">
        <v>3439</v>
      </c>
      <c r="AM501" s="536">
        <v>3420</v>
      </c>
      <c r="AN501" s="536">
        <v>3228</v>
      </c>
      <c r="AO501" s="536">
        <v>3077</v>
      </c>
      <c r="AP501" s="536">
        <v>2999</v>
      </c>
      <c r="AQ501" s="536">
        <v>2824</v>
      </c>
      <c r="AR501" s="536">
        <v>2846</v>
      </c>
      <c r="AS501" s="536">
        <v>2776</v>
      </c>
      <c r="AT501" s="536">
        <v>2588</v>
      </c>
      <c r="AU501" s="536">
        <v>2705</v>
      </c>
      <c r="AV501" s="536">
        <v>2608</v>
      </c>
      <c r="AW501" s="536">
        <v>2669</v>
      </c>
      <c r="AX501" s="536">
        <v>2467</v>
      </c>
      <c r="AY501" s="536">
        <v>2494</v>
      </c>
      <c r="AZ501" s="536">
        <v>2498</v>
      </c>
      <c r="BA501" s="536">
        <v>2343</v>
      </c>
      <c r="BB501" s="536">
        <v>2361</v>
      </c>
      <c r="BC501" s="536">
        <v>2324</v>
      </c>
      <c r="BD501" s="536">
        <v>2260</v>
      </c>
      <c r="BE501" s="536">
        <v>2022</v>
      </c>
      <c r="BF501" s="536">
        <v>2128</v>
      </c>
      <c r="BG501" s="536">
        <v>2019</v>
      </c>
      <c r="BH501" s="536">
        <v>2027</v>
      </c>
      <c r="BI501" s="536">
        <v>2070</v>
      </c>
      <c r="BJ501" s="536">
        <v>1928</v>
      </c>
      <c r="BK501" s="536">
        <v>1966</v>
      </c>
      <c r="BL501" s="536">
        <v>2100</v>
      </c>
      <c r="BM501" s="536">
        <v>2061</v>
      </c>
      <c r="BN501" s="536">
        <v>2078</v>
      </c>
      <c r="BO501" s="536">
        <v>1992</v>
      </c>
      <c r="BP501" s="536">
        <v>2070</v>
      </c>
      <c r="BQ501" s="536">
        <v>1888</v>
      </c>
      <c r="BR501" s="536">
        <v>2027</v>
      </c>
      <c r="BS501" s="536">
        <v>1976</v>
      </c>
      <c r="BT501" s="536">
        <v>1918</v>
      </c>
      <c r="BU501" s="536">
        <v>1994</v>
      </c>
      <c r="BV501" s="536">
        <v>1814</v>
      </c>
      <c r="BW501" s="536">
        <v>1830</v>
      </c>
      <c r="BX501" s="536">
        <v>1808</v>
      </c>
      <c r="BY501" s="536">
        <v>1654</v>
      </c>
      <c r="BZ501" s="536">
        <v>1666</v>
      </c>
      <c r="CA501" s="536">
        <v>1538</v>
      </c>
      <c r="CB501" s="536">
        <v>1449</v>
      </c>
      <c r="CC501" s="536">
        <v>1467</v>
      </c>
      <c r="CD501" s="536">
        <v>1364</v>
      </c>
      <c r="CE501" s="536">
        <v>1286</v>
      </c>
      <c r="CF501" s="536">
        <v>1359</v>
      </c>
      <c r="CG501" s="536">
        <v>1353</v>
      </c>
      <c r="CH501" s="536">
        <v>1306</v>
      </c>
      <c r="CI501" s="536">
        <v>1244</v>
      </c>
      <c r="CJ501" s="536">
        <v>1342</v>
      </c>
      <c r="CK501" s="536">
        <v>991</v>
      </c>
      <c r="CL501" s="536">
        <v>942</v>
      </c>
      <c r="CM501" s="536">
        <v>905</v>
      </c>
      <c r="CN501" s="536">
        <v>742</v>
      </c>
      <c r="CO501" s="536">
        <v>691</v>
      </c>
      <c r="CP501" s="536">
        <v>611</v>
      </c>
      <c r="CQ501" s="536">
        <v>589</v>
      </c>
      <c r="CR501" s="536">
        <v>538</v>
      </c>
      <c r="CS501" s="536">
        <v>490</v>
      </c>
      <c r="CT501" s="536">
        <v>446</v>
      </c>
      <c r="CU501" s="536">
        <v>394</v>
      </c>
      <c r="CV501" s="536">
        <v>368</v>
      </c>
      <c r="CW501" s="536">
        <v>281</v>
      </c>
      <c r="CX501" s="536">
        <v>249</v>
      </c>
      <c r="CY501" s="536">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c r="A502" s="31" t="s">
        <v>69</v>
      </c>
      <c r="B502" s="1" t="s">
        <v>570</v>
      </c>
      <c r="C502" s="30" t="str">
        <f t="shared" si="132"/>
        <v>LA Wales - Carmarthenshire</v>
      </c>
      <c r="D502" s="50">
        <f t="shared" si="133"/>
        <v>73444</v>
      </c>
      <c r="E502" s="50">
        <f t="shared" si="134"/>
        <v>78994</v>
      </c>
      <c r="F502" s="51">
        <f t="shared" ref="F502:F519" si="135">G502+H502</f>
        <v>189117</v>
      </c>
      <c r="G502" s="51">
        <f t="shared" ref="G502:G519" si="136">SUM(M502:CY502)</f>
        <v>92284</v>
      </c>
      <c r="H502" s="52">
        <f t="shared" ref="H502:H519" si="137">SUM(CZ502:GL502)</f>
        <v>96833</v>
      </c>
      <c r="I502" s="52">
        <f t="shared" ref="I502:I519" si="138">SUM(AE502:CY502)</f>
        <v>73444</v>
      </c>
      <c r="J502" s="52">
        <f t="shared" ref="J502:J519" si="139">SUM(DR502:GL502)</f>
        <v>78994</v>
      </c>
      <c r="K502" s="49">
        <f t="shared" ref="K502:K519" si="140">SUM(M502:AD502)</f>
        <v>18840</v>
      </c>
      <c r="L502" s="50">
        <f t="shared" ref="L502:L519" si="141">SUM(CZ502:DQ502)</f>
        <v>17839</v>
      </c>
      <c r="M502" s="536">
        <v>856</v>
      </c>
      <c r="N502" s="536">
        <v>866</v>
      </c>
      <c r="O502" s="536">
        <v>854</v>
      </c>
      <c r="P502" s="536">
        <v>934</v>
      </c>
      <c r="Q502" s="536">
        <v>976</v>
      </c>
      <c r="R502" s="536">
        <v>1016</v>
      </c>
      <c r="S502" s="536">
        <v>1068</v>
      </c>
      <c r="T502" s="536">
        <v>1057</v>
      </c>
      <c r="U502" s="536">
        <v>1032</v>
      </c>
      <c r="V502" s="536">
        <v>1077</v>
      </c>
      <c r="W502" s="536">
        <v>1158</v>
      </c>
      <c r="X502" s="536">
        <v>1168</v>
      </c>
      <c r="Y502" s="536">
        <v>1148</v>
      </c>
      <c r="Z502" s="536">
        <v>1099</v>
      </c>
      <c r="AA502" s="536">
        <v>1137</v>
      </c>
      <c r="AB502" s="536">
        <v>1146</v>
      </c>
      <c r="AC502" s="536">
        <v>1150</v>
      </c>
      <c r="AD502" s="536">
        <v>1098</v>
      </c>
      <c r="AE502" s="536">
        <v>1071</v>
      </c>
      <c r="AF502" s="536">
        <v>898</v>
      </c>
      <c r="AG502" s="536">
        <v>829</v>
      </c>
      <c r="AH502" s="536">
        <v>834</v>
      </c>
      <c r="AI502" s="536">
        <v>847</v>
      </c>
      <c r="AJ502" s="536">
        <v>907</v>
      </c>
      <c r="AK502" s="536">
        <v>957</v>
      </c>
      <c r="AL502" s="536">
        <v>1013</v>
      </c>
      <c r="AM502" s="536">
        <v>1000</v>
      </c>
      <c r="AN502" s="536">
        <v>923</v>
      </c>
      <c r="AO502" s="536">
        <v>977</v>
      </c>
      <c r="AP502" s="536">
        <v>975</v>
      </c>
      <c r="AQ502" s="536">
        <v>1005</v>
      </c>
      <c r="AR502" s="536">
        <v>1049</v>
      </c>
      <c r="AS502" s="536">
        <v>1077</v>
      </c>
      <c r="AT502" s="536">
        <v>1035</v>
      </c>
      <c r="AU502" s="536">
        <v>1116</v>
      </c>
      <c r="AV502" s="536">
        <v>1060</v>
      </c>
      <c r="AW502" s="536">
        <v>1050</v>
      </c>
      <c r="AX502" s="536">
        <v>991</v>
      </c>
      <c r="AY502" s="536">
        <v>1021</v>
      </c>
      <c r="AZ502" s="536">
        <v>1015</v>
      </c>
      <c r="BA502" s="536">
        <v>996</v>
      </c>
      <c r="BB502" s="536">
        <v>1033</v>
      </c>
      <c r="BC502" s="536">
        <v>1042</v>
      </c>
      <c r="BD502" s="536">
        <v>1003</v>
      </c>
      <c r="BE502" s="536">
        <v>929</v>
      </c>
      <c r="BF502" s="536">
        <v>918</v>
      </c>
      <c r="BG502" s="536">
        <v>1008</v>
      </c>
      <c r="BH502" s="536">
        <v>1037</v>
      </c>
      <c r="BI502" s="536">
        <v>1074</v>
      </c>
      <c r="BJ502" s="536">
        <v>1130</v>
      </c>
      <c r="BK502" s="536">
        <v>1203</v>
      </c>
      <c r="BL502" s="536">
        <v>1281</v>
      </c>
      <c r="BM502" s="536">
        <v>1243</v>
      </c>
      <c r="BN502" s="536">
        <v>1231</v>
      </c>
      <c r="BO502" s="536">
        <v>1260</v>
      </c>
      <c r="BP502" s="536">
        <v>1356</v>
      </c>
      <c r="BQ502" s="536">
        <v>1372</v>
      </c>
      <c r="BR502" s="536">
        <v>1413</v>
      </c>
      <c r="BS502" s="536">
        <v>1455</v>
      </c>
      <c r="BT502" s="536">
        <v>1317</v>
      </c>
      <c r="BU502" s="536">
        <v>1416</v>
      </c>
      <c r="BV502" s="536">
        <v>1373</v>
      </c>
      <c r="BW502" s="536">
        <v>1349</v>
      </c>
      <c r="BX502" s="536">
        <v>1279</v>
      </c>
      <c r="BY502" s="536">
        <v>1311</v>
      </c>
      <c r="BZ502" s="536">
        <v>1261</v>
      </c>
      <c r="CA502" s="536">
        <v>1172</v>
      </c>
      <c r="CB502" s="536">
        <v>1270</v>
      </c>
      <c r="CC502" s="536">
        <v>1212</v>
      </c>
      <c r="CD502" s="536">
        <v>1197</v>
      </c>
      <c r="CE502" s="536">
        <v>1164</v>
      </c>
      <c r="CF502" s="536">
        <v>1112</v>
      </c>
      <c r="CG502" s="536">
        <v>1141</v>
      </c>
      <c r="CH502" s="536">
        <v>1175</v>
      </c>
      <c r="CI502" s="536">
        <v>1186</v>
      </c>
      <c r="CJ502" s="536">
        <v>1175</v>
      </c>
      <c r="CK502" s="536">
        <v>999</v>
      </c>
      <c r="CL502" s="536">
        <v>920</v>
      </c>
      <c r="CM502" s="536">
        <v>863</v>
      </c>
      <c r="CN502" s="536">
        <v>789</v>
      </c>
      <c r="CO502" s="536">
        <v>736</v>
      </c>
      <c r="CP502" s="536">
        <v>619</v>
      </c>
      <c r="CQ502" s="536">
        <v>561</v>
      </c>
      <c r="CR502" s="536">
        <v>506</v>
      </c>
      <c r="CS502" s="536">
        <v>445</v>
      </c>
      <c r="CT502" s="536">
        <v>454</v>
      </c>
      <c r="CU502" s="536">
        <v>361</v>
      </c>
      <c r="CV502" s="536">
        <v>330</v>
      </c>
      <c r="CW502" s="536">
        <v>265</v>
      </c>
      <c r="CX502" s="536">
        <v>198</v>
      </c>
      <c r="CY502" s="536">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c r="A503" s="31" t="s">
        <v>69</v>
      </c>
      <c r="B503" s="1" t="s">
        <v>571</v>
      </c>
      <c r="C503" s="30" t="str">
        <f t="shared" si="132"/>
        <v>LA Wales - Ceredigion</v>
      </c>
      <c r="D503" s="50">
        <f t="shared" si="133"/>
        <v>29123</v>
      </c>
      <c r="E503" s="50">
        <f t="shared" si="134"/>
        <v>30949</v>
      </c>
      <c r="F503" s="51">
        <f t="shared" si="135"/>
        <v>71610</v>
      </c>
      <c r="G503" s="51">
        <f t="shared" si="136"/>
        <v>34962</v>
      </c>
      <c r="H503" s="52">
        <f t="shared" si="137"/>
        <v>36648</v>
      </c>
      <c r="I503" s="52">
        <f t="shared" si="138"/>
        <v>29123</v>
      </c>
      <c r="J503" s="52">
        <f t="shared" si="139"/>
        <v>30949</v>
      </c>
      <c r="K503" s="49">
        <f t="shared" si="140"/>
        <v>5839</v>
      </c>
      <c r="L503" s="50">
        <f t="shared" si="141"/>
        <v>5699</v>
      </c>
      <c r="M503" s="536">
        <v>276</v>
      </c>
      <c r="N503" s="536">
        <v>237</v>
      </c>
      <c r="O503" s="536">
        <v>271</v>
      </c>
      <c r="P503" s="536">
        <v>294</v>
      </c>
      <c r="Q503" s="536">
        <v>285</v>
      </c>
      <c r="R503" s="536">
        <v>312</v>
      </c>
      <c r="S503" s="536">
        <v>341</v>
      </c>
      <c r="T503" s="536">
        <v>317</v>
      </c>
      <c r="U503" s="536">
        <v>309</v>
      </c>
      <c r="V503" s="536">
        <v>360</v>
      </c>
      <c r="W503" s="536">
        <v>360</v>
      </c>
      <c r="X503" s="536">
        <v>370</v>
      </c>
      <c r="Y503" s="536">
        <v>368</v>
      </c>
      <c r="Z503" s="536">
        <v>326</v>
      </c>
      <c r="AA503" s="536">
        <v>334</v>
      </c>
      <c r="AB503" s="536">
        <v>346</v>
      </c>
      <c r="AC503" s="536">
        <v>355</v>
      </c>
      <c r="AD503" s="536">
        <v>378</v>
      </c>
      <c r="AE503" s="536">
        <v>435</v>
      </c>
      <c r="AF503" s="536">
        <v>855</v>
      </c>
      <c r="AG503" s="536">
        <v>809</v>
      </c>
      <c r="AH503" s="536">
        <v>767</v>
      </c>
      <c r="AI503" s="536">
        <v>615</v>
      </c>
      <c r="AJ503" s="536">
        <v>548</v>
      </c>
      <c r="AK503" s="536">
        <v>432</v>
      </c>
      <c r="AL503" s="536">
        <v>350</v>
      </c>
      <c r="AM503" s="536">
        <v>336</v>
      </c>
      <c r="AN503" s="536">
        <v>361</v>
      </c>
      <c r="AO503" s="536">
        <v>363</v>
      </c>
      <c r="AP503" s="536">
        <v>307</v>
      </c>
      <c r="AQ503" s="536">
        <v>338</v>
      </c>
      <c r="AR503" s="536">
        <v>347</v>
      </c>
      <c r="AS503" s="536">
        <v>354</v>
      </c>
      <c r="AT503" s="536">
        <v>356</v>
      </c>
      <c r="AU503" s="536">
        <v>352</v>
      </c>
      <c r="AV503" s="536">
        <v>311</v>
      </c>
      <c r="AW503" s="536">
        <v>316</v>
      </c>
      <c r="AX503" s="536">
        <v>334</v>
      </c>
      <c r="AY503" s="536">
        <v>320</v>
      </c>
      <c r="AZ503" s="536">
        <v>335</v>
      </c>
      <c r="BA503" s="536">
        <v>353</v>
      </c>
      <c r="BB503" s="536">
        <v>347</v>
      </c>
      <c r="BC503" s="536">
        <v>316</v>
      </c>
      <c r="BD503" s="536">
        <v>308</v>
      </c>
      <c r="BE503" s="536">
        <v>280</v>
      </c>
      <c r="BF503" s="536">
        <v>309</v>
      </c>
      <c r="BG503" s="536">
        <v>342</v>
      </c>
      <c r="BH503" s="536">
        <v>348</v>
      </c>
      <c r="BI503" s="536">
        <v>356</v>
      </c>
      <c r="BJ503" s="536">
        <v>339</v>
      </c>
      <c r="BK503" s="536">
        <v>402</v>
      </c>
      <c r="BL503" s="536">
        <v>431</v>
      </c>
      <c r="BM503" s="536">
        <v>435</v>
      </c>
      <c r="BN503" s="536">
        <v>504</v>
      </c>
      <c r="BO503" s="536">
        <v>475</v>
      </c>
      <c r="BP503" s="536">
        <v>496</v>
      </c>
      <c r="BQ503" s="536">
        <v>511</v>
      </c>
      <c r="BR503" s="536">
        <v>501</v>
      </c>
      <c r="BS503" s="536">
        <v>541</v>
      </c>
      <c r="BT503" s="536">
        <v>553</v>
      </c>
      <c r="BU503" s="536">
        <v>538</v>
      </c>
      <c r="BV503" s="536">
        <v>517</v>
      </c>
      <c r="BW503" s="536">
        <v>495</v>
      </c>
      <c r="BX503" s="536">
        <v>529</v>
      </c>
      <c r="BY503" s="536">
        <v>518</v>
      </c>
      <c r="BZ503" s="536">
        <v>495</v>
      </c>
      <c r="CA503" s="536">
        <v>519</v>
      </c>
      <c r="CB503" s="536">
        <v>491</v>
      </c>
      <c r="CC503" s="536">
        <v>490</v>
      </c>
      <c r="CD503" s="536">
        <v>448</v>
      </c>
      <c r="CE503" s="536">
        <v>472</v>
      </c>
      <c r="CF503" s="536">
        <v>453</v>
      </c>
      <c r="CG503" s="536">
        <v>454</v>
      </c>
      <c r="CH503" s="536">
        <v>509</v>
      </c>
      <c r="CI503" s="536">
        <v>531</v>
      </c>
      <c r="CJ503" s="536">
        <v>500</v>
      </c>
      <c r="CK503" s="536">
        <v>376</v>
      </c>
      <c r="CL503" s="536">
        <v>376</v>
      </c>
      <c r="CM503" s="536">
        <v>354</v>
      </c>
      <c r="CN503" s="536">
        <v>347</v>
      </c>
      <c r="CO503" s="536">
        <v>289</v>
      </c>
      <c r="CP503" s="536">
        <v>213</v>
      </c>
      <c r="CQ503" s="536">
        <v>241</v>
      </c>
      <c r="CR503" s="536">
        <v>198</v>
      </c>
      <c r="CS503" s="536">
        <v>175</v>
      </c>
      <c r="CT503" s="536">
        <v>168</v>
      </c>
      <c r="CU503" s="536">
        <v>134</v>
      </c>
      <c r="CV503" s="536">
        <v>115</v>
      </c>
      <c r="CW503" s="536">
        <v>97</v>
      </c>
      <c r="CX503" s="536">
        <v>84</v>
      </c>
      <c r="CY503" s="536">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c r="A504" s="31" t="s">
        <v>69</v>
      </c>
      <c r="B504" s="1" t="s">
        <v>572</v>
      </c>
      <c r="C504" s="30" t="str">
        <f t="shared" si="132"/>
        <v>LA Wales - Conwy</v>
      </c>
      <c r="D504" s="50">
        <f t="shared" si="133"/>
        <v>44879</v>
      </c>
      <c r="E504" s="50">
        <f t="shared" si="134"/>
        <v>48853</v>
      </c>
      <c r="F504" s="51">
        <f t="shared" si="135"/>
        <v>114290</v>
      </c>
      <c r="G504" s="51">
        <f t="shared" si="136"/>
        <v>55416</v>
      </c>
      <c r="H504" s="52">
        <f t="shared" si="137"/>
        <v>58874</v>
      </c>
      <c r="I504" s="52">
        <f t="shared" si="138"/>
        <v>44879</v>
      </c>
      <c r="J504" s="52">
        <f t="shared" si="139"/>
        <v>48853</v>
      </c>
      <c r="K504" s="49">
        <f t="shared" si="140"/>
        <v>10537</v>
      </c>
      <c r="L504" s="50">
        <f t="shared" si="141"/>
        <v>10021</v>
      </c>
      <c r="M504" s="536">
        <v>483</v>
      </c>
      <c r="N504" s="536">
        <v>469</v>
      </c>
      <c r="O504" s="536">
        <v>522</v>
      </c>
      <c r="P504" s="536">
        <v>523</v>
      </c>
      <c r="Q504" s="536">
        <v>549</v>
      </c>
      <c r="R504" s="536">
        <v>540</v>
      </c>
      <c r="S504" s="536">
        <v>563</v>
      </c>
      <c r="T504" s="536">
        <v>620</v>
      </c>
      <c r="U504" s="536">
        <v>583</v>
      </c>
      <c r="V504" s="536">
        <v>622</v>
      </c>
      <c r="W504" s="536">
        <v>611</v>
      </c>
      <c r="X504" s="536">
        <v>686</v>
      </c>
      <c r="Y504" s="536">
        <v>621</v>
      </c>
      <c r="Z504" s="536">
        <v>634</v>
      </c>
      <c r="AA504" s="536">
        <v>601</v>
      </c>
      <c r="AB504" s="536">
        <v>642</v>
      </c>
      <c r="AC504" s="536">
        <v>627</v>
      </c>
      <c r="AD504" s="536">
        <v>641</v>
      </c>
      <c r="AE504" s="536">
        <v>613</v>
      </c>
      <c r="AF504" s="536">
        <v>404</v>
      </c>
      <c r="AG504" s="536">
        <v>422</v>
      </c>
      <c r="AH504" s="536">
        <v>441</v>
      </c>
      <c r="AI504" s="536">
        <v>543</v>
      </c>
      <c r="AJ504" s="536">
        <v>525</v>
      </c>
      <c r="AK504" s="536">
        <v>583</v>
      </c>
      <c r="AL504" s="536">
        <v>572</v>
      </c>
      <c r="AM504" s="536">
        <v>471</v>
      </c>
      <c r="AN504" s="536">
        <v>561</v>
      </c>
      <c r="AO504" s="536">
        <v>538</v>
      </c>
      <c r="AP504" s="536">
        <v>526</v>
      </c>
      <c r="AQ504" s="536">
        <v>576</v>
      </c>
      <c r="AR504" s="536">
        <v>623</v>
      </c>
      <c r="AS504" s="536">
        <v>576</v>
      </c>
      <c r="AT504" s="536">
        <v>615</v>
      </c>
      <c r="AU504" s="536">
        <v>597</v>
      </c>
      <c r="AV504" s="536">
        <v>594</v>
      </c>
      <c r="AW504" s="536">
        <v>552</v>
      </c>
      <c r="AX504" s="536">
        <v>589</v>
      </c>
      <c r="AY504" s="536">
        <v>559</v>
      </c>
      <c r="AZ504" s="536">
        <v>543</v>
      </c>
      <c r="BA504" s="536">
        <v>551</v>
      </c>
      <c r="BB504" s="536">
        <v>596</v>
      </c>
      <c r="BC504" s="536">
        <v>626</v>
      </c>
      <c r="BD504" s="536">
        <v>555</v>
      </c>
      <c r="BE504" s="536">
        <v>470</v>
      </c>
      <c r="BF504" s="536">
        <v>555</v>
      </c>
      <c r="BG504" s="536">
        <v>559</v>
      </c>
      <c r="BH504" s="536">
        <v>569</v>
      </c>
      <c r="BI504" s="536">
        <v>603</v>
      </c>
      <c r="BJ504" s="536">
        <v>679</v>
      </c>
      <c r="BK504" s="536">
        <v>788</v>
      </c>
      <c r="BL504" s="536">
        <v>775</v>
      </c>
      <c r="BM504" s="536">
        <v>750</v>
      </c>
      <c r="BN504" s="536">
        <v>805</v>
      </c>
      <c r="BO504" s="536">
        <v>775</v>
      </c>
      <c r="BP504" s="536">
        <v>819</v>
      </c>
      <c r="BQ504" s="536">
        <v>862</v>
      </c>
      <c r="BR504" s="536">
        <v>890</v>
      </c>
      <c r="BS504" s="536">
        <v>870</v>
      </c>
      <c r="BT504" s="536">
        <v>881</v>
      </c>
      <c r="BU504" s="536">
        <v>879</v>
      </c>
      <c r="BV504" s="536">
        <v>894</v>
      </c>
      <c r="BW504" s="536">
        <v>876</v>
      </c>
      <c r="BX504" s="536">
        <v>830</v>
      </c>
      <c r="BY504" s="536">
        <v>792</v>
      </c>
      <c r="BZ504" s="536">
        <v>785</v>
      </c>
      <c r="CA504" s="536">
        <v>740</v>
      </c>
      <c r="CB504" s="536">
        <v>717</v>
      </c>
      <c r="CC504" s="536">
        <v>789</v>
      </c>
      <c r="CD504" s="536">
        <v>744</v>
      </c>
      <c r="CE504" s="536">
        <v>734</v>
      </c>
      <c r="CF504" s="536">
        <v>780</v>
      </c>
      <c r="CG504" s="536">
        <v>723</v>
      </c>
      <c r="CH504" s="536">
        <v>809</v>
      </c>
      <c r="CI504" s="536">
        <v>853</v>
      </c>
      <c r="CJ504" s="536">
        <v>851</v>
      </c>
      <c r="CK504" s="536">
        <v>673</v>
      </c>
      <c r="CL504" s="536">
        <v>628</v>
      </c>
      <c r="CM504" s="536">
        <v>602</v>
      </c>
      <c r="CN504" s="536">
        <v>548</v>
      </c>
      <c r="CO504" s="536">
        <v>479</v>
      </c>
      <c r="CP504" s="536">
        <v>400</v>
      </c>
      <c r="CQ504" s="536">
        <v>367</v>
      </c>
      <c r="CR504" s="536">
        <v>373</v>
      </c>
      <c r="CS504" s="536">
        <v>296</v>
      </c>
      <c r="CT504" s="536">
        <v>289</v>
      </c>
      <c r="CU504" s="536">
        <v>267</v>
      </c>
      <c r="CV504" s="536">
        <v>251</v>
      </c>
      <c r="CW504" s="536">
        <v>195</v>
      </c>
      <c r="CX504" s="536">
        <v>194</v>
      </c>
      <c r="CY504" s="536">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c r="A505" s="31" t="s">
        <v>69</v>
      </c>
      <c r="B505" s="1" t="s">
        <v>573</v>
      </c>
      <c r="C505" s="30" t="str">
        <f t="shared" si="132"/>
        <v>LA Wales - Denbighshire</v>
      </c>
      <c r="D505" s="50">
        <f t="shared" si="133"/>
        <v>37039</v>
      </c>
      <c r="E505" s="50">
        <f t="shared" si="134"/>
        <v>40216</v>
      </c>
      <c r="F505" s="51">
        <f t="shared" si="135"/>
        <v>96558</v>
      </c>
      <c r="G505" s="51">
        <f t="shared" si="136"/>
        <v>46969</v>
      </c>
      <c r="H505" s="52">
        <f t="shared" si="137"/>
        <v>49589</v>
      </c>
      <c r="I505" s="52">
        <f t="shared" si="138"/>
        <v>37039</v>
      </c>
      <c r="J505" s="52">
        <f t="shared" si="139"/>
        <v>40216</v>
      </c>
      <c r="K505" s="49">
        <f t="shared" si="140"/>
        <v>9930</v>
      </c>
      <c r="L505" s="50">
        <f t="shared" si="141"/>
        <v>9373</v>
      </c>
      <c r="M505" s="536">
        <v>457</v>
      </c>
      <c r="N505" s="536">
        <v>493</v>
      </c>
      <c r="O505" s="536">
        <v>520</v>
      </c>
      <c r="P505" s="536">
        <v>480</v>
      </c>
      <c r="Q505" s="536">
        <v>486</v>
      </c>
      <c r="R505" s="536">
        <v>551</v>
      </c>
      <c r="S505" s="536">
        <v>523</v>
      </c>
      <c r="T505" s="536">
        <v>558</v>
      </c>
      <c r="U505" s="536">
        <v>524</v>
      </c>
      <c r="V505" s="536">
        <v>561</v>
      </c>
      <c r="W505" s="536">
        <v>567</v>
      </c>
      <c r="X505" s="536">
        <v>592</v>
      </c>
      <c r="Y505" s="536">
        <v>615</v>
      </c>
      <c r="Z505" s="536">
        <v>593</v>
      </c>
      <c r="AA505" s="536">
        <v>609</v>
      </c>
      <c r="AB505" s="536">
        <v>587</v>
      </c>
      <c r="AC505" s="536">
        <v>587</v>
      </c>
      <c r="AD505" s="536">
        <v>627</v>
      </c>
      <c r="AE505" s="536">
        <v>551</v>
      </c>
      <c r="AF505" s="536">
        <v>439</v>
      </c>
      <c r="AG505" s="536">
        <v>422</v>
      </c>
      <c r="AH505" s="536">
        <v>434</v>
      </c>
      <c r="AI505" s="536">
        <v>423</v>
      </c>
      <c r="AJ505" s="536">
        <v>470</v>
      </c>
      <c r="AK505" s="536">
        <v>490</v>
      </c>
      <c r="AL505" s="536">
        <v>482</v>
      </c>
      <c r="AM505" s="536">
        <v>514</v>
      </c>
      <c r="AN505" s="536">
        <v>470</v>
      </c>
      <c r="AO505" s="536">
        <v>500</v>
      </c>
      <c r="AP505" s="536">
        <v>483</v>
      </c>
      <c r="AQ505" s="536">
        <v>507</v>
      </c>
      <c r="AR505" s="536">
        <v>516</v>
      </c>
      <c r="AS505" s="536">
        <v>511</v>
      </c>
      <c r="AT505" s="536">
        <v>471</v>
      </c>
      <c r="AU505" s="536">
        <v>530</v>
      </c>
      <c r="AV505" s="536">
        <v>513</v>
      </c>
      <c r="AW505" s="536">
        <v>510</v>
      </c>
      <c r="AX505" s="536">
        <v>477</v>
      </c>
      <c r="AY505" s="536">
        <v>509</v>
      </c>
      <c r="AZ505" s="536">
        <v>424</v>
      </c>
      <c r="BA505" s="536">
        <v>488</v>
      </c>
      <c r="BB505" s="536">
        <v>496</v>
      </c>
      <c r="BC505" s="536">
        <v>500</v>
      </c>
      <c r="BD505" s="536">
        <v>478</v>
      </c>
      <c r="BE505" s="536">
        <v>422</v>
      </c>
      <c r="BF505" s="536">
        <v>464</v>
      </c>
      <c r="BG505" s="536">
        <v>515</v>
      </c>
      <c r="BH505" s="536">
        <v>516</v>
      </c>
      <c r="BI505" s="536">
        <v>525</v>
      </c>
      <c r="BJ505" s="536">
        <v>532</v>
      </c>
      <c r="BK505" s="536">
        <v>646</v>
      </c>
      <c r="BL505" s="536">
        <v>654</v>
      </c>
      <c r="BM505" s="536">
        <v>645</v>
      </c>
      <c r="BN505" s="536">
        <v>662</v>
      </c>
      <c r="BO505" s="536">
        <v>643</v>
      </c>
      <c r="BP505" s="536">
        <v>715</v>
      </c>
      <c r="BQ505" s="536">
        <v>681</v>
      </c>
      <c r="BR505" s="536">
        <v>758</v>
      </c>
      <c r="BS505" s="536">
        <v>746</v>
      </c>
      <c r="BT505" s="536">
        <v>697</v>
      </c>
      <c r="BU505" s="536">
        <v>737</v>
      </c>
      <c r="BV505" s="536">
        <v>654</v>
      </c>
      <c r="BW505" s="536">
        <v>713</v>
      </c>
      <c r="BX505" s="536">
        <v>665</v>
      </c>
      <c r="BY505" s="536">
        <v>635</v>
      </c>
      <c r="BZ505" s="536">
        <v>637</v>
      </c>
      <c r="CA505" s="536">
        <v>603</v>
      </c>
      <c r="CB505" s="536">
        <v>603</v>
      </c>
      <c r="CC505" s="536">
        <v>596</v>
      </c>
      <c r="CD505" s="536">
        <v>599</v>
      </c>
      <c r="CE505" s="536">
        <v>543</v>
      </c>
      <c r="CF505" s="536">
        <v>547</v>
      </c>
      <c r="CG505" s="536">
        <v>614</v>
      </c>
      <c r="CH505" s="536">
        <v>653</v>
      </c>
      <c r="CI505" s="536">
        <v>674</v>
      </c>
      <c r="CJ505" s="536">
        <v>666</v>
      </c>
      <c r="CK505" s="536">
        <v>469</v>
      </c>
      <c r="CL505" s="536">
        <v>446</v>
      </c>
      <c r="CM505" s="536">
        <v>473</v>
      </c>
      <c r="CN505" s="536">
        <v>443</v>
      </c>
      <c r="CO505" s="536">
        <v>359</v>
      </c>
      <c r="CP505" s="536">
        <v>328</v>
      </c>
      <c r="CQ505" s="536">
        <v>290</v>
      </c>
      <c r="CR505" s="536">
        <v>259</v>
      </c>
      <c r="CS505" s="536">
        <v>236</v>
      </c>
      <c r="CT505" s="536">
        <v>224</v>
      </c>
      <c r="CU505" s="536">
        <v>181</v>
      </c>
      <c r="CV505" s="536">
        <v>162</v>
      </c>
      <c r="CW505" s="536">
        <v>127</v>
      </c>
      <c r="CX505" s="536">
        <v>108</v>
      </c>
      <c r="CY505" s="536">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c r="A506" s="31" t="s">
        <v>69</v>
      </c>
      <c r="B506" s="1" t="s">
        <v>574</v>
      </c>
      <c r="C506" s="30" t="str">
        <f t="shared" si="132"/>
        <v>LA Wales - Flintshire</v>
      </c>
      <c r="D506" s="50">
        <f t="shared" si="133"/>
        <v>60140</v>
      </c>
      <c r="E506" s="50">
        <f t="shared" si="134"/>
        <v>64292</v>
      </c>
      <c r="F506" s="51">
        <f t="shared" si="135"/>
        <v>155319</v>
      </c>
      <c r="G506" s="51">
        <f t="shared" si="136"/>
        <v>76023</v>
      </c>
      <c r="H506" s="52">
        <f t="shared" si="137"/>
        <v>79296</v>
      </c>
      <c r="I506" s="52">
        <f t="shared" si="138"/>
        <v>60140</v>
      </c>
      <c r="J506" s="52">
        <f t="shared" si="139"/>
        <v>64292</v>
      </c>
      <c r="K506" s="49">
        <f t="shared" si="140"/>
        <v>15883</v>
      </c>
      <c r="L506" s="50">
        <f t="shared" si="141"/>
        <v>15004</v>
      </c>
      <c r="M506" s="536">
        <v>701</v>
      </c>
      <c r="N506" s="536">
        <v>780</v>
      </c>
      <c r="O506" s="536">
        <v>775</v>
      </c>
      <c r="P506" s="536">
        <v>770</v>
      </c>
      <c r="Q506" s="536">
        <v>817</v>
      </c>
      <c r="R506" s="536">
        <v>825</v>
      </c>
      <c r="S506" s="536">
        <v>849</v>
      </c>
      <c r="T506" s="536">
        <v>888</v>
      </c>
      <c r="U506" s="536">
        <v>904</v>
      </c>
      <c r="V506" s="536">
        <v>899</v>
      </c>
      <c r="W506" s="536">
        <v>971</v>
      </c>
      <c r="X506" s="536">
        <v>933</v>
      </c>
      <c r="Y506" s="536">
        <v>1008</v>
      </c>
      <c r="Z506" s="536">
        <v>933</v>
      </c>
      <c r="AA506" s="536">
        <v>1033</v>
      </c>
      <c r="AB506" s="536">
        <v>950</v>
      </c>
      <c r="AC506" s="536">
        <v>903</v>
      </c>
      <c r="AD506" s="536">
        <v>944</v>
      </c>
      <c r="AE506" s="536">
        <v>881</v>
      </c>
      <c r="AF506" s="536">
        <v>661</v>
      </c>
      <c r="AG506" s="536">
        <v>648</v>
      </c>
      <c r="AH506" s="536">
        <v>673</v>
      </c>
      <c r="AI506" s="536">
        <v>728</v>
      </c>
      <c r="AJ506" s="536">
        <v>844</v>
      </c>
      <c r="AK506" s="536">
        <v>853</v>
      </c>
      <c r="AL506" s="536">
        <v>829</v>
      </c>
      <c r="AM506" s="536">
        <v>799</v>
      </c>
      <c r="AN506" s="536">
        <v>822</v>
      </c>
      <c r="AO506" s="536">
        <v>837</v>
      </c>
      <c r="AP506" s="536">
        <v>879</v>
      </c>
      <c r="AQ506" s="536">
        <v>1004</v>
      </c>
      <c r="AR506" s="536">
        <v>928</v>
      </c>
      <c r="AS506" s="536">
        <v>919</v>
      </c>
      <c r="AT506" s="536">
        <v>961</v>
      </c>
      <c r="AU506" s="536">
        <v>970</v>
      </c>
      <c r="AV506" s="536">
        <v>947</v>
      </c>
      <c r="AW506" s="536">
        <v>978</v>
      </c>
      <c r="AX506" s="536">
        <v>903</v>
      </c>
      <c r="AY506" s="536">
        <v>860</v>
      </c>
      <c r="AZ506" s="536">
        <v>889</v>
      </c>
      <c r="BA506" s="536">
        <v>925</v>
      </c>
      <c r="BB506" s="536">
        <v>916</v>
      </c>
      <c r="BC506" s="536">
        <v>930</v>
      </c>
      <c r="BD506" s="536">
        <v>875</v>
      </c>
      <c r="BE506" s="536">
        <v>855</v>
      </c>
      <c r="BF506" s="536">
        <v>802</v>
      </c>
      <c r="BG506" s="536">
        <v>825</v>
      </c>
      <c r="BH506" s="536">
        <v>925</v>
      </c>
      <c r="BI506" s="536">
        <v>970</v>
      </c>
      <c r="BJ506" s="536">
        <v>989</v>
      </c>
      <c r="BK506" s="536">
        <v>1124</v>
      </c>
      <c r="BL506" s="536">
        <v>1159</v>
      </c>
      <c r="BM506" s="536">
        <v>1172</v>
      </c>
      <c r="BN506" s="536">
        <v>1222</v>
      </c>
      <c r="BO506" s="536">
        <v>1193</v>
      </c>
      <c r="BP506" s="536">
        <v>1115</v>
      </c>
      <c r="BQ506" s="536">
        <v>1116</v>
      </c>
      <c r="BR506" s="536">
        <v>1156</v>
      </c>
      <c r="BS506" s="536">
        <v>1196</v>
      </c>
      <c r="BT506" s="536">
        <v>1096</v>
      </c>
      <c r="BU506" s="536">
        <v>1149</v>
      </c>
      <c r="BV506" s="536">
        <v>1060</v>
      </c>
      <c r="BW506" s="536">
        <v>1024</v>
      </c>
      <c r="BX506" s="536">
        <v>1036</v>
      </c>
      <c r="BY506" s="536">
        <v>912</v>
      </c>
      <c r="BZ506" s="536">
        <v>883</v>
      </c>
      <c r="CA506" s="536">
        <v>867</v>
      </c>
      <c r="CB506" s="536">
        <v>793</v>
      </c>
      <c r="CC506" s="536">
        <v>812</v>
      </c>
      <c r="CD506" s="536">
        <v>850</v>
      </c>
      <c r="CE506" s="536">
        <v>761</v>
      </c>
      <c r="CF506" s="536">
        <v>877</v>
      </c>
      <c r="CG506" s="536">
        <v>832</v>
      </c>
      <c r="CH506" s="536">
        <v>891</v>
      </c>
      <c r="CI506" s="536">
        <v>922</v>
      </c>
      <c r="CJ506" s="536">
        <v>1006</v>
      </c>
      <c r="CK506" s="536">
        <v>637</v>
      </c>
      <c r="CL506" s="536">
        <v>646</v>
      </c>
      <c r="CM506" s="536">
        <v>660</v>
      </c>
      <c r="CN506" s="536">
        <v>553</v>
      </c>
      <c r="CO506" s="536">
        <v>481</v>
      </c>
      <c r="CP506" s="536">
        <v>430</v>
      </c>
      <c r="CQ506" s="536">
        <v>426</v>
      </c>
      <c r="CR506" s="536">
        <v>354</v>
      </c>
      <c r="CS506" s="536">
        <v>350</v>
      </c>
      <c r="CT506" s="536">
        <v>287</v>
      </c>
      <c r="CU506" s="536">
        <v>257</v>
      </c>
      <c r="CV506" s="536">
        <v>212</v>
      </c>
      <c r="CW506" s="536">
        <v>170</v>
      </c>
      <c r="CX506" s="536">
        <v>138</v>
      </c>
      <c r="CY506" s="536">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c r="A507" s="31" t="s">
        <v>69</v>
      </c>
      <c r="B507" s="1" t="s">
        <v>575</v>
      </c>
      <c r="C507" s="30" t="str">
        <f t="shared" si="132"/>
        <v>LA Wales - Gwynedd</v>
      </c>
      <c r="D507" s="50">
        <f t="shared" si="133"/>
        <v>46623</v>
      </c>
      <c r="E507" s="50">
        <f t="shared" si="134"/>
        <v>49111</v>
      </c>
      <c r="F507" s="51">
        <f t="shared" si="135"/>
        <v>117591</v>
      </c>
      <c r="G507" s="51">
        <f t="shared" si="136"/>
        <v>57848</v>
      </c>
      <c r="H507" s="52">
        <f t="shared" si="137"/>
        <v>59743</v>
      </c>
      <c r="I507" s="52">
        <f t="shared" si="138"/>
        <v>46623</v>
      </c>
      <c r="J507" s="52">
        <f t="shared" si="139"/>
        <v>49111</v>
      </c>
      <c r="K507" s="49">
        <f t="shared" si="140"/>
        <v>11225</v>
      </c>
      <c r="L507" s="50">
        <f t="shared" si="141"/>
        <v>10632</v>
      </c>
      <c r="M507" s="536">
        <v>554</v>
      </c>
      <c r="N507" s="536">
        <v>518</v>
      </c>
      <c r="O507" s="536">
        <v>550</v>
      </c>
      <c r="P507" s="536">
        <v>548</v>
      </c>
      <c r="Q507" s="536">
        <v>593</v>
      </c>
      <c r="R507" s="536">
        <v>563</v>
      </c>
      <c r="S507" s="536">
        <v>656</v>
      </c>
      <c r="T507" s="536">
        <v>596</v>
      </c>
      <c r="U507" s="536">
        <v>662</v>
      </c>
      <c r="V507" s="536">
        <v>660</v>
      </c>
      <c r="W507" s="536">
        <v>664</v>
      </c>
      <c r="X507" s="536">
        <v>666</v>
      </c>
      <c r="Y507" s="536">
        <v>714</v>
      </c>
      <c r="Z507" s="536">
        <v>665</v>
      </c>
      <c r="AA507" s="536">
        <v>674</v>
      </c>
      <c r="AB507" s="536">
        <v>671</v>
      </c>
      <c r="AC507" s="536">
        <v>653</v>
      </c>
      <c r="AD507" s="536">
        <v>618</v>
      </c>
      <c r="AE507" s="536">
        <v>660</v>
      </c>
      <c r="AF507" s="536">
        <v>869</v>
      </c>
      <c r="AG507" s="536">
        <v>893</v>
      </c>
      <c r="AH507" s="536">
        <v>930</v>
      </c>
      <c r="AI507" s="536">
        <v>871</v>
      </c>
      <c r="AJ507" s="536">
        <v>777</v>
      </c>
      <c r="AK507" s="536">
        <v>709</v>
      </c>
      <c r="AL507" s="536">
        <v>648</v>
      </c>
      <c r="AM507" s="536">
        <v>637</v>
      </c>
      <c r="AN507" s="536">
        <v>635</v>
      </c>
      <c r="AO507" s="536">
        <v>676</v>
      </c>
      <c r="AP507" s="536">
        <v>659</v>
      </c>
      <c r="AQ507" s="536">
        <v>661</v>
      </c>
      <c r="AR507" s="536">
        <v>643</v>
      </c>
      <c r="AS507" s="536">
        <v>663</v>
      </c>
      <c r="AT507" s="536">
        <v>677</v>
      </c>
      <c r="AU507" s="536">
        <v>680</v>
      </c>
      <c r="AV507" s="536">
        <v>704</v>
      </c>
      <c r="AW507" s="536">
        <v>572</v>
      </c>
      <c r="AX507" s="536">
        <v>595</v>
      </c>
      <c r="AY507" s="536">
        <v>582</v>
      </c>
      <c r="AZ507" s="536">
        <v>586</v>
      </c>
      <c r="BA507" s="536">
        <v>589</v>
      </c>
      <c r="BB507" s="536">
        <v>603</v>
      </c>
      <c r="BC507" s="536">
        <v>613</v>
      </c>
      <c r="BD507" s="536">
        <v>569</v>
      </c>
      <c r="BE507" s="536">
        <v>557</v>
      </c>
      <c r="BF507" s="536">
        <v>575</v>
      </c>
      <c r="BG507" s="536">
        <v>581</v>
      </c>
      <c r="BH507" s="536">
        <v>606</v>
      </c>
      <c r="BI507" s="536">
        <v>678</v>
      </c>
      <c r="BJ507" s="536">
        <v>722</v>
      </c>
      <c r="BK507" s="536">
        <v>767</v>
      </c>
      <c r="BL507" s="536">
        <v>811</v>
      </c>
      <c r="BM507" s="536">
        <v>804</v>
      </c>
      <c r="BN507" s="536">
        <v>775</v>
      </c>
      <c r="BO507" s="536">
        <v>801</v>
      </c>
      <c r="BP507" s="536">
        <v>799</v>
      </c>
      <c r="BQ507" s="536">
        <v>858</v>
      </c>
      <c r="BR507" s="536">
        <v>866</v>
      </c>
      <c r="BS507" s="536">
        <v>874</v>
      </c>
      <c r="BT507" s="536">
        <v>888</v>
      </c>
      <c r="BU507" s="536">
        <v>867</v>
      </c>
      <c r="BV507" s="536">
        <v>849</v>
      </c>
      <c r="BW507" s="536">
        <v>771</v>
      </c>
      <c r="BX507" s="536">
        <v>768</v>
      </c>
      <c r="BY507" s="536">
        <v>811</v>
      </c>
      <c r="BZ507" s="536">
        <v>756</v>
      </c>
      <c r="CA507" s="536">
        <v>711</v>
      </c>
      <c r="CB507" s="536">
        <v>727</v>
      </c>
      <c r="CC507" s="536">
        <v>675</v>
      </c>
      <c r="CD507" s="536">
        <v>709</v>
      </c>
      <c r="CE507" s="536">
        <v>650</v>
      </c>
      <c r="CF507" s="536">
        <v>649</v>
      </c>
      <c r="CG507" s="536">
        <v>649</v>
      </c>
      <c r="CH507" s="536">
        <v>729</v>
      </c>
      <c r="CI507" s="536">
        <v>764</v>
      </c>
      <c r="CJ507" s="536">
        <v>736</v>
      </c>
      <c r="CK507" s="536">
        <v>589</v>
      </c>
      <c r="CL507" s="536">
        <v>522</v>
      </c>
      <c r="CM507" s="536">
        <v>521</v>
      </c>
      <c r="CN507" s="536">
        <v>483</v>
      </c>
      <c r="CO507" s="536">
        <v>379</v>
      </c>
      <c r="CP507" s="536">
        <v>308</v>
      </c>
      <c r="CQ507" s="536">
        <v>331</v>
      </c>
      <c r="CR507" s="536">
        <v>327</v>
      </c>
      <c r="CS507" s="536">
        <v>274</v>
      </c>
      <c r="CT507" s="536">
        <v>248</v>
      </c>
      <c r="CU507" s="536">
        <v>221</v>
      </c>
      <c r="CV507" s="536">
        <v>181</v>
      </c>
      <c r="CW507" s="536">
        <v>162</v>
      </c>
      <c r="CX507" s="536">
        <v>135</v>
      </c>
      <c r="CY507" s="536">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c r="A508" s="31" t="s">
        <v>69</v>
      </c>
      <c r="B508" s="1" t="s">
        <v>576</v>
      </c>
      <c r="C508" s="30" t="str">
        <f t="shared" si="132"/>
        <v>LA Wales - Isle of Anglesey</v>
      </c>
      <c r="D508" s="50">
        <f t="shared" si="133"/>
        <v>27052</v>
      </c>
      <c r="E508" s="50">
        <f t="shared" si="134"/>
        <v>28893</v>
      </c>
      <c r="F508" s="51">
        <f t="shared" si="135"/>
        <v>69049</v>
      </c>
      <c r="G508" s="51">
        <f t="shared" si="136"/>
        <v>33761</v>
      </c>
      <c r="H508" s="52">
        <f t="shared" si="137"/>
        <v>35288</v>
      </c>
      <c r="I508" s="52">
        <f t="shared" si="138"/>
        <v>27052</v>
      </c>
      <c r="J508" s="52">
        <f t="shared" si="139"/>
        <v>28893</v>
      </c>
      <c r="K508" s="49">
        <f t="shared" si="140"/>
        <v>6709</v>
      </c>
      <c r="L508" s="50">
        <f t="shared" si="141"/>
        <v>6395</v>
      </c>
      <c r="M508" s="536">
        <v>273</v>
      </c>
      <c r="N508" s="536">
        <v>322</v>
      </c>
      <c r="O508" s="536">
        <v>305</v>
      </c>
      <c r="P508" s="536">
        <v>320</v>
      </c>
      <c r="Q508" s="536">
        <v>334</v>
      </c>
      <c r="R508" s="536">
        <v>383</v>
      </c>
      <c r="S508" s="536">
        <v>383</v>
      </c>
      <c r="T508" s="536">
        <v>361</v>
      </c>
      <c r="U508" s="536">
        <v>383</v>
      </c>
      <c r="V508" s="536">
        <v>411</v>
      </c>
      <c r="W508" s="536">
        <v>394</v>
      </c>
      <c r="X508" s="536">
        <v>440</v>
      </c>
      <c r="Y508" s="536">
        <v>405</v>
      </c>
      <c r="Z508" s="536">
        <v>438</v>
      </c>
      <c r="AA508" s="536">
        <v>385</v>
      </c>
      <c r="AB508" s="536">
        <v>392</v>
      </c>
      <c r="AC508" s="536">
        <v>391</v>
      </c>
      <c r="AD508" s="536">
        <v>389</v>
      </c>
      <c r="AE508" s="536">
        <v>348</v>
      </c>
      <c r="AF508" s="536">
        <v>299</v>
      </c>
      <c r="AG508" s="536">
        <v>302</v>
      </c>
      <c r="AH508" s="536">
        <v>273</v>
      </c>
      <c r="AI508" s="536">
        <v>297</v>
      </c>
      <c r="AJ508" s="536">
        <v>367</v>
      </c>
      <c r="AK508" s="536">
        <v>299</v>
      </c>
      <c r="AL508" s="536">
        <v>316</v>
      </c>
      <c r="AM508" s="536">
        <v>341</v>
      </c>
      <c r="AN508" s="536">
        <v>319</v>
      </c>
      <c r="AO508" s="536">
        <v>363</v>
      </c>
      <c r="AP508" s="536">
        <v>338</v>
      </c>
      <c r="AQ508" s="536">
        <v>332</v>
      </c>
      <c r="AR508" s="536">
        <v>349</v>
      </c>
      <c r="AS508" s="536">
        <v>346</v>
      </c>
      <c r="AT508" s="536">
        <v>349</v>
      </c>
      <c r="AU508" s="536">
        <v>381</v>
      </c>
      <c r="AV508" s="536">
        <v>373</v>
      </c>
      <c r="AW508" s="536">
        <v>310</v>
      </c>
      <c r="AX508" s="536">
        <v>347</v>
      </c>
      <c r="AY508" s="536">
        <v>371</v>
      </c>
      <c r="AZ508" s="536">
        <v>328</v>
      </c>
      <c r="BA508" s="536">
        <v>331</v>
      </c>
      <c r="BB508" s="536">
        <v>346</v>
      </c>
      <c r="BC508" s="536">
        <v>345</v>
      </c>
      <c r="BD508" s="536">
        <v>373</v>
      </c>
      <c r="BE508" s="536">
        <v>321</v>
      </c>
      <c r="BF508" s="536">
        <v>306</v>
      </c>
      <c r="BG508" s="536">
        <v>326</v>
      </c>
      <c r="BH508" s="536">
        <v>357</v>
      </c>
      <c r="BI508" s="536">
        <v>373</v>
      </c>
      <c r="BJ508" s="536">
        <v>436</v>
      </c>
      <c r="BK508" s="536">
        <v>448</v>
      </c>
      <c r="BL508" s="536">
        <v>493</v>
      </c>
      <c r="BM508" s="536">
        <v>440</v>
      </c>
      <c r="BN508" s="536">
        <v>466</v>
      </c>
      <c r="BO508" s="536">
        <v>481</v>
      </c>
      <c r="BP508" s="536">
        <v>523</v>
      </c>
      <c r="BQ508" s="536">
        <v>490</v>
      </c>
      <c r="BR508" s="536">
        <v>546</v>
      </c>
      <c r="BS508" s="536">
        <v>515</v>
      </c>
      <c r="BT508" s="536">
        <v>563</v>
      </c>
      <c r="BU508" s="536">
        <v>503</v>
      </c>
      <c r="BV508" s="536">
        <v>511</v>
      </c>
      <c r="BW508" s="536">
        <v>539</v>
      </c>
      <c r="BX508" s="536">
        <v>521</v>
      </c>
      <c r="BY508" s="536">
        <v>482</v>
      </c>
      <c r="BZ508" s="536">
        <v>468</v>
      </c>
      <c r="CA508" s="536">
        <v>489</v>
      </c>
      <c r="CB508" s="536">
        <v>476</v>
      </c>
      <c r="CC508" s="536">
        <v>458</v>
      </c>
      <c r="CD508" s="536">
        <v>460</v>
      </c>
      <c r="CE508" s="536">
        <v>458</v>
      </c>
      <c r="CF508" s="536">
        <v>438</v>
      </c>
      <c r="CG508" s="536">
        <v>468</v>
      </c>
      <c r="CH508" s="536">
        <v>490</v>
      </c>
      <c r="CI508" s="536">
        <v>504</v>
      </c>
      <c r="CJ508" s="536">
        <v>484</v>
      </c>
      <c r="CK508" s="536">
        <v>343</v>
      </c>
      <c r="CL508" s="536">
        <v>365</v>
      </c>
      <c r="CM508" s="536">
        <v>374</v>
      </c>
      <c r="CN508" s="536">
        <v>344</v>
      </c>
      <c r="CO508" s="536">
        <v>273</v>
      </c>
      <c r="CP508" s="536">
        <v>244</v>
      </c>
      <c r="CQ508" s="536">
        <v>233</v>
      </c>
      <c r="CR508" s="536">
        <v>249</v>
      </c>
      <c r="CS508" s="536">
        <v>194</v>
      </c>
      <c r="CT508" s="536">
        <v>174</v>
      </c>
      <c r="CU508" s="536">
        <v>143</v>
      </c>
      <c r="CV508" s="536">
        <v>115</v>
      </c>
      <c r="CW508" s="536">
        <v>82</v>
      </c>
      <c r="CX508" s="536">
        <v>77</v>
      </c>
      <c r="CY508" s="536">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c r="A509" s="31" t="s">
        <v>69</v>
      </c>
      <c r="B509" s="1" t="s">
        <v>577</v>
      </c>
      <c r="C509" s="30" t="str">
        <f t="shared" si="132"/>
        <v>LA Wales - Merthyr Tydfil</v>
      </c>
      <c r="D509" s="50">
        <f t="shared" si="133"/>
        <v>22353</v>
      </c>
      <c r="E509" s="50">
        <f t="shared" si="134"/>
        <v>24054</v>
      </c>
      <c r="F509" s="51">
        <f t="shared" si="135"/>
        <v>58883</v>
      </c>
      <c r="G509" s="51">
        <f t="shared" si="136"/>
        <v>28785</v>
      </c>
      <c r="H509" s="52">
        <f t="shared" si="137"/>
        <v>30098</v>
      </c>
      <c r="I509" s="52">
        <f t="shared" si="138"/>
        <v>22353</v>
      </c>
      <c r="J509" s="52">
        <f t="shared" si="139"/>
        <v>24054</v>
      </c>
      <c r="K509" s="49">
        <f t="shared" si="140"/>
        <v>6432</v>
      </c>
      <c r="L509" s="50">
        <f t="shared" si="141"/>
        <v>6044</v>
      </c>
      <c r="M509" s="536">
        <v>322</v>
      </c>
      <c r="N509" s="536">
        <v>325</v>
      </c>
      <c r="O509" s="536">
        <v>329</v>
      </c>
      <c r="P509" s="536">
        <v>309</v>
      </c>
      <c r="Q509" s="536">
        <v>371</v>
      </c>
      <c r="R509" s="536">
        <v>402</v>
      </c>
      <c r="S509" s="536">
        <v>381</v>
      </c>
      <c r="T509" s="536">
        <v>384</v>
      </c>
      <c r="U509" s="536">
        <v>350</v>
      </c>
      <c r="V509" s="536">
        <v>355</v>
      </c>
      <c r="W509" s="536">
        <v>378</v>
      </c>
      <c r="X509" s="536">
        <v>405</v>
      </c>
      <c r="Y509" s="536">
        <v>360</v>
      </c>
      <c r="Z509" s="536">
        <v>363</v>
      </c>
      <c r="AA509" s="536">
        <v>375</v>
      </c>
      <c r="AB509" s="536">
        <v>379</v>
      </c>
      <c r="AC509" s="536">
        <v>337</v>
      </c>
      <c r="AD509" s="536">
        <v>307</v>
      </c>
      <c r="AE509" s="536">
        <v>319</v>
      </c>
      <c r="AF509" s="536">
        <v>333</v>
      </c>
      <c r="AG509" s="536">
        <v>297</v>
      </c>
      <c r="AH509" s="536">
        <v>289</v>
      </c>
      <c r="AI509" s="536">
        <v>333</v>
      </c>
      <c r="AJ509" s="536">
        <v>329</v>
      </c>
      <c r="AK509" s="536">
        <v>314</v>
      </c>
      <c r="AL509" s="536">
        <v>356</v>
      </c>
      <c r="AM509" s="536">
        <v>342</v>
      </c>
      <c r="AN509" s="536">
        <v>329</v>
      </c>
      <c r="AO509" s="536">
        <v>375</v>
      </c>
      <c r="AP509" s="536">
        <v>373</v>
      </c>
      <c r="AQ509" s="536">
        <v>362</v>
      </c>
      <c r="AR509" s="536">
        <v>382</v>
      </c>
      <c r="AS509" s="536">
        <v>390</v>
      </c>
      <c r="AT509" s="536">
        <v>371</v>
      </c>
      <c r="AU509" s="536">
        <v>386</v>
      </c>
      <c r="AV509" s="536">
        <v>397</v>
      </c>
      <c r="AW509" s="536">
        <v>396</v>
      </c>
      <c r="AX509" s="536">
        <v>417</v>
      </c>
      <c r="AY509" s="536">
        <v>405</v>
      </c>
      <c r="AZ509" s="536">
        <v>353</v>
      </c>
      <c r="BA509" s="536">
        <v>345</v>
      </c>
      <c r="BB509" s="536">
        <v>368</v>
      </c>
      <c r="BC509" s="536">
        <v>386</v>
      </c>
      <c r="BD509" s="536">
        <v>340</v>
      </c>
      <c r="BE509" s="536">
        <v>284</v>
      </c>
      <c r="BF509" s="536">
        <v>280</v>
      </c>
      <c r="BG509" s="536">
        <v>319</v>
      </c>
      <c r="BH509" s="536">
        <v>331</v>
      </c>
      <c r="BI509" s="536">
        <v>303</v>
      </c>
      <c r="BJ509" s="536">
        <v>340</v>
      </c>
      <c r="BK509" s="536">
        <v>362</v>
      </c>
      <c r="BL509" s="536">
        <v>394</v>
      </c>
      <c r="BM509" s="536">
        <v>378</v>
      </c>
      <c r="BN509" s="536">
        <v>423</v>
      </c>
      <c r="BO509" s="536">
        <v>387</v>
      </c>
      <c r="BP509" s="536">
        <v>385</v>
      </c>
      <c r="BQ509" s="536">
        <v>419</v>
      </c>
      <c r="BR509" s="536">
        <v>416</v>
      </c>
      <c r="BS509" s="536">
        <v>421</v>
      </c>
      <c r="BT509" s="536">
        <v>381</v>
      </c>
      <c r="BU509" s="536">
        <v>405</v>
      </c>
      <c r="BV509" s="536">
        <v>379</v>
      </c>
      <c r="BW509" s="536">
        <v>383</v>
      </c>
      <c r="BX509" s="536">
        <v>405</v>
      </c>
      <c r="BY509" s="536">
        <v>393</v>
      </c>
      <c r="BZ509" s="536">
        <v>324</v>
      </c>
      <c r="CA509" s="536">
        <v>306</v>
      </c>
      <c r="CB509" s="536">
        <v>295</v>
      </c>
      <c r="CC509" s="536">
        <v>323</v>
      </c>
      <c r="CD509" s="536">
        <v>301</v>
      </c>
      <c r="CE509" s="536">
        <v>295</v>
      </c>
      <c r="CF509" s="536">
        <v>300</v>
      </c>
      <c r="CG509" s="536">
        <v>276</v>
      </c>
      <c r="CH509" s="536">
        <v>314</v>
      </c>
      <c r="CI509" s="536">
        <v>295</v>
      </c>
      <c r="CJ509" s="536">
        <v>264</v>
      </c>
      <c r="CK509" s="536">
        <v>208</v>
      </c>
      <c r="CL509" s="536">
        <v>225</v>
      </c>
      <c r="CM509" s="536">
        <v>219</v>
      </c>
      <c r="CN509" s="536">
        <v>190</v>
      </c>
      <c r="CO509" s="536">
        <v>177</v>
      </c>
      <c r="CP509" s="536">
        <v>123</v>
      </c>
      <c r="CQ509" s="536">
        <v>131</v>
      </c>
      <c r="CR509" s="536">
        <v>119</v>
      </c>
      <c r="CS509" s="536">
        <v>109</v>
      </c>
      <c r="CT509" s="536">
        <v>95</v>
      </c>
      <c r="CU509" s="536">
        <v>84</v>
      </c>
      <c r="CV509" s="536">
        <v>76</v>
      </c>
      <c r="CW509" s="536">
        <v>50</v>
      </c>
      <c r="CX509" s="536">
        <v>44</v>
      </c>
      <c r="CY509" s="536">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c r="A510" s="31" t="s">
        <v>69</v>
      </c>
      <c r="B510" s="1" t="s">
        <v>578</v>
      </c>
      <c r="C510" s="30" t="str">
        <f t="shared" si="132"/>
        <v>LA Wales - Monmouthshire</v>
      </c>
      <c r="D510" s="50">
        <f t="shared" si="133"/>
        <v>37260</v>
      </c>
      <c r="E510" s="50">
        <f t="shared" si="134"/>
        <v>39723</v>
      </c>
      <c r="F510" s="51">
        <f t="shared" si="135"/>
        <v>93886</v>
      </c>
      <c r="G510" s="51">
        <f t="shared" si="136"/>
        <v>46037</v>
      </c>
      <c r="H510" s="52">
        <f t="shared" si="137"/>
        <v>47849</v>
      </c>
      <c r="I510" s="52">
        <f t="shared" si="138"/>
        <v>37260</v>
      </c>
      <c r="J510" s="52">
        <f t="shared" si="139"/>
        <v>39723</v>
      </c>
      <c r="K510" s="49">
        <f t="shared" si="140"/>
        <v>8777</v>
      </c>
      <c r="L510" s="50">
        <f t="shared" si="141"/>
        <v>8126</v>
      </c>
      <c r="M510" s="536">
        <v>377</v>
      </c>
      <c r="N510" s="536">
        <v>383</v>
      </c>
      <c r="O510" s="536">
        <v>404</v>
      </c>
      <c r="P510" s="536">
        <v>394</v>
      </c>
      <c r="Q510" s="536">
        <v>447</v>
      </c>
      <c r="R510" s="536">
        <v>478</v>
      </c>
      <c r="S510" s="536">
        <v>490</v>
      </c>
      <c r="T510" s="536">
        <v>485</v>
      </c>
      <c r="U510" s="536">
        <v>489</v>
      </c>
      <c r="V510" s="536">
        <v>501</v>
      </c>
      <c r="W510" s="536">
        <v>531</v>
      </c>
      <c r="X510" s="536">
        <v>542</v>
      </c>
      <c r="Y510" s="536">
        <v>515</v>
      </c>
      <c r="Z510" s="536">
        <v>563</v>
      </c>
      <c r="AA510" s="536">
        <v>550</v>
      </c>
      <c r="AB510" s="536">
        <v>559</v>
      </c>
      <c r="AC510" s="536">
        <v>524</v>
      </c>
      <c r="AD510" s="536">
        <v>545</v>
      </c>
      <c r="AE510" s="536">
        <v>490</v>
      </c>
      <c r="AF510" s="536">
        <v>319</v>
      </c>
      <c r="AG510" s="536">
        <v>335</v>
      </c>
      <c r="AH510" s="536">
        <v>372</v>
      </c>
      <c r="AI510" s="536">
        <v>418</v>
      </c>
      <c r="AJ510" s="536">
        <v>441</v>
      </c>
      <c r="AK510" s="536">
        <v>398</v>
      </c>
      <c r="AL510" s="536">
        <v>495</v>
      </c>
      <c r="AM510" s="536">
        <v>449</v>
      </c>
      <c r="AN510" s="536">
        <v>462</v>
      </c>
      <c r="AO510" s="536">
        <v>457</v>
      </c>
      <c r="AP510" s="536">
        <v>442</v>
      </c>
      <c r="AQ510" s="536">
        <v>500</v>
      </c>
      <c r="AR510" s="536">
        <v>537</v>
      </c>
      <c r="AS510" s="536">
        <v>477</v>
      </c>
      <c r="AT510" s="536">
        <v>516</v>
      </c>
      <c r="AU510" s="536">
        <v>453</v>
      </c>
      <c r="AV510" s="536">
        <v>485</v>
      </c>
      <c r="AW510" s="536">
        <v>490</v>
      </c>
      <c r="AX510" s="536">
        <v>484</v>
      </c>
      <c r="AY510" s="536">
        <v>482</v>
      </c>
      <c r="AZ510" s="536">
        <v>486</v>
      </c>
      <c r="BA510" s="536">
        <v>499</v>
      </c>
      <c r="BB510" s="536">
        <v>471</v>
      </c>
      <c r="BC510" s="536">
        <v>509</v>
      </c>
      <c r="BD510" s="536">
        <v>520</v>
      </c>
      <c r="BE510" s="536">
        <v>463</v>
      </c>
      <c r="BF510" s="536">
        <v>519</v>
      </c>
      <c r="BG510" s="536">
        <v>496</v>
      </c>
      <c r="BH510" s="536">
        <v>549</v>
      </c>
      <c r="BI510" s="536">
        <v>538</v>
      </c>
      <c r="BJ510" s="536">
        <v>592</v>
      </c>
      <c r="BK510" s="536">
        <v>667</v>
      </c>
      <c r="BL510" s="536">
        <v>708</v>
      </c>
      <c r="BM510" s="536">
        <v>648</v>
      </c>
      <c r="BN510" s="536">
        <v>693</v>
      </c>
      <c r="BO510" s="536">
        <v>749</v>
      </c>
      <c r="BP510" s="536">
        <v>752</v>
      </c>
      <c r="BQ510" s="536">
        <v>784</v>
      </c>
      <c r="BR510" s="536">
        <v>766</v>
      </c>
      <c r="BS510" s="536">
        <v>756</v>
      </c>
      <c r="BT510" s="536">
        <v>782</v>
      </c>
      <c r="BU510" s="536">
        <v>721</v>
      </c>
      <c r="BV510" s="536">
        <v>717</v>
      </c>
      <c r="BW510" s="536">
        <v>665</v>
      </c>
      <c r="BX510" s="536">
        <v>635</v>
      </c>
      <c r="BY510" s="536">
        <v>685</v>
      </c>
      <c r="BZ510" s="536">
        <v>628</v>
      </c>
      <c r="CA510" s="536">
        <v>575</v>
      </c>
      <c r="CB510" s="536">
        <v>602</v>
      </c>
      <c r="CC510" s="536">
        <v>554</v>
      </c>
      <c r="CD510" s="536">
        <v>603</v>
      </c>
      <c r="CE510" s="536">
        <v>611</v>
      </c>
      <c r="CF510" s="536">
        <v>578</v>
      </c>
      <c r="CG510" s="536">
        <v>625</v>
      </c>
      <c r="CH510" s="536">
        <v>605</v>
      </c>
      <c r="CI510" s="536">
        <v>606</v>
      </c>
      <c r="CJ510" s="536">
        <v>658</v>
      </c>
      <c r="CK510" s="536">
        <v>487</v>
      </c>
      <c r="CL510" s="536">
        <v>470</v>
      </c>
      <c r="CM510" s="536">
        <v>490</v>
      </c>
      <c r="CN510" s="536">
        <v>437</v>
      </c>
      <c r="CO510" s="536">
        <v>368</v>
      </c>
      <c r="CP510" s="536">
        <v>310</v>
      </c>
      <c r="CQ510" s="536">
        <v>342</v>
      </c>
      <c r="CR510" s="536">
        <v>275</v>
      </c>
      <c r="CS510" s="536">
        <v>241</v>
      </c>
      <c r="CT510" s="536">
        <v>224</v>
      </c>
      <c r="CU510" s="536">
        <v>217</v>
      </c>
      <c r="CV510" s="536">
        <v>168</v>
      </c>
      <c r="CW510" s="536">
        <v>170</v>
      </c>
      <c r="CX510" s="536">
        <v>145</v>
      </c>
      <c r="CY510" s="536">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c r="A511" s="31" t="s">
        <v>69</v>
      </c>
      <c r="B511" s="1" t="s">
        <v>579</v>
      </c>
      <c r="C511" s="30" t="str">
        <f t="shared" si="132"/>
        <v>LA Wales - Neath Port Talbot</v>
      </c>
      <c r="D511" s="50">
        <f t="shared" si="133"/>
        <v>55265</v>
      </c>
      <c r="E511" s="50">
        <f t="shared" si="134"/>
        <v>58732</v>
      </c>
      <c r="F511" s="51">
        <f t="shared" si="135"/>
        <v>142158</v>
      </c>
      <c r="G511" s="51">
        <f t="shared" si="136"/>
        <v>69635</v>
      </c>
      <c r="H511" s="52">
        <f t="shared" si="137"/>
        <v>72523</v>
      </c>
      <c r="I511" s="52">
        <f t="shared" si="138"/>
        <v>55265</v>
      </c>
      <c r="J511" s="52">
        <f t="shared" si="139"/>
        <v>58732</v>
      </c>
      <c r="K511" s="49">
        <f t="shared" si="140"/>
        <v>14370</v>
      </c>
      <c r="L511" s="50">
        <f t="shared" si="141"/>
        <v>13791</v>
      </c>
      <c r="M511" s="536">
        <v>636</v>
      </c>
      <c r="N511" s="536">
        <v>642</v>
      </c>
      <c r="O511" s="536">
        <v>647</v>
      </c>
      <c r="P511" s="536">
        <v>707</v>
      </c>
      <c r="Q511" s="536">
        <v>762</v>
      </c>
      <c r="R511" s="536">
        <v>761</v>
      </c>
      <c r="S511" s="536">
        <v>825</v>
      </c>
      <c r="T511" s="536">
        <v>811</v>
      </c>
      <c r="U511" s="536">
        <v>818</v>
      </c>
      <c r="V511" s="536">
        <v>783</v>
      </c>
      <c r="W511" s="536">
        <v>915</v>
      </c>
      <c r="X511" s="536">
        <v>922</v>
      </c>
      <c r="Y511" s="536">
        <v>869</v>
      </c>
      <c r="Z511" s="536">
        <v>864</v>
      </c>
      <c r="AA511" s="536">
        <v>873</v>
      </c>
      <c r="AB511" s="536">
        <v>854</v>
      </c>
      <c r="AC511" s="536">
        <v>858</v>
      </c>
      <c r="AD511" s="536">
        <v>823</v>
      </c>
      <c r="AE511" s="536">
        <v>958</v>
      </c>
      <c r="AF511" s="536">
        <v>1502</v>
      </c>
      <c r="AG511" s="536">
        <v>878</v>
      </c>
      <c r="AH511" s="536">
        <v>667</v>
      </c>
      <c r="AI511" s="536">
        <v>607</v>
      </c>
      <c r="AJ511" s="536">
        <v>701</v>
      </c>
      <c r="AK511" s="536">
        <v>688</v>
      </c>
      <c r="AL511" s="536">
        <v>776</v>
      </c>
      <c r="AM511" s="536">
        <v>789</v>
      </c>
      <c r="AN511" s="536">
        <v>806</v>
      </c>
      <c r="AO511" s="536">
        <v>797</v>
      </c>
      <c r="AP511" s="536">
        <v>829</v>
      </c>
      <c r="AQ511" s="536">
        <v>904</v>
      </c>
      <c r="AR511" s="536">
        <v>851</v>
      </c>
      <c r="AS511" s="536">
        <v>855</v>
      </c>
      <c r="AT511" s="536">
        <v>855</v>
      </c>
      <c r="AU511" s="536">
        <v>825</v>
      </c>
      <c r="AV511" s="536">
        <v>845</v>
      </c>
      <c r="AW511" s="536">
        <v>903</v>
      </c>
      <c r="AX511" s="536">
        <v>859</v>
      </c>
      <c r="AY511" s="536">
        <v>868</v>
      </c>
      <c r="AZ511" s="536">
        <v>830</v>
      </c>
      <c r="BA511" s="536">
        <v>830</v>
      </c>
      <c r="BB511" s="536">
        <v>850</v>
      </c>
      <c r="BC511" s="536">
        <v>826</v>
      </c>
      <c r="BD511" s="536">
        <v>853</v>
      </c>
      <c r="BE511" s="536">
        <v>809</v>
      </c>
      <c r="BF511" s="536">
        <v>756</v>
      </c>
      <c r="BG511" s="536">
        <v>746</v>
      </c>
      <c r="BH511" s="536">
        <v>825</v>
      </c>
      <c r="BI511" s="536">
        <v>777</v>
      </c>
      <c r="BJ511" s="536">
        <v>849</v>
      </c>
      <c r="BK511" s="536">
        <v>862</v>
      </c>
      <c r="BL511" s="536">
        <v>954</v>
      </c>
      <c r="BM511" s="536">
        <v>904</v>
      </c>
      <c r="BN511" s="536">
        <v>948</v>
      </c>
      <c r="BO511" s="536">
        <v>1003</v>
      </c>
      <c r="BP511" s="536">
        <v>945</v>
      </c>
      <c r="BQ511" s="536">
        <v>984</v>
      </c>
      <c r="BR511" s="536">
        <v>991</v>
      </c>
      <c r="BS511" s="536">
        <v>1043</v>
      </c>
      <c r="BT511" s="536">
        <v>992</v>
      </c>
      <c r="BU511" s="536">
        <v>975</v>
      </c>
      <c r="BV511" s="536">
        <v>943</v>
      </c>
      <c r="BW511" s="536">
        <v>960</v>
      </c>
      <c r="BX511" s="536">
        <v>888</v>
      </c>
      <c r="BY511" s="536">
        <v>1006</v>
      </c>
      <c r="BZ511" s="536">
        <v>870</v>
      </c>
      <c r="CA511" s="536">
        <v>796</v>
      </c>
      <c r="CB511" s="536">
        <v>802</v>
      </c>
      <c r="CC511" s="536">
        <v>793</v>
      </c>
      <c r="CD511" s="536">
        <v>815</v>
      </c>
      <c r="CE511" s="536">
        <v>772</v>
      </c>
      <c r="CF511" s="536">
        <v>725</v>
      </c>
      <c r="CG511" s="536">
        <v>778</v>
      </c>
      <c r="CH511" s="536">
        <v>746</v>
      </c>
      <c r="CI511" s="536">
        <v>847</v>
      </c>
      <c r="CJ511" s="536">
        <v>799</v>
      </c>
      <c r="CK511" s="536">
        <v>579</v>
      </c>
      <c r="CL511" s="536">
        <v>577</v>
      </c>
      <c r="CM511" s="536">
        <v>556</v>
      </c>
      <c r="CN511" s="536">
        <v>505</v>
      </c>
      <c r="CO511" s="536">
        <v>452</v>
      </c>
      <c r="CP511" s="536">
        <v>360</v>
      </c>
      <c r="CQ511" s="536">
        <v>384</v>
      </c>
      <c r="CR511" s="536">
        <v>318</v>
      </c>
      <c r="CS511" s="536">
        <v>294</v>
      </c>
      <c r="CT511" s="536">
        <v>260</v>
      </c>
      <c r="CU511" s="536">
        <v>226</v>
      </c>
      <c r="CV511" s="536">
        <v>183</v>
      </c>
      <c r="CW511" s="536">
        <v>177</v>
      </c>
      <c r="CX511" s="536">
        <v>127</v>
      </c>
      <c r="CY511" s="536">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c r="A512" s="31" t="s">
        <v>69</v>
      </c>
      <c r="B512" s="1" t="s">
        <v>580</v>
      </c>
      <c r="C512" s="30" t="str">
        <f t="shared" si="132"/>
        <v>LA Wales - Newport</v>
      </c>
      <c r="D512" s="50">
        <f t="shared" si="133"/>
        <v>61039</v>
      </c>
      <c r="E512" s="50">
        <f t="shared" si="134"/>
        <v>63918</v>
      </c>
      <c r="F512" s="51">
        <f t="shared" si="135"/>
        <v>161506</v>
      </c>
      <c r="G512" s="51">
        <f t="shared" si="136"/>
        <v>79686</v>
      </c>
      <c r="H512" s="52">
        <f t="shared" si="137"/>
        <v>81820</v>
      </c>
      <c r="I512" s="52">
        <f t="shared" si="138"/>
        <v>61039</v>
      </c>
      <c r="J512" s="52">
        <f t="shared" si="139"/>
        <v>63918</v>
      </c>
      <c r="K512" s="49">
        <f t="shared" si="140"/>
        <v>18647</v>
      </c>
      <c r="L512" s="50">
        <f t="shared" si="141"/>
        <v>17902</v>
      </c>
      <c r="M512" s="536">
        <v>1002</v>
      </c>
      <c r="N512" s="536">
        <v>958</v>
      </c>
      <c r="O512" s="536">
        <v>993</v>
      </c>
      <c r="P512" s="536">
        <v>1033</v>
      </c>
      <c r="Q512" s="536">
        <v>1002</v>
      </c>
      <c r="R512" s="536">
        <v>1014</v>
      </c>
      <c r="S512" s="536">
        <v>1196</v>
      </c>
      <c r="T512" s="536">
        <v>1083</v>
      </c>
      <c r="U512" s="536">
        <v>1043</v>
      </c>
      <c r="V512" s="536">
        <v>1089</v>
      </c>
      <c r="W512" s="536">
        <v>1039</v>
      </c>
      <c r="X512" s="536">
        <v>1059</v>
      </c>
      <c r="Y512" s="536">
        <v>1048</v>
      </c>
      <c r="Z512" s="536">
        <v>1123</v>
      </c>
      <c r="AA512" s="536">
        <v>1128</v>
      </c>
      <c r="AB512" s="536">
        <v>945</v>
      </c>
      <c r="AC512" s="536">
        <v>940</v>
      </c>
      <c r="AD512" s="536">
        <v>952</v>
      </c>
      <c r="AE512" s="536">
        <v>969</v>
      </c>
      <c r="AF512" s="536">
        <v>782</v>
      </c>
      <c r="AG512" s="536">
        <v>699</v>
      </c>
      <c r="AH512" s="536">
        <v>774</v>
      </c>
      <c r="AI512" s="536">
        <v>881</v>
      </c>
      <c r="AJ512" s="536">
        <v>985</v>
      </c>
      <c r="AK512" s="536">
        <v>959</v>
      </c>
      <c r="AL512" s="536">
        <v>1027</v>
      </c>
      <c r="AM512" s="536">
        <v>1005</v>
      </c>
      <c r="AN512" s="536">
        <v>1020</v>
      </c>
      <c r="AO512" s="536">
        <v>1076</v>
      </c>
      <c r="AP512" s="536">
        <v>1245</v>
      </c>
      <c r="AQ512" s="536">
        <v>1220</v>
      </c>
      <c r="AR512" s="536">
        <v>1265</v>
      </c>
      <c r="AS512" s="536">
        <v>1169</v>
      </c>
      <c r="AT512" s="536">
        <v>1279</v>
      </c>
      <c r="AU512" s="536">
        <v>1332</v>
      </c>
      <c r="AV512" s="536">
        <v>1215</v>
      </c>
      <c r="AW512" s="536">
        <v>1185</v>
      </c>
      <c r="AX512" s="536">
        <v>1259</v>
      </c>
      <c r="AY512" s="536">
        <v>1143</v>
      </c>
      <c r="AZ512" s="536">
        <v>1017</v>
      </c>
      <c r="BA512" s="536">
        <v>1038</v>
      </c>
      <c r="BB512" s="536">
        <v>1044</v>
      </c>
      <c r="BC512" s="536">
        <v>1120</v>
      </c>
      <c r="BD512" s="536">
        <v>1055</v>
      </c>
      <c r="BE512" s="536">
        <v>942</v>
      </c>
      <c r="BF512" s="536">
        <v>907</v>
      </c>
      <c r="BG512" s="536">
        <v>917</v>
      </c>
      <c r="BH512" s="536">
        <v>953</v>
      </c>
      <c r="BI512" s="536">
        <v>944</v>
      </c>
      <c r="BJ512" s="536">
        <v>996</v>
      </c>
      <c r="BK512" s="536">
        <v>980</v>
      </c>
      <c r="BL512" s="536">
        <v>1095</v>
      </c>
      <c r="BM512" s="536">
        <v>1067</v>
      </c>
      <c r="BN512" s="536">
        <v>1100</v>
      </c>
      <c r="BO512" s="536">
        <v>948</v>
      </c>
      <c r="BP512" s="536">
        <v>1070</v>
      </c>
      <c r="BQ512" s="536">
        <v>1067</v>
      </c>
      <c r="BR512" s="536">
        <v>1053</v>
      </c>
      <c r="BS512" s="536">
        <v>1041</v>
      </c>
      <c r="BT512" s="536">
        <v>1021</v>
      </c>
      <c r="BU512" s="536">
        <v>935</v>
      </c>
      <c r="BV512" s="536">
        <v>982</v>
      </c>
      <c r="BW512" s="536">
        <v>893</v>
      </c>
      <c r="BX512" s="536">
        <v>964</v>
      </c>
      <c r="BY512" s="536">
        <v>829</v>
      </c>
      <c r="BZ512" s="536">
        <v>800</v>
      </c>
      <c r="CA512" s="536">
        <v>680</v>
      </c>
      <c r="CB512" s="536">
        <v>675</v>
      </c>
      <c r="CC512" s="536">
        <v>724</v>
      </c>
      <c r="CD512" s="536">
        <v>751</v>
      </c>
      <c r="CE512" s="536">
        <v>678</v>
      </c>
      <c r="CF512" s="536">
        <v>607</v>
      </c>
      <c r="CG512" s="536">
        <v>654</v>
      </c>
      <c r="CH512" s="536">
        <v>620</v>
      </c>
      <c r="CI512" s="536">
        <v>701</v>
      </c>
      <c r="CJ512" s="536">
        <v>753</v>
      </c>
      <c r="CK512" s="536">
        <v>517</v>
      </c>
      <c r="CL512" s="536">
        <v>519</v>
      </c>
      <c r="CM512" s="536">
        <v>492</v>
      </c>
      <c r="CN512" s="536">
        <v>470</v>
      </c>
      <c r="CO512" s="536">
        <v>374</v>
      </c>
      <c r="CP512" s="536">
        <v>319</v>
      </c>
      <c r="CQ512" s="536">
        <v>324</v>
      </c>
      <c r="CR512" s="536">
        <v>314</v>
      </c>
      <c r="CS512" s="536">
        <v>256</v>
      </c>
      <c r="CT512" s="536">
        <v>240</v>
      </c>
      <c r="CU512" s="536">
        <v>230</v>
      </c>
      <c r="CV512" s="536">
        <v>172</v>
      </c>
      <c r="CW512" s="536">
        <v>142</v>
      </c>
      <c r="CX512" s="536">
        <v>117</v>
      </c>
      <c r="CY512" s="536">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c r="A513" s="31" t="s">
        <v>69</v>
      </c>
      <c r="B513" s="1" t="s">
        <v>581</v>
      </c>
      <c r="C513" s="30" t="str">
        <f t="shared" si="132"/>
        <v>LA Wales - Pembrokeshire</v>
      </c>
      <c r="D513" s="50">
        <f t="shared" si="133"/>
        <v>48508</v>
      </c>
      <c r="E513" s="50">
        <f t="shared" si="134"/>
        <v>52320</v>
      </c>
      <c r="F513" s="51">
        <f t="shared" si="135"/>
        <v>124367</v>
      </c>
      <c r="G513" s="51">
        <f t="shared" si="136"/>
        <v>60607</v>
      </c>
      <c r="H513" s="52">
        <f t="shared" si="137"/>
        <v>63760</v>
      </c>
      <c r="I513" s="52">
        <f t="shared" si="138"/>
        <v>48508</v>
      </c>
      <c r="J513" s="52">
        <f t="shared" si="139"/>
        <v>52320</v>
      </c>
      <c r="K513" s="49">
        <f t="shared" si="140"/>
        <v>12099</v>
      </c>
      <c r="L513" s="50">
        <f t="shared" si="141"/>
        <v>11440</v>
      </c>
      <c r="M513" s="536">
        <v>547</v>
      </c>
      <c r="N513" s="536">
        <v>541</v>
      </c>
      <c r="O513" s="536">
        <v>560</v>
      </c>
      <c r="P513" s="536">
        <v>587</v>
      </c>
      <c r="Q513" s="536">
        <v>646</v>
      </c>
      <c r="R513" s="536">
        <v>630</v>
      </c>
      <c r="S513" s="536">
        <v>657</v>
      </c>
      <c r="T513" s="536">
        <v>695</v>
      </c>
      <c r="U513" s="536">
        <v>700</v>
      </c>
      <c r="V513" s="536">
        <v>693</v>
      </c>
      <c r="W513" s="536">
        <v>704</v>
      </c>
      <c r="X513" s="536">
        <v>745</v>
      </c>
      <c r="Y513" s="536">
        <v>723</v>
      </c>
      <c r="Z513" s="536">
        <v>691</v>
      </c>
      <c r="AA513" s="536">
        <v>785</v>
      </c>
      <c r="AB513" s="536">
        <v>690</v>
      </c>
      <c r="AC513" s="536">
        <v>779</v>
      </c>
      <c r="AD513" s="536">
        <v>726</v>
      </c>
      <c r="AE513" s="536">
        <v>659</v>
      </c>
      <c r="AF513" s="536">
        <v>545</v>
      </c>
      <c r="AG513" s="536">
        <v>505</v>
      </c>
      <c r="AH513" s="536">
        <v>573</v>
      </c>
      <c r="AI513" s="536">
        <v>608</v>
      </c>
      <c r="AJ513" s="536">
        <v>603</v>
      </c>
      <c r="AK513" s="536">
        <v>650</v>
      </c>
      <c r="AL513" s="536">
        <v>681</v>
      </c>
      <c r="AM513" s="536">
        <v>604</v>
      </c>
      <c r="AN513" s="536">
        <v>539</v>
      </c>
      <c r="AO513" s="536">
        <v>615</v>
      </c>
      <c r="AP513" s="536">
        <v>649</v>
      </c>
      <c r="AQ513" s="536">
        <v>715</v>
      </c>
      <c r="AR513" s="536">
        <v>687</v>
      </c>
      <c r="AS513" s="536">
        <v>631</v>
      </c>
      <c r="AT513" s="536">
        <v>601</v>
      </c>
      <c r="AU513" s="536">
        <v>686</v>
      </c>
      <c r="AV513" s="536">
        <v>659</v>
      </c>
      <c r="AW513" s="536">
        <v>623</v>
      </c>
      <c r="AX513" s="536">
        <v>623</v>
      </c>
      <c r="AY513" s="536">
        <v>614</v>
      </c>
      <c r="AZ513" s="536">
        <v>608</v>
      </c>
      <c r="BA513" s="536">
        <v>609</v>
      </c>
      <c r="BB513" s="536">
        <v>629</v>
      </c>
      <c r="BC513" s="536">
        <v>647</v>
      </c>
      <c r="BD513" s="536">
        <v>626</v>
      </c>
      <c r="BE513" s="536">
        <v>583</v>
      </c>
      <c r="BF513" s="536">
        <v>542</v>
      </c>
      <c r="BG513" s="536">
        <v>580</v>
      </c>
      <c r="BH513" s="536">
        <v>603</v>
      </c>
      <c r="BI513" s="536">
        <v>639</v>
      </c>
      <c r="BJ513" s="536">
        <v>703</v>
      </c>
      <c r="BK513" s="536">
        <v>754</v>
      </c>
      <c r="BL513" s="536">
        <v>757</v>
      </c>
      <c r="BM513" s="536">
        <v>818</v>
      </c>
      <c r="BN513" s="536">
        <v>808</v>
      </c>
      <c r="BO513" s="536">
        <v>855</v>
      </c>
      <c r="BP513" s="536">
        <v>905</v>
      </c>
      <c r="BQ513" s="536">
        <v>926</v>
      </c>
      <c r="BR513" s="536">
        <v>915</v>
      </c>
      <c r="BS513" s="536">
        <v>887</v>
      </c>
      <c r="BT513" s="536">
        <v>1009</v>
      </c>
      <c r="BU513" s="536">
        <v>967</v>
      </c>
      <c r="BV513" s="536">
        <v>914</v>
      </c>
      <c r="BW513" s="536">
        <v>904</v>
      </c>
      <c r="BX513" s="536">
        <v>952</v>
      </c>
      <c r="BY513" s="536">
        <v>893</v>
      </c>
      <c r="BZ513" s="536">
        <v>866</v>
      </c>
      <c r="CA513" s="536">
        <v>855</v>
      </c>
      <c r="CB513" s="536">
        <v>857</v>
      </c>
      <c r="CC513" s="536">
        <v>882</v>
      </c>
      <c r="CD513" s="536">
        <v>875</v>
      </c>
      <c r="CE513" s="536">
        <v>807</v>
      </c>
      <c r="CF513" s="536">
        <v>838</v>
      </c>
      <c r="CG513" s="536">
        <v>832</v>
      </c>
      <c r="CH513" s="536">
        <v>800</v>
      </c>
      <c r="CI513" s="536">
        <v>838</v>
      </c>
      <c r="CJ513" s="536">
        <v>882</v>
      </c>
      <c r="CK513" s="536">
        <v>614</v>
      </c>
      <c r="CL513" s="536">
        <v>659</v>
      </c>
      <c r="CM513" s="536">
        <v>627</v>
      </c>
      <c r="CN513" s="536">
        <v>545</v>
      </c>
      <c r="CO513" s="536">
        <v>490</v>
      </c>
      <c r="CP513" s="536">
        <v>469</v>
      </c>
      <c r="CQ513" s="536">
        <v>418</v>
      </c>
      <c r="CR513" s="536">
        <v>376</v>
      </c>
      <c r="CS513" s="536">
        <v>328</v>
      </c>
      <c r="CT513" s="536">
        <v>268</v>
      </c>
      <c r="CU513" s="536">
        <v>254</v>
      </c>
      <c r="CV513" s="536">
        <v>224</v>
      </c>
      <c r="CW513" s="536">
        <v>142</v>
      </c>
      <c r="CX513" s="536">
        <v>181</v>
      </c>
      <c r="CY513" s="536">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c r="A514" s="31" t="s">
        <v>69</v>
      </c>
      <c r="B514" s="1" t="s">
        <v>582</v>
      </c>
      <c r="C514" s="30" t="str">
        <f t="shared" si="132"/>
        <v>LA Wales - Powys</v>
      </c>
      <c r="D514" s="50">
        <f t="shared" si="133"/>
        <v>53985</v>
      </c>
      <c r="E514" s="50">
        <f t="shared" si="134"/>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36">
        <v>542</v>
      </c>
      <c r="N514" s="536">
        <v>558</v>
      </c>
      <c r="O514" s="536">
        <v>557</v>
      </c>
      <c r="P514" s="536">
        <v>623</v>
      </c>
      <c r="Q514" s="536">
        <v>680</v>
      </c>
      <c r="R514" s="536">
        <v>640</v>
      </c>
      <c r="S514" s="536">
        <v>636</v>
      </c>
      <c r="T514" s="536">
        <v>702</v>
      </c>
      <c r="U514" s="536">
        <v>710</v>
      </c>
      <c r="V514" s="536">
        <v>708</v>
      </c>
      <c r="W514" s="536">
        <v>684</v>
      </c>
      <c r="X514" s="536">
        <v>699</v>
      </c>
      <c r="Y514" s="536">
        <v>687</v>
      </c>
      <c r="Z514" s="536">
        <v>724</v>
      </c>
      <c r="AA514" s="536">
        <v>813</v>
      </c>
      <c r="AB514" s="536">
        <v>726</v>
      </c>
      <c r="AC514" s="536">
        <v>720</v>
      </c>
      <c r="AD514" s="536">
        <v>759</v>
      </c>
      <c r="AE514" s="536">
        <v>677</v>
      </c>
      <c r="AF514" s="536">
        <v>546</v>
      </c>
      <c r="AG514" s="536">
        <v>497</v>
      </c>
      <c r="AH514" s="536">
        <v>540</v>
      </c>
      <c r="AI514" s="536">
        <v>576</v>
      </c>
      <c r="AJ514" s="536">
        <v>708</v>
      </c>
      <c r="AK514" s="536">
        <v>659</v>
      </c>
      <c r="AL514" s="536">
        <v>640</v>
      </c>
      <c r="AM514" s="536">
        <v>700</v>
      </c>
      <c r="AN514" s="536">
        <v>643</v>
      </c>
      <c r="AO514" s="536">
        <v>676</v>
      </c>
      <c r="AP514" s="536">
        <v>655</v>
      </c>
      <c r="AQ514" s="536">
        <v>689</v>
      </c>
      <c r="AR514" s="536">
        <v>681</v>
      </c>
      <c r="AS514" s="536">
        <v>678</v>
      </c>
      <c r="AT514" s="536">
        <v>691</v>
      </c>
      <c r="AU514" s="536">
        <v>706</v>
      </c>
      <c r="AV514" s="536">
        <v>621</v>
      </c>
      <c r="AW514" s="536">
        <v>641</v>
      </c>
      <c r="AX514" s="536">
        <v>683</v>
      </c>
      <c r="AY514" s="536">
        <v>629</v>
      </c>
      <c r="AZ514" s="536">
        <v>628</v>
      </c>
      <c r="BA514" s="536">
        <v>668</v>
      </c>
      <c r="BB514" s="536">
        <v>643</v>
      </c>
      <c r="BC514" s="536">
        <v>674</v>
      </c>
      <c r="BD514" s="536">
        <v>652</v>
      </c>
      <c r="BE514" s="536">
        <v>622</v>
      </c>
      <c r="BF514" s="536">
        <v>638</v>
      </c>
      <c r="BG514" s="536">
        <v>646</v>
      </c>
      <c r="BH514" s="536">
        <v>721</v>
      </c>
      <c r="BI514" s="536">
        <v>733</v>
      </c>
      <c r="BJ514" s="536">
        <v>732</v>
      </c>
      <c r="BK514" s="536">
        <v>904</v>
      </c>
      <c r="BL514" s="536">
        <v>916</v>
      </c>
      <c r="BM514" s="536">
        <v>874</v>
      </c>
      <c r="BN514" s="536">
        <v>967</v>
      </c>
      <c r="BO514" s="536">
        <v>918</v>
      </c>
      <c r="BP514" s="536">
        <v>1049</v>
      </c>
      <c r="BQ514" s="536">
        <v>1027</v>
      </c>
      <c r="BR514" s="536">
        <v>1085</v>
      </c>
      <c r="BS514" s="536">
        <v>1055</v>
      </c>
      <c r="BT514" s="536">
        <v>1079</v>
      </c>
      <c r="BU514" s="536">
        <v>1083</v>
      </c>
      <c r="BV514" s="536">
        <v>1072</v>
      </c>
      <c r="BW514" s="536">
        <v>1062</v>
      </c>
      <c r="BX514" s="536">
        <v>1068</v>
      </c>
      <c r="BY514" s="536">
        <v>970</v>
      </c>
      <c r="BZ514" s="536">
        <v>1004</v>
      </c>
      <c r="CA514" s="536">
        <v>1048</v>
      </c>
      <c r="CB514" s="536">
        <v>920</v>
      </c>
      <c r="CC514" s="536">
        <v>981</v>
      </c>
      <c r="CD514" s="536">
        <v>986</v>
      </c>
      <c r="CE514" s="536">
        <v>946</v>
      </c>
      <c r="CF514" s="536">
        <v>909</v>
      </c>
      <c r="CG514" s="536">
        <v>957</v>
      </c>
      <c r="CH514" s="536">
        <v>966</v>
      </c>
      <c r="CI514" s="536">
        <v>1053</v>
      </c>
      <c r="CJ514" s="536">
        <v>1016</v>
      </c>
      <c r="CK514" s="536">
        <v>762</v>
      </c>
      <c r="CL514" s="536">
        <v>697</v>
      </c>
      <c r="CM514" s="536">
        <v>815</v>
      </c>
      <c r="CN514" s="536">
        <v>676</v>
      </c>
      <c r="CO514" s="536">
        <v>565</v>
      </c>
      <c r="CP514" s="536">
        <v>480</v>
      </c>
      <c r="CQ514" s="536">
        <v>484</v>
      </c>
      <c r="CR514" s="536">
        <v>421</v>
      </c>
      <c r="CS514" s="536">
        <v>402</v>
      </c>
      <c r="CT514" s="536">
        <v>348</v>
      </c>
      <c r="CU514" s="536">
        <v>295</v>
      </c>
      <c r="CV514" s="536">
        <v>283</v>
      </c>
      <c r="CW514" s="536">
        <v>234</v>
      </c>
      <c r="CX514" s="536">
        <v>151</v>
      </c>
      <c r="CY514" s="536">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c r="A515" s="31" t="s">
        <v>69</v>
      </c>
      <c r="B515" s="1" t="s">
        <v>583</v>
      </c>
      <c r="C515" s="30" t="str">
        <f t="shared" si="132"/>
        <v>LA Wales - Rhondda Cynon Taf</v>
      </c>
      <c r="D515" s="50">
        <f t="shared" si="133"/>
        <v>92142</v>
      </c>
      <c r="E515" s="50">
        <f t="shared" si="134"/>
        <v>97668</v>
      </c>
      <c r="F515" s="51">
        <f t="shared" si="135"/>
        <v>239018</v>
      </c>
      <c r="G515" s="51">
        <f t="shared" si="136"/>
        <v>117258</v>
      </c>
      <c r="H515" s="52">
        <f t="shared" si="137"/>
        <v>121760</v>
      </c>
      <c r="I515" s="52">
        <f t="shared" si="138"/>
        <v>92142</v>
      </c>
      <c r="J515" s="52">
        <f t="shared" si="139"/>
        <v>97668</v>
      </c>
      <c r="K515" s="49">
        <f t="shared" si="140"/>
        <v>25116</v>
      </c>
      <c r="L515" s="50">
        <f t="shared" si="141"/>
        <v>24092</v>
      </c>
      <c r="M515" s="536">
        <v>1182</v>
      </c>
      <c r="N515" s="536">
        <v>1192</v>
      </c>
      <c r="O515" s="536">
        <v>1246</v>
      </c>
      <c r="P515" s="536">
        <v>1330</v>
      </c>
      <c r="Q515" s="536">
        <v>1390</v>
      </c>
      <c r="R515" s="536">
        <v>1335</v>
      </c>
      <c r="S515" s="536">
        <v>1349</v>
      </c>
      <c r="T515" s="536">
        <v>1424</v>
      </c>
      <c r="U515" s="536">
        <v>1454</v>
      </c>
      <c r="V515" s="536">
        <v>1448</v>
      </c>
      <c r="W515" s="536">
        <v>1470</v>
      </c>
      <c r="X515" s="536">
        <v>1500</v>
      </c>
      <c r="Y515" s="536">
        <v>1414</v>
      </c>
      <c r="Z515" s="536">
        <v>1599</v>
      </c>
      <c r="AA515" s="536">
        <v>1471</v>
      </c>
      <c r="AB515" s="536">
        <v>1487</v>
      </c>
      <c r="AC515" s="536">
        <v>1400</v>
      </c>
      <c r="AD515" s="536">
        <v>1425</v>
      </c>
      <c r="AE515" s="536">
        <v>1383</v>
      </c>
      <c r="AF515" s="536">
        <v>1430</v>
      </c>
      <c r="AG515" s="536">
        <v>1361</v>
      </c>
      <c r="AH515" s="536">
        <v>1470</v>
      </c>
      <c r="AI515" s="536">
        <v>1333</v>
      </c>
      <c r="AJ515" s="536">
        <v>1508</v>
      </c>
      <c r="AK515" s="536">
        <v>1349</v>
      </c>
      <c r="AL515" s="536">
        <v>1510</v>
      </c>
      <c r="AM515" s="536">
        <v>1397</v>
      </c>
      <c r="AN515" s="536">
        <v>1501</v>
      </c>
      <c r="AO515" s="536">
        <v>1440</v>
      </c>
      <c r="AP515" s="536">
        <v>1561</v>
      </c>
      <c r="AQ515" s="536">
        <v>1531</v>
      </c>
      <c r="AR515" s="536">
        <v>1507</v>
      </c>
      <c r="AS515" s="536">
        <v>1666</v>
      </c>
      <c r="AT515" s="536">
        <v>1646</v>
      </c>
      <c r="AU515" s="536">
        <v>1508</v>
      </c>
      <c r="AV515" s="536">
        <v>1576</v>
      </c>
      <c r="AW515" s="536">
        <v>1511</v>
      </c>
      <c r="AX515" s="536">
        <v>1573</v>
      </c>
      <c r="AY515" s="536">
        <v>1526</v>
      </c>
      <c r="AZ515" s="536">
        <v>1487</v>
      </c>
      <c r="BA515" s="536">
        <v>1448</v>
      </c>
      <c r="BB515" s="536">
        <v>1387</v>
      </c>
      <c r="BC515" s="536">
        <v>1473</v>
      </c>
      <c r="BD515" s="536">
        <v>1436</v>
      </c>
      <c r="BE515" s="536">
        <v>1292</v>
      </c>
      <c r="BF515" s="536">
        <v>1234</v>
      </c>
      <c r="BG515" s="536">
        <v>1228</v>
      </c>
      <c r="BH515" s="536">
        <v>1344</v>
      </c>
      <c r="BI515" s="536">
        <v>1265</v>
      </c>
      <c r="BJ515" s="536">
        <v>1525</v>
      </c>
      <c r="BK515" s="536">
        <v>1616</v>
      </c>
      <c r="BL515" s="536">
        <v>1695</v>
      </c>
      <c r="BM515" s="536">
        <v>1558</v>
      </c>
      <c r="BN515" s="536">
        <v>1611</v>
      </c>
      <c r="BO515" s="536">
        <v>1667</v>
      </c>
      <c r="BP515" s="536">
        <v>1659</v>
      </c>
      <c r="BQ515" s="536">
        <v>1692</v>
      </c>
      <c r="BR515" s="536">
        <v>1734</v>
      </c>
      <c r="BS515" s="536">
        <v>1649</v>
      </c>
      <c r="BT515" s="536">
        <v>1594</v>
      </c>
      <c r="BU515" s="536">
        <v>1607</v>
      </c>
      <c r="BV515" s="536">
        <v>1496</v>
      </c>
      <c r="BW515" s="536">
        <v>1364</v>
      </c>
      <c r="BX515" s="536">
        <v>1434</v>
      </c>
      <c r="BY515" s="536">
        <v>1372</v>
      </c>
      <c r="BZ515" s="536">
        <v>1354</v>
      </c>
      <c r="CA515" s="536">
        <v>1261</v>
      </c>
      <c r="CB515" s="536">
        <v>1184</v>
      </c>
      <c r="CC515" s="536">
        <v>1223</v>
      </c>
      <c r="CD515" s="536">
        <v>1163</v>
      </c>
      <c r="CE515" s="536">
        <v>1238</v>
      </c>
      <c r="CF515" s="536">
        <v>1171</v>
      </c>
      <c r="CG515" s="536">
        <v>1232</v>
      </c>
      <c r="CH515" s="536">
        <v>1244</v>
      </c>
      <c r="CI515" s="536">
        <v>1280</v>
      </c>
      <c r="CJ515" s="536">
        <v>1272</v>
      </c>
      <c r="CK515" s="536">
        <v>1071</v>
      </c>
      <c r="CL515" s="536">
        <v>988</v>
      </c>
      <c r="CM515" s="536">
        <v>843</v>
      </c>
      <c r="CN515" s="536">
        <v>708</v>
      </c>
      <c r="CO515" s="536">
        <v>680</v>
      </c>
      <c r="CP515" s="536">
        <v>591</v>
      </c>
      <c r="CQ515" s="536">
        <v>536</v>
      </c>
      <c r="CR515" s="536">
        <v>480</v>
      </c>
      <c r="CS515" s="536">
        <v>454</v>
      </c>
      <c r="CT515" s="536">
        <v>366</v>
      </c>
      <c r="CU515" s="536">
        <v>342</v>
      </c>
      <c r="CV515" s="536">
        <v>288</v>
      </c>
      <c r="CW515" s="536">
        <v>231</v>
      </c>
      <c r="CX515" s="536">
        <v>183</v>
      </c>
      <c r="CY515" s="536">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c r="A516" s="31" t="s">
        <v>69</v>
      </c>
      <c r="B516" s="1" t="s">
        <v>584</v>
      </c>
      <c r="C516" s="30" t="str">
        <f t="shared" si="132"/>
        <v>LA Wales - Swansea</v>
      </c>
      <c r="D516" s="50">
        <f t="shared" si="133"/>
        <v>95345</v>
      </c>
      <c r="E516" s="50">
        <f t="shared" si="134"/>
        <v>99468</v>
      </c>
      <c r="F516" s="51">
        <f t="shared" si="135"/>
        <v>241282</v>
      </c>
      <c r="G516" s="51">
        <f t="shared" si="136"/>
        <v>119485</v>
      </c>
      <c r="H516" s="52">
        <f t="shared" si="137"/>
        <v>121797</v>
      </c>
      <c r="I516" s="52">
        <f t="shared" si="138"/>
        <v>95345</v>
      </c>
      <c r="J516" s="52">
        <f t="shared" si="139"/>
        <v>99468</v>
      </c>
      <c r="K516" s="49">
        <f t="shared" si="140"/>
        <v>24140</v>
      </c>
      <c r="L516" s="50">
        <f t="shared" si="141"/>
        <v>22329</v>
      </c>
      <c r="M516" s="536">
        <v>1134</v>
      </c>
      <c r="N516" s="536">
        <v>1063</v>
      </c>
      <c r="O516" s="536">
        <v>1133</v>
      </c>
      <c r="P516" s="536">
        <v>1224</v>
      </c>
      <c r="Q516" s="536">
        <v>1266</v>
      </c>
      <c r="R516" s="536">
        <v>1252</v>
      </c>
      <c r="S516" s="536">
        <v>1374</v>
      </c>
      <c r="T516" s="536">
        <v>1363</v>
      </c>
      <c r="U516" s="536">
        <v>1342</v>
      </c>
      <c r="V516" s="536">
        <v>1419</v>
      </c>
      <c r="W516" s="536">
        <v>1459</v>
      </c>
      <c r="X516" s="536">
        <v>1510</v>
      </c>
      <c r="Y516" s="536">
        <v>1407</v>
      </c>
      <c r="Z516" s="536">
        <v>1464</v>
      </c>
      <c r="AA516" s="536">
        <v>1527</v>
      </c>
      <c r="AB516" s="536">
        <v>1392</v>
      </c>
      <c r="AC516" s="536">
        <v>1385</v>
      </c>
      <c r="AD516" s="536">
        <v>1426</v>
      </c>
      <c r="AE516" s="536">
        <v>1459</v>
      </c>
      <c r="AF516" s="536">
        <v>1896</v>
      </c>
      <c r="AG516" s="536">
        <v>2522</v>
      </c>
      <c r="AH516" s="536">
        <v>2615</v>
      </c>
      <c r="AI516" s="536">
        <v>2280</v>
      </c>
      <c r="AJ516" s="536">
        <v>1910</v>
      </c>
      <c r="AK516" s="536">
        <v>1501</v>
      </c>
      <c r="AL516" s="536">
        <v>1507</v>
      </c>
      <c r="AM516" s="536">
        <v>1486</v>
      </c>
      <c r="AN516" s="536">
        <v>1351</v>
      </c>
      <c r="AO516" s="536">
        <v>1422</v>
      </c>
      <c r="AP516" s="536">
        <v>1448</v>
      </c>
      <c r="AQ516" s="536">
        <v>1520</v>
      </c>
      <c r="AR516" s="536">
        <v>1551</v>
      </c>
      <c r="AS516" s="536">
        <v>1644</v>
      </c>
      <c r="AT516" s="536">
        <v>1442</v>
      </c>
      <c r="AU516" s="536">
        <v>1501</v>
      </c>
      <c r="AV516" s="536">
        <v>1514</v>
      </c>
      <c r="AW516" s="536">
        <v>1498</v>
      </c>
      <c r="AX516" s="536">
        <v>1597</v>
      </c>
      <c r="AY516" s="536">
        <v>1396</v>
      </c>
      <c r="AZ516" s="536">
        <v>1455</v>
      </c>
      <c r="BA516" s="536">
        <v>1397</v>
      </c>
      <c r="BB516" s="536">
        <v>1417</v>
      </c>
      <c r="BC516" s="536">
        <v>1584</v>
      </c>
      <c r="BD516" s="536">
        <v>1343</v>
      </c>
      <c r="BE516" s="536">
        <v>1273</v>
      </c>
      <c r="BF516" s="536">
        <v>1289</v>
      </c>
      <c r="BG516" s="536">
        <v>1339</v>
      </c>
      <c r="BH516" s="536">
        <v>1379</v>
      </c>
      <c r="BI516" s="536">
        <v>1335</v>
      </c>
      <c r="BJ516" s="536">
        <v>1336</v>
      </c>
      <c r="BK516" s="536">
        <v>1462</v>
      </c>
      <c r="BL516" s="536">
        <v>1510</v>
      </c>
      <c r="BM516" s="536">
        <v>1509</v>
      </c>
      <c r="BN516" s="536">
        <v>1691</v>
      </c>
      <c r="BO516" s="536">
        <v>1552</v>
      </c>
      <c r="BP516" s="536">
        <v>1528</v>
      </c>
      <c r="BQ516" s="536">
        <v>1522</v>
      </c>
      <c r="BR516" s="536">
        <v>1665</v>
      </c>
      <c r="BS516" s="536">
        <v>1640</v>
      </c>
      <c r="BT516" s="536">
        <v>1484</v>
      </c>
      <c r="BU516" s="536">
        <v>1519</v>
      </c>
      <c r="BV516" s="536">
        <v>1456</v>
      </c>
      <c r="BW516" s="536">
        <v>1447</v>
      </c>
      <c r="BX516" s="536">
        <v>1394</v>
      </c>
      <c r="BY516" s="536">
        <v>1349</v>
      </c>
      <c r="BZ516" s="536">
        <v>1273</v>
      </c>
      <c r="CA516" s="536">
        <v>1240</v>
      </c>
      <c r="CB516" s="536">
        <v>1189</v>
      </c>
      <c r="CC516" s="536">
        <v>1181</v>
      </c>
      <c r="CD516" s="536">
        <v>1218</v>
      </c>
      <c r="CE516" s="536">
        <v>1171</v>
      </c>
      <c r="CF516" s="536">
        <v>1093</v>
      </c>
      <c r="CG516" s="536">
        <v>1212</v>
      </c>
      <c r="CH516" s="536">
        <v>1187</v>
      </c>
      <c r="CI516" s="536">
        <v>1233</v>
      </c>
      <c r="CJ516" s="536">
        <v>1340</v>
      </c>
      <c r="CK516" s="536">
        <v>889</v>
      </c>
      <c r="CL516" s="536">
        <v>905</v>
      </c>
      <c r="CM516" s="536">
        <v>899</v>
      </c>
      <c r="CN516" s="536">
        <v>852</v>
      </c>
      <c r="CO516" s="536">
        <v>748</v>
      </c>
      <c r="CP516" s="536">
        <v>612</v>
      </c>
      <c r="CQ516" s="536">
        <v>591</v>
      </c>
      <c r="CR516" s="536">
        <v>524</v>
      </c>
      <c r="CS516" s="536">
        <v>525</v>
      </c>
      <c r="CT516" s="536">
        <v>455</v>
      </c>
      <c r="CU516" s="536">
        <v>393</v>
      </c>
      <c r="CV516" s="536">
        <v>348</v>
      </c>
      <c r="CW516" s="536">
        <v>276</v>
      </c>
      <c r="CX516" s="536">
        <v>244</v>
      </c>
      <c r="CY516" s="536">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c r="A517" s="31" t="s">
        <v>69</v>
      </c>
      <c r="B517" s="1" t="s">
        <v>585</v>
      </c>
      <c r="C517" s="30" t="str">
        <f t="shared" si="132"/>
        <v>LA Wales - Torfaen</v>
      </c>
      <c r="D517" s="50">
        <f t="shared" si="133"/>
        <v>35074</v>
      </c>
      <c r="E517" s="50">
        <f t="shared" si="134"/>
        <v>38434</v>
      </c>
      <c r="F517" s="51">
        <f t="shared" si="135"/>
        <v>92860</v>
      </c>
      <c r="G517" s="51">
        <f t="shared" si="136"/>
        <v>45114</v>
      </c>
      <c r="H517" s="52">
        <f t="shared" si="137"/>
        <v>47746</v>
      </c>
      <c r="I517" s="52">
        <f t="shared" si="138"/>
        <v>35074</v>
      </c>
      <c r="J517" s="52">
        <f t="shared" si="139"/>
        <v>38434</v>
      </c>
      <c r="K517" s="49">
        <f t="shared" si="140"/>
        <v>10040</v>
      </c>
      <c r="L517" s="50">
        <f t="shared" si="141"/>
        <v>9312</v>
      </c>
      <c r="M517" s="536">
        <v>514</v>
      </c>
      <c r="N517" s="536">
        <v>466</v>
      </c>
      <c r="O517" s="536">
        <v>537</v>
      </c>
      <c r="P517" s="536">
        <v>540</v>
      </c>
      <c r="Q517" s="536">
        <v>516</v>
      </c>
      <c r="R517" s="536">
        <v>556</v>
      </c>
      <c r="S517" s="536">
        <v>581</v>
      </c>
      <c r="T517" s="536">
        <v>514</v>
      </c>
      <c r="U517" s="536">
        <v>551</v>
      </c>
      <c r="V517" s="536">
        <v>551</v>
      </c>
      <c r="W517" s="536">
        <v>588</v>
      </c>
      <c r="X517" s="536">
        <v>600</v>
      </c>
      <c r="Y517" s="536">
        <v>586</v>
      </c>
      <c r="Z517" s="536">
        <v>625</v>
      </c>
      <c r="AA517" s="536">
        <v>581</v>
      </c>
      <c r="AB517" s="536">
        <v>557</v>
      </c>
      <c r="AC517" s="536">
        <v>592</v>
      </c>
      <c r="AD517" s="536">
        <v>585</v>
      </c>
      <c r="AE517" s="536">
        <v>488</v>
      </c>
      <c r="AF517" s="536">
        <v>425</v>
      </c>
      <c r="AG517" s="536">
        <v>404</v>
      </c>
      <c r="AH517" s="536">
        <v>418</v>
      </c>
      <c r="AI517" s="536">
        <v>438</v>
      </c>
      <c r="AJ517" s="536">
        <v>462</v>
      </c>
      <c r="AK517" s="536">
        <v>507</v>
      </c>
      <c r="AL517" s="536">
        <v>598</v>
      </c>
      <c r="AM517" s="536">
        <v>533</v>
      </c>
      <c r="AN517" s="536">
        <v>576</v>
      </c>
      <c r="AO517" s="536">
        <v>555</v>
      </c>
      <c r="AP517" s="536">
        <v>540</v>
      </c>
      <c r="AQ517" s="536">
        <v>596</v>
      </c>
      <c r="AR517" s="536">
        <v>615</v>
      </c>
      <c r="AS517" s="536">
        <v>622</v>
      </c>
      <c r="AT517" s="536">
        <v>617</v>
      </c>
      <c r="AU517" s="536">
        <v>553</v>
      </c>
      <c r="AV517" s="536">
        <v>586</v>
      </c>
      <c r="AW517" s="536">
        <v>593</v>
      </c>
      <c r="AX517" s="536">
        <v>574</v>
      </c>
      <c r="AY517" s="536">
        <v>532</v>
      </c>
      <c r="AZ517" s="536">
        <v>548</v>
      </c>
      <c r="BA517" s="536">
        <v>555</v>
      </c>
      <c r="BB517" s="536">
        <v>493</v>
      </c>
      <c r="BC517" s="536">
        <v>523</v>
      </c>
      <c r="BD517" s="536">
        <v>539</v>
      </c>
      <c r="BE517" s="536">
        <v>428</v>
      </c>
      <c r="BF517" s="536">
        <v>504</v>
      </c>
      <c r="BG517" s="536">
        <v>432</v>
      </c>
      <c r="BH517" s="536">
        <v>497</v>
      </c>
      <c r="BI517" s="536">
        <v>493</v>
      </c>
      <c r="BJ517" s="536">
        <v>561</v>
      </c>
      <c r="BK517" s="536">
        <v>569</v>
      </c>
      <c r="BL517" s="536">
        <v>636</v>
      </c>
      <c r="BM517" s="536">
        <v>634</v>
      </c>
      <c r="BN517" s="536">
        <v>601</v>
      </c>
      <c r="BO517" s="536">
        <v>597</v>
      </c>
      <c r="BP517" s="536">
        <v>623</v>
      </c>
      <c r="BQ517" s="536">
        <v>631</v>
      </c>
      <c r="BR517" s="536">
        <v>707</v>
      </c>
      <c r="BS517" s="536">
        <v>646</v>
      </c>
      <c r="BT517" s="536">
        <v>672</v>
      </c>
      <c r="BU517" s="536">
        <v>661</v>
      </c>
      <c r="BV517" s="536">
        <v>655</v>
      </c>
      <c r="BW517" s="536">
        <v>574</v>
      </c>
      <c r="BX517" s="536">
        <v>580</v>
      </c>
      <c r="BY517" s="536">
        <v>594</v>
      </c>
      <c r="BZ517" s="536">
        <v>511</v>
      </c>
      <c r="CA517" s="536">
        <v>490</v>
      </c>
      <c r="CB517" s="536">
        <v>470</v>
      </c>
      <c r="CC517" s="536">
        <v>535</v>
      </c>
      <c r="CD517" s="536">
        <v>469</v>
      </c>
      <c r="CE517" s="536">
        <v>488</v>
      </c>
      <c r="CF517" s="536">
        <v>479</v>
      </c>
      <c r="CG517" s="536">
        <v>457</v>
      </c>
      <c r="CH517" s="536">
        <v>484</v>
      </c>
      <c r="CI517" s="536">
        <v>455</v>
      </c>
      <c r="CJ517" s="536">
        <v>541</v>
      </c>
      <c r="CK517" s="536">
        <v>404</v>
      </c>
      <c r="CL517" s="536">
        <v>398</v>
      </c>
      <c r="CM517" s="536">
        <v>348</v>
      </c>
      <c r="CN517" s="536">
        <v>298</v>
      </c>
      <c r="CO517" s="536">
        <v>266</v>
      </c>
      <c r="CP517" s="536">
        <v>246</v>
      </c>
      <c r="CQ517" s="536">
        <v>224</v>
      </c>
      <c r="CR517" s="536">
        <v>223</v>
      </c>
      <c r="CS517" s="536">
        <v>187</v>
      </c>
      <c r="CT517" s="536">
        <v>157</v>
      </c>
      <c r="CU517" s="536">
        <v>143</v>
      </c>
      <c r="CV517" s="536">
        <v>129</v>
      </c>
      <c r="CW517" s="536">
        <v>118</v>
      </c>
      <c r="CX517" s="536">
        <v>110</v>
      </c>
      <c r="CY517" s="536">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c r="A518" s="31" t="s">
        <v>69</v>
      </c>
      <c r="B518" s="1" t="s">
        <v>586</v>
      </c>
      <c r="C518" s="30" t="str">
        <f t="shared" si="132"/>
        <v>LA Wales - Vale of Glamorgan</v>
      </c>
      <c r="D518" s="50">
        <f t="shared" si="133"/>
        <v>50182</v>
      </c>
      <c r="E518" s="50">
        <f t="shared" si="134"/>
        <v>55461</v>
      </c>
      <c r="F518" s="51">
        <f t="shared" si="135"/>
        <v>133492</v>
      </c>
      <c r="G518" s="51">
        <f t="shared" si="136"/>
        <v>64368</v>
      </c>
      <c r="H518" s="52">
        <f t="shared" si="137"/>
        <v>69124</v>
      </c>
      <c r="I518" s="52">
        <f t="shared" si="138"/>
        <v>50182</v>
      </c>
      <c r="J518" s="52">
        <f t="shared" si="139"/>
        <v>55461</v>
      </c>
      <c r="K518" s="49">
        <f t="shared" si="140"/>
        <v>14186</v>
      </c>
      <c r="L518" s="50">
        <f t="shared" si="141"/>
        <v>13663</v>
      </c>
      <c r="M518" s="536">
        <v>642</v>
      </c>
      <c r="N518" s="536">
        <v>670</v>
      </c>
      <c r="O518" s="536">
        <v>666</v>
      </c>
      <c r="P518" s="536">
        <v>745</v>
      </c>
      <c r="Q518" s="536">
        <v>708</v>
      </c>
      <c r="R518" s="536">
        <v>814</v>
      </c>
      <c r="S518" s="536">
        <v>772</v>
      </c>
      <c r="T518" s="536">
        <v>756</v>
      </c>
      <c r="U518" s="536">
        <v>790</v>
      </c>
      <c r="V518" s="536">
        <v>869</v>
      </c>
      <c r="W518" s="536">
        <v>878</v>
      </c>
      <c r="X518" s="536">
        <v>861</v>
      </c>
      <c r="Y518" s="536">
        <v>888</v>
      </c>
      <c r="Z518" s="536">
        <v>889</v>
      </c>
      <c r="AA518" s="536">
        <v>863</v>
      </c>
      <c r="AB518" s="536">
        <v>841</v>
      </c>
      <c r="AC518" s="536">
        <v>775</v>
      </c>
      <c r="AD518" s="536">
        <v>759</v>
      </c>
      <c r="AE518" s="536">
        <v>728</v>
      </c>
      <c r="AF518" s="536">
        <v>587</v>
      </c>
      <c r="AG518" s="536">
        <v>503</v>
      </c>
      <c r="AH518" s="536">
        <v>620</v>
      </c>
      <c r="AI518" s="536">
        <v>676</v>
      </c>
      <c r="AJ518" s="536">
        <v>666</v>
      </c>
      <c r="AK518" s="536">
        <v>621</v>
      </c>
      <c r="AL518" s="536">
        <v>702</v>
      </c>
      <c r="AM518" s="536">
        <v>663</v>
      </c>
      <c r="AN518" s="536">
        <v>711</v>
      </c>
      <c r="AO518" s="536">
        <v>738</v>
      </c>
      <c r="AP518" s="536">
        <v>687</v>
      </c>
      <c r="AQ518" s="536">
        <v>701</v>
      </c>
      <c r="AR518" s="536">
        <v>728</v>
      </c>
      <c r="AS518" s="536">
        <v>706</v>
      </c>
      <c r="AT518" s="536">
        <v>774</v>
      </c>
      <c r="AU518" s="536">
        <v>806</v>
      </c>
      <c r="AV518" s="536">
        <v>800</v>
      </c>
      <c r="AW518" s="536">
        <v>846</v>
      </c>
      <c r="AX518" s="536">
        <v>741</v>
      </c>
      <c r="AY518" s="536">
        <v>762</v>
      </c>
      <c r="AZ518" s="536">
        <v>802</v>
      </c>
      <c r="BA518" s="536">
        <v>818</v>
      </c>
      <c r="BB518" s="536">
        <v>893</v>
      </c>
      <c r="BC518" s="536">
        <v>884</v>
      </c>
      <c r="BD518" s="536">
        <v>832</v>
      </c>
      <c r="BE518" s="536">
        <v>669</v>
      </c>
      <c r="BF518" s="536">
        <v>732</v>
      </c>
      <c r="BG518" s="536">
        <v>722</v>
      </c>
      <c r="BH518" s="536">
        <v>807</v>
      </c>
      <c r="BI518" s="536">
        <v>781</v>
      </c>
      <c r="BJ518" s="536">
        <v>815</v>
      </c>
      <c r="BK518" s="536">
        <v>842</v>
      </c>
      <c r="BL518" s="536">
        <v>880</v>
      </c>
      <c r="BM518" s="536">
        <v>853</v>
      </c>
      <c r="BN518" s="536">
        <v>916</v>
      </c>
      <c r="BO518" s="536">
        <v>871</v>
      </c>
      <c r="BP518" s="536">
        <v>920</v>
      </c>
      <c r="BQ518" s="536">
        <v>867</v>
      </c>
      <c r="BR518" s="536">
        <v>906</v>
      </c>
      <c r="BS518" s="536">
        <v>932</v>
      </c>
      <c r="BT518" s="536">
        <v>907</v>
      </c>
      <c r="BU518" s="536">
        <v>934</v>
      </c>
      <c r="BV518" s="536">
        <v>904</v>
      </c>
      <c r="BW518" s="536">
        <v>828</v>
      </c>
      <c r="BX518" s="536">
        <v>857</v>
      </c>
      <c r="BY518" s="536">
        <v>763</v>
      </c>
      <c r="BZ518" s="536">
        <v>786</v>
      </c>
      <c r="CA518" s="536">
        <v>761</v>
      </c>
      <c r="CB518" s="536">
        <v>745</v>
      </c>
      <c r="CC518" s="536">
        <v>753</v>
      </c>
      <c r="CD518" s="536">
        <v>754</v>
      </c>
      <c r="CE518" s="536">
        <v>696</v>
      </c>
      <c r="CF518" s="536">
        <v>706</v>
      </c>
      <c r="CG518" s="536">
        <v>707</v>
      </c>
      <c r="CH518" s="536">
        <v>714</v>
      </c>
      <c r="CI518" s="536">
        <v>737</v>
      </c>
      <c r="CJ518" s="536">
        <v>775</v>
      </c>
      <c r="CK518" s="536">
        <v>562</v>
      </c>
      <c r="CL518" s="536">
        <v>555</v>
      </c>
      <c r="CM518" s="536">
        <v>563</v>
      </c>
      <c r="CN518" s="536">
        <v>468</v>
      </c>
      <c r="CO518" s="536">
        <v>410</v>
      </c>
      <c r="CP518" s="536">
        <v>391</v>
      </c>
      <c r="CQ518" s="536">
        <v>349</v>
      </c>
      <c r="CR518" s="536">
        <v>336</v>
      </c>
      <c r="CS518" s="536">
        <v>307</v>
      </c>
      <c r="CT518" s="536">
        <v>239</v>
      </c>
      <c r="CU518" s="536">
        <v>231</v>
      </c>
      <c r="CV518" s="536">
        <v>180</v>
      </c>
      <c r="CW518" s="536">
        <v>170</v>
      </c>
      <c r="CX518" s="536">
        <v>135</v>
      </c>
      <c r="CY518" s="536">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c r="A519" s="31" t="s">
        <v>69</v>
      </c>
      <c r="B519" s="1" t="s">
        <v>587</v>
      </c>
      <c r="C519" s="30" t="str">
        <f t="shared" si="132"/>
        <v>LA Wales - Wrexham</v>
      </c>
      <c r="D519" s="50">
        <f t="shared" si="133"/>
        <v>52713</v>
      </c>
      <c r="E519" s="50">
        <f t="shared" si="134"/>
        <v>54756</v>
      </c>
      <c r="F519" s="51">
        <f t="shared" si="135"/>
        <v>135394</v>
      </c>
      <c r="G519" s="51">
        <f t="shared" si="136"/>
        <v>67012</v>
      </c>
      <c r="H519" s="52">
        <f t="shared" si="137"/>
        <v>68382</v>
      </c>
      <c r="I519" s="52">
        <f t="shared" si="138"/>
        <v>52713</v>
      </c>
      <c r="J519" s="52">
        <f t="shared" si="139"/>
        <v>54756</v>
      </c>
      <c r="K519" s="49">
        <f t="shared" si="140"/>
        <v>14299</v>
      </c>
      <c r="L519" s="50">
        <f t="shared" si="141"/>
        <v>13626</v>
      </c>
      <c r="M519" s="536">
        <v>673</v>
      </c>
      <c r="N519" s="536">
        <v>647</v>
      </c>
      <c r="O519" s="536">
        <v>740</v>
      </c>
      <c r="P519" s="536">
        <v>723</v>
      </c>
      <c r="Q519" s="536">
        <v>730</v>
      </c>
      <c r="R519" s="536">
        <v>761</v>
      </c>
      <c r="S519" s="536">
        <v>793</v>
      </c>
      <c r="T519" s="536">
        <v>761</v>
      </c>
      <c r="U519" s="536">
        <v>814</v>
      </c>
      <c r="V519" s="536">
        <v>862</v>
      </c>
      <c r="W519" s="536">
        <v>831</v>
      </c>
      <c r="X519" s="536">
        <v>858</v>
      </c>
      <c r="Y519" s="536">
        <v>859</v>
      </c>
      <c r="Z519" s="536">
        <v>879</v>
      </c>
      <c r="AA519" s="536">
        <v>845</v>
      </c>
      <c r="AB519" s="536">
        <v>853</v>
      </c>
      <c r="AC519" s="536">
        <v>831</v>
      </c>
      <c r="AD519" s="536">
        <v>839</v>
      </c>
      <c r="AE519" s="536">
        <v>753</v>
      </c>
      <c r="AF519" s="536">
        <v>630</v>
      </c>
      <c r="AG519" s="536">
        <v>619</v>
      </c>
      <c r="AH519" s="536">
        <v>629</v>
      </c>
      <c r="AI519" s="536">
        <v>670</v>
      </c>
      <c r="AJ519" s="536">
        <v>758</v>
      </c>
      <c r="AK519" s="536">
        <v>790</v>
      </c>
      <c r="AL519" s="536">
        <v>832</v>
      </c>
      <c r="AM519" s="536">
        <v>753</v>
      </c>
      <c r="AN519" s="536">
        <v>823</v>
      </c>
      <c r="AO519" s="536">
        <v>819</v>
      </c>
      <c r="AP519" s="536">
        <v>821</v>
      </c>
      <c r="AQ519" s="536">
        <v>786</v>
      </c>
      <c r="AR519" s="536">
        <v>853</v>
      </c>
      <c r="AS519" s="536">
        <v>859</v>
      </c>
      <c r="AT519" s="536">
        <v>835</v>
      </c>
      <c r="AU519" s="536">
        <v>874</v>
      </c>
      <c r="AV519" s="536">
        <v>850</v>
      </c>
      <c r="AW519" s="536">
        <v>902</v>
      </c>
      <c r="AX519" s="536">
        <v>921</v>
      </c>
      <c r="AY519" s="536">
        <v>825</v>
      </c>
      <c r="AZ519" s="536">
        <v>847</v>
      </c>
      <c r="BA519" s="536">
        <v>842</v>
      </c>
      <c r="BB519" s="536">
        <v>901</v>
      </c>
      <c r="BC519" s="536">
        <v>918</v>
      </c>
      <c r="BD519" s="536">
        <v>874</v>
      </c>
      <c r="BE519" s="536">
        <v>746</v>
      </c>
      <c r="BF519" s="536">
        <v>759</v>
      </c>
      <c r="BG519" s="536">
        <v>795</v>
      </c>
      <c r="BH519" s="536">
        <v>790</v>
      </c>
      <c r="BI519" s="536">
        <v>799</v>
      </c>
      <c r="BJ519" s="536">
        <v>915</v>
      </c>
      <c r="BK519" s="536">
        <v>955</v>
      </c>
      <c r="BL519" s="536">
        <v>1013</v>
      </c>
      <c r="BM519" s="536">
        <v>995</v>
      </c>
      <c r="BN519" s="536">
        <v>1003</v>
      </c>
      <c r="BO519" s="536">
        <v>969</v>
      </c>
      <c r="BP519" s="536">
        <v>960</v>
      </c>
      <c r="BQ519" s="536">
        <v>1007</v>
      </c>
      <c r="BR519" s="536">
        <v>986</v>
      </c>
      <c r="BS519" s="536">
        <v>968</v>
      </c>
      <c r="BT519" s="536">
        <v>965</v>
      </c>
      <c r="BU519" s="536">
        <v>916</v>
      </c>
      <c r="BV519" s="536">
        <v>884</v>
      </c>
      <c r="BW519" s="536">
        <v>833</v>
      </c>
      <c r="BX519" s="536">
        <v>743</v>
      </c>
      <c r="BY519" s="536">
        <v>790</v>
      </c>
      <c r="BZ519" s="536">
        <v>795</v>
      </c>
      <c r="CA519" s="536">
        <v>774</v>
      </c>
      <c r="CB519" s="536">
        <v>688</v>
      </c>
      <c r="CC519" s="536">
        <v>698</v>
      </c>
      <c r="CD519" s="536">
        <v>716</v>
      </c>
      <c r="CE519" s="536">
        <v>688</v>
      </c>
      <c r="CF519" s="536">
        <v>667</v>
      </c>
      <c r="CG519" s="536">
        <v>680</v>
      </c>
      <c r="CH519" s="536">
        <v>708</v>
      </c>
      <c r="CI519" s="536">
        <v>706</v>
      </c>
      <c r="CJ519" s="536">
        <v>754</v>
      </c>
      <c r="CK519" s="536">
        <v>572</v>
      </c>
      <c r="CL519" s="536">
        <v>512</v>
      </c>
      <c r="CM519" s="536">
        <v>519</v>
      </c>
      <c r="CN519" s="536">
        <v>494</v>
      </c>
      <c r="CO519" s="536">
        <v>429</v>
      </c>
      <c r="CP519" s="536">
        <v>357</v>
      </c>
      <c r="CQ519" s="536">
        <v>308</v>
      </c>
      <c r="CR519" s="536">
        <v>275</v>
      </c>
      <c r="CS519" s="536">
        <v>281</v>
      </c>
      <c r="CT519" s="536">
        <v>235</v>
      </c>
      <c r="CU519" s="536">
        <v>217</v>
      </c>
      <c r="CV519" s="536">
        <v>176</v>
      </c>
      <c r="CW519" s="536">
        <v>132</v>
      </c>
      <c r="CX519" s="536">
        <v>132</v>
      </c>
      <c r="CY519" s="536">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5" customFormat="1" ht="15">
      <c r="A520" s="112"/>
      <c r="B520" s="119"/>
      <c r="C520" s="112"/>
      <c r="D520" s="135">
        <f>SUM(D498:D519)</f>
        <v>1217054</v>
      </c>
      <c r="E520" s="135">
        <f t="shared" ref="E520:L520" si="142">SUM(E498:E519)</f>
        <v>1294957</v>
      </c>
      <c r="F520" s="135">
        <f t="shared" si="142"/>
        <v>3131640</v>
      </c>
      <c r="G520" s="135">
        <f t="shared" si="142"/>
        <v>1534884</v>
      </c>
      <c r="H520" s="135">
        <f t="shared" si="142"/>
        <v>1596756</v>
      </c>
      <c r="I520" s="135">
        <f t="shared" si="142"/>
        <v>1217054</v>
      </c>
      <c r="J520" s="135">
        <f t="shared" si="142"/>
        <v>1294957</v>
      </c>
      <c r="K520" s="135">
        <f t="shared" si="142"/>
        <v>317830</v>
      </c>
      <c r="L520" s="135">
        <f t="shared" si="142"/>
        <v>301799</v>
      </c>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c r="AQ520" s="114"/>
      <c r="AR520" s="114"/>
      <c r="AS520" s="114"/>
      <c r="AT520" s="114"/>
      <c r="AU520" s="114"/>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c r="BT520" s="114"/>
      <c r="BU520" s="114"/>
      <c r="BV520" s="114"/>
      <c r="BW520" s="114"/>
      <c r="BX520" s="114"/>
      <c r="BY520" s="114"/>
      <c r="BZ520" s="114"/>
      <c r="CA520" s="114"/>
      <c r="CB520" s="114"/>
      <c r="CC520" s="114"/>
      <c r="CD520" s="114"/>
      <c r="CE520" s="114"/>
      <c r="CF520" s="114"/>
      <c r="CG520" s="114"/>
      <c r="CH520" s="114"/>
      <c r="CI520" s="114"/>
      <c r="CJ520" s="114"/>
      <c r="CK520" s="114"/>
      <c r="CL520" s="114"/>
      <c r="CM520" s="114"/>
      <c r="CN520" s="114"/>
      <c r="CO520" s="114"/>
      <c r="CP520" s="114"/>
      <c r="CQ520" s="114"/>
      <c r="CR520" s="114"/>
      <c r="CS520" s="114"/>
      <c r="CT520" s="114"/>
      <c r="CU520" s="114"/>
      <c r="CV520" s="114"/>
      <c r="CW520" s="114"/>
      <c r="CX520" s="114"/>
      <c r="CY520" s="114"/>
      <c r="CZ520" s="114"/>
      <c r="DA520" s="114"/>
      <c r="DB520" s="114"/>
      <c r="DC520" s="114"/>
      <c r="DD520" s="114"/>
      <c r="DE520" s="114"/>
      <c r="DF520" s="114"/>
      <c r="DG520" s="114"/>
      <c r="DH520" s="114"/>
      <c r="DI520" s="114"/>
      <c r="DJ520" s="114"/>
      <c r="DK520" s="114"/>
      <c r="DL520" s="114"/>
      <c r="DM520" s="114"/>
      <c r="DN520" s="114"/>
      <c r="DO520" s="114"/>
      <c r="DP520" s="114"/>
      <c r="DQ520" s="114"/>
      <c r="DR520" s="114"/>
      <c r="DS520" s="114"/>
      <c r="DT520" s="114"/>
      <c r="DU520" s="114"/>
      <c r="DV520" s="114"/>
      <c r="DW520" s="114"/>
      <c r="DX520" s="114"/>
      <c r="DY520" s="114"/>
      <c r="DZ520" s="114"/>
      <c r="EA520" s="114"/>
      <c r="EB520" s="114"/>
      <c r="EC520" s="114"/>
      <c r="ED520" s="114"/>
      <c r="EE520" s="114"/>
      <c r="EF520" s="114"/>
      <c r="EG520" s="114"/>
      <c r="EH520" s="114"/>
      <c r="EI520" s="114"/>
      <c r="EJ520" s="114"/>
      <c r="EK520" s="114"/>
      <c r="EL520" s="114"/>
      <c r="EM520" s="114"/>
      <c r="EN520" s="114"/>
      <c r="EO520" s="114"/>
      <c r="EP520" s="114"/>
      <c r="EQ520" s="114"/>
      <c r="ER520" s="114"/>
      <c r="ES520" s="114"/>
      <c r="ET520" s="114"/>
      <c r="EU520" s="114"/>
      <c r="EV520" s="114"/>
      <c r="EW520" s="114"/>
      <c r="EX520" s="114"/>
      <c r="EY520" s="114"/>
      <c r="EZ520" s="114"/>
      <c r="FA520" s="114"/>
      <c r="FB520" s="114"/>
      <c r="FC520" s="114"/>
      <c r="FD520" s="114"/>
      <c r="FE520" s="114"/>
      <c r="FF520" s="114"/>
      <c r="FG520" s="114"/>
      <c r="FH520" s="114"/>
      <c r="FI520" s="114"/>
      <c r="FJ520" s="114"/>
      <c r="FK520" s="114"/>
      <c r="FL520" s="114"/>
      <c r="FM520" s="114"/>
      <c r="FN520" s="114"/>
      <c r="FO520" s="114"/>
      <c r="FP520" s="114"/>
      <c r="FQ520" s="114"/>
      <c r="FR520" s="114"/>
      <c r="FS520" s="114"/>
      <c r="FT520" s="114"/>
      <c r="FU520" s="114"/>
      <c r="FV520" s="114"/>
      <c r="FW520" s="114"/>
      <c r="FX520" s="114"/>
      <c r="FY520" s="114"/>
      <c r="FZ520" s="114"/>
      <c r="GA520" s="114"/>
      <c r="GB520" s="114"/>
      <c r="GC520" s="114"/>
      <c r="GD520" s="114"/>
      <c r="GE520" s="114"/>
      <c r="GF520" s="114"/>
      <c r="GG520" s="114"/>
      <c r="GH520" s="114"/>
      <c r="GI520" s="114"/>
      <c r="GJ520" s="114"/>
      <c r="GK520" s="114"/>
      <c r="GL520" s="113"/>
    </row>
    <row r="521" spans="1:194" s="1" customFormat="1">
      <c r="A521" s="31" t="s">
        <v>73</v>
      </c>
      <c r="B521" s="1" t="s">
        <v>588</v>
      </c>
      <c r="C521" s="30" t="str">
        <f t="shared" si="132"/>
        <v>LA NI - Antrim and Newtownabbey</v>
      </c>
      <c r="D521" s="50">
        <f t="shared" ref="D521:D531" si="143">I521</f>
        <v>54930</v>
      </c>
      <c r="E521" s="50">
        <f t="shared" ref="E521:E531" si="144">J521</f>
        <v>58464</v>
      </c>
      <c r="F521" s="51">
        <f t="shared" ref="F521:F531" si="145">G521+H521</f>
        <v>146148</v>
      </c>
      <c r="G521" s="51">
        <f t="shared" ref="G521:G531" si="146">SUM(M521:CY521)</f>
        <v>71767</v>
      </c>
      <c r="H521" s="52">
        <f t="shared" ref="H521:H531" si="147">SUM(CZ521:GL521)</f>
        <v>74381</v>
      </c>
      <c r="I521" s="52">
        <f t="shared" ref="I521:I531" si="148">SUM(AE521:CY521)</f>
        <v>54930</v>
      </c>
      <c r="J521" s="52">
        <f t="shared" ref="J521:J531" si="149">SUM(DR521:GL521)</f>
        <v>58464</v>
      </c>
      <c r="K521" s="49">
        <f t="shared" ref="K521:K531" si="150">SUM(M521:AD521)</f>
        <v>16837</v>
      </c>
      <c r="L521" s="50">
        <f t="shared" ref="L521:L531" si="151">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c r="A522" s="31" t="s">
        <v>73</v>
      </c>
      <c r="B522" s="1" t="s">
        <v>589</v>
      </c>
      <c r="C522" s="30" t="str">
        <f t="shared" si="132"/>
        <v>LA NI - Ards and North Down</v>
      </c>
      <c r="D522" s="50">
        <f t="shared" si="143"/>
        <v>62708</v>
      </c>
      <c r="E522" s="50">
        <f t="shared" si="144"/>
        <v>68059</v>
      </c>
      <c r="F522" s="51">
        <f t="shared" si="145"/>
        <v>164223</v>
      </c>
      <c r="G522" s="51">
        <f t="shared" si="146"/>
        <v>79967</v>
      </c>
      <c r="H522" s="52">
        <f t="shared" si="147"/>
        <v>84256</v>
      </c>
      <c r="I522" s="52">
        <f t="shared" si="148"/>
        <v>62708</v>
      </c>
      <c r="J522" s="52">
        <f t="shared" si="149"/>
        <v>68059</v>
      </c>
      <c r="K522" s="49">
        <f t="shared" si="150"/>
        <v>17259</v>
      </c>
      <c r="L522" s="50">
        <f t="shared" si="151"/>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c r="A523" s="31" t="s">
        <v>73</v>
      </c>
      <c r="B523" s="1" t="s">
        <v>590</v>
      </c>
      <c r="C523" s="30" t="str">
        <f t="shared" si="132"/>
        <v>LA NI - Armagh City, Banbridge and Craigavon</v>
      </c>
      <c r="D523" s="50">
        <f t="shared" si="143"/>
        <v>81332</v>
      </c>
      <c r="E523" s="50">
        <f t="shared" si="144"/>
        <v>84457</v>
      </c>
      <c r="F523" s="51">
        <f t="shared" si="145"/>
        <v>220271</v>
      </c>
      <c r="G523" s="51">
        <f t="shared" si="146"/>
        <v>109137</v>
      </c>
      <c r="H523" s="52">
        <f t="shared" si="147"/>
        <v>111134</v>
      </c>
      <c r="I523" s="52">
        <f t="shared" si="148"/>
        <v>81332</v>
      </c>
      <c r="J523" s="52">
        <f t="shared" si="149"/>
        <v>84457</v>
      </c>
      <c r="K523" s="49">
        <f t="shared" si="150"/>
        <v>27805</v>
      </c>
      <c r="L523" s="50">
        <f t="shared" si="151"/>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c r="A524" s="31" t="s">
        <v>73</v>
      </c>
      <c r="B524" s="1" t="s">
        <v>591</v>
      </c>
      <c r="C524" s="30" t="str">
        <f t="shared" si="132"/>
        <v>LA NI - Belfast</v>
      </c>
      <c r="D524" s="50">
        <f t="shared" si="143"/>
        <v>131560</v>
      </c>
      <c r="E524" s="50">
        <f t="shared" si="144"/>
        <v>142407</v>
      </c>
      <c r="F524" s="51">
        <f t="shared" si="145"/>
        <v>348005</v>
      </c>
      <c r="G524" s="51">
        <f t="shared" si="146"/>
        <v>169491</v>
      </c>
      <c r="H524" s="52">
        <f t="shared" si="147"/>
        <v>178514</v>
      </c>
      <c r="I524" s="52">
        <f t="shared" si="148"/>
        <v>131560</v>
      </c>
      <c r="J524" s="52">
        <f t="shared" si="149"/>
        <v>142407</v>
      </c>
      <c r="K524" s="49">
        <f t="shared" si="150"/>
        <v>37931</v>
      </c>
      <c r="L524" s="50">
        <f t="shared" si="151"/>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c r="A525" s="31" t="s">
        <v>73</v>
      </c>
      <c r="B525" s="1" t="s">
        <v>592</v>
      </c>
      <c r="C525" s="30" t="str">
        <f t="shared" si="132"/>
        <v>LA NI - Causeway Coast and Glens</v>
      </c>
      <c r="D525" s="50">
        <f t="shared" si="143"/>
        <v>53764</v>
      </c>
      <c r="E525" s="50">
        <f t="shared" si="144"/>
        <v>56629</v>
      </c>
      <c r="F525" s="51">
        <f t="shared" si="145"/>
        <v>141316</v>
      </c>
      <c r="G525" s="51">
        <f t="shared" si="146"/>
        <v>69599</v>
      </c>
      <c r="H525" s="52">
        <f t="shared" si="147"/>
        <v>71717</v>
      </c>
      <c r="I525" s="52">
        <f t="shared" si="148"/>
        <v>53764</v>
      </c>
      <c r="J525" s="52">
        <f t="shared" si="149"/>
        <v>56629</v>
      </c>
      <c r="K525" s="49">
        <f t="shared" si="150"/>
        <v>15835</v>
      </c>
      <c r="L525" s="50">
        <f t="shared" si="151"/>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c r="A526" s="31" t="s">
        <v>73</v>
      </c>
      <c r="B526" s="1" t="s">
        <v>593</v>
      </c>
      <c r="C526" s="30" t="str">
        <f t="shared" si="132"/>
        <v>LA NI - Derry City and Strabane</v>
      </c>
      <c r="D526" s="50">
        <f t="shared" si="143"/>
        <v>55287</v>
      </c>
      <c r="E526" s="50">
        <f t="shared" si="144"/>
        <v>59619</v>
      </c>
      <c r="F526" s="51">
        <f t="shared" si="145"/>
        <v>150836</v>
      </c>
      <c r="G526" s="51">
        <f t="shared" si="146"/>
        <v>73562</v>
      </c>
      <c r="H526" s="52">
        <f t="shared" si="147"/>
        <v>77274</v>
      </c>
      <c r="I526" s="52">
        <f t="shared" si="148"/>
        <v>55287</v>
      </c>
      <c r="J526" s="52">
        <f t="shared" si="149"/>
        <v>59619</v>
      </c>
      <c r="K526" s="49">
        <f t="shared" si="150"/>
        <v>18275</v>
      </c>
      <c r="L526" s="50">
        <f t="shared" si="151"/>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c r="A527" s="31" t="s">
        <v>73</v>
      </c>
      <c r="B527" s="1" t="s">
        <v>594</v>
      </c>
      <c r="C527" s="30" t="str">
        <f t="shared" si="132"/>
        <v>LA NI - Fermanagh and Omagh</v>
      </c>
      <c r="D527" s="50">
        <f t="shared" si="143"/>
        <v>44244</v>
      </c>
      <c r="E527" s="50">
        <f t="shared" si="144"/>
        <v>44859</v>
      </c>
      <c r="F527" s="51">
        <f t="shared" si="145"/>
        <v>116994</v>
      </c>
      <c r="G527" s="51">
        <f t="shared" si="146"/>
        <v>58418</v>
      </c>
      <c r="H527" s="52">
        <f t="shared" si="147"/>
        <v>58576</v>
      </c>
      <c r="I527" s="52">
        <f t="shared" si="148"/>
        <v>44244</v>
      </c>
      <c r="J527" s="52">
        <f t="shared" si="149"/>
        <v>44859</v>
      </c>
      <c r="K527" s="49">
        <f t="shared" si="150"/>
        <v>14174</v>
      </c>
      <c r="L527" s="50">
        <f t="shared" si="151"/>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c r="A528" s="31" t="s">
        <v>73</v>
      </c>
      <c r="B528" s="1" t="s">
        <v>595</v>
      </c>
      <c r="C528" s="30" t="str">
        <f t="shared" si="132"/>
        <v>LA NI - Lisburn and Castlereagh</v>
      </c>
      <c r="D528" s="50">
        <f t="shared" si="143"/>
        <v>56236</v>
      </c>
      <c r="E528" s="50">
        <f t="shared" si="144"/>
        <v>59820</v>
      </c>
      <c r="F528" s="51">
        <f t="shared" si="145"/>
        <v>149915</v>
      </c>
      <c r="G528" s="51">
        <f t="shared" si="146"/>
        <v>73814</v>
      </c>
      <c r="H528" s="52">
        <f t="shared" si="147"/>
        <v>76101</v>
      </c>
      <c r="I528" s="52">
        <f t="shared" si="148"/>
        <v>56236</v>
      </c>
      <c r="J528" s="52">
        <f t="shared" si="149"/>
        <v>59820</v>
      </c>
      <c r="K528" s="49">
        <f t="shared" si="150"/>
        <v>17578</v>
      </c>
      <c r="L528" s="50">
        <f t="shared" si="151"/>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c r="A529" s="31" t="s">
        <v>73</v>
      </c>
      <c r="B529" s="1" t="s">
        <v>596</v>
      </c>
      <c r="C529" s="30" t="str">
        <f t="shared" si="132"/>
        <v>LA NI - Mid and East Antrim</v>
      </c>
      <c r="D529" s="50">
        <f t="shared" si="143"/>
        <v>53235</v>
      </c>
      <c r="E529" s="50">
        <f t="shared" si="144"/>
        <v>56696</v>
      </c>
      <c r="F529" s="51">
        <f t="shared" si="145"/>
        <v>139200</v>
      </c>
      <c r="G529" s="51">
        <f t="shared" si="146"/>
        <v>68237</v>
      </c>
      <c r="H529" s="52">
        <f t="shared" si="147"/>
        <v>70963</v>
      </c>
      <c r="I529" s="52">
        <f t="shared" si="148"/>
        <v>53235</v>
      </c>
      <c r="J529" s="52">
        <f t="shared" si="149"/>
        <v>56696</v>
      </c>
      <c r="K529" s="49">
        <f t="shared" si="150"/>
        <v>15002</v>
      </c>
      <c r="L529" s="50">
        <f t="shared" si="151"/>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c r="A530" s="31" t="s">
        <v>73</v>
      </c>
      <c r="B530" s="1" t="s">
        <v>597</v>
      </c>
      <c r="C530" s="30" t="str">
        <f t="shared" si="132"/>
        <v>LA NI - Mid Ulster</v>
      </c>
      <c r="D530" s="50">
        <f t="shared" si="143"/>
        <v>55860</v>
      </c>
      <c r="E530" s="50">
        <f t="shared" si="144"/>
        <v>56231</v>
      </c>
      <c r="F530" s="51">
        <f t="shared" si="145"/>
        <v>151001</v>
      </c>
      <c r="G530" s="51">
        <f t="shared" si="146"/>
        <v>75748</v>
      </c>
      <c r="H530" s="52">
        <f t="shared" si="147"/>
        <v>75253</v>
      </c>
      <c r="I530" s="52">
        <f t="shared" si="148"/>
        <v>55860</v>
      </c>
      <c r="J530" s="52">
        <f t="shared" si="149"/>
        <v>56231</v>
      </c>
      <c r="K530" s="49">
        <f t="shared" si="150"/>
        <v>19888</v>
      </c>
      <c r="L530" s="50">
        <f t="shared" si="151"/>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c r="A531" s="31" t="s">
        <v>73</v>
      </c>
      <c r="B531" s="1" t="s">
        <v>598</v>
      </c>
      <c r="C531" s="30" t="str">
        <f t="shared" si="132"/>
        <v>LA NI - Newry, Mourne and Down</v>
      </c>
      <c r="D531" s="50">
        <f t="shared" si="143"/>
        <v>67141</v>
      </c>
      <c r="E531" s="50">
        <f t="shared" si="144"/>
        <v>70300</v>
      </c>
      <c r="F531" s="51">
        <f t="shared" si="145"/>
        <v>182634</v>
      </c>
      <c r="G531" s="51">
        <f t="shared" si="146"/>
        <v>90207</v>
      </c>
      <c r="H531" s="52">
        <f t="shared" si="147"/>
        <v>92427</v>
      </c>
      <c r="I531" s="52">
        <f t="shared" si="148"/>
        <v>67141</v>
      </c>
      <c r="J531" s="52">
        <f t="shared" si="149"/>
        <v>70300</v>
      </c>
      <c r="K531" s="49">
        <f t="shared" si="150"/>
        <v>23066</v>
      </c>
      <c r="L531" s="50">
        <f t="shared" si="151"/>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5" customFormat="1" ht="15">
      <c r="A532" s="112"/>
      <c r="B532" s="120"/>
      <c r="C532" s="112"/>
      <c r="D532" s="135">
        <f>SUM(D521:D531)</f>
        <v>716297</v>
      </c>
      <c r="E532" s="135">
        <f>SUM(E521:E531)</f>
        <v>757541</v>
      </c>
      <c r="F532" s="135">
        <f>SUM(F521:F531)</f>
        <v>1910543</v>
      </c>
      <c r="G532" s="135">
        <f>SUM(G521:G531)</f>
        <v>939947</v>
      </c>
      <c r="H532" s="135">
        <f>SUM(H521:H531)</f>
        <v>970596</v>
      </c>
      <c r="I532" s="135">
        <f t="shared" ref="I532:L532" si="152">SUM(I521:I531)</f>
        <v>716297</v>
      </c>
      <c r="J532" s="135">
        <f t="shared" si="152"/>
        <v>757541</v>
      </c>
      <c r="K532" s="135">
        <f t="shared" si="152"/>
        <v>223650</v>
      </c>
      <c r="L532" s="135">
        <f t="shared" si="152"/>
        <v>213055</v>
      </c>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c r="AQ532" s="114"/>
      <c r="AR532" s="114"/>
      <c r="AS532" s="114"/>
      <c r="AT532" s="114"/>
      <c r="AU532" s="114"/>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c r="BT532" s="114"/>
      <c r="BU532" s="114"/>
      <c r="BV532" s="114"/>
      <c r="BW532" s="114"/>
      <c r="BX532" s="114"/>
      <c r="BY532" s="114"/>
      <c r="BZ532" s="114"/>
      <c r="CA532" s="114"/>
      <c r="CB532" s="114"/>
      <c r="CC532" s="114"/>
      <c r="CD532" s="114"/>
      <c r="CE532" s="114"/>
      <c r="CF532" s="114"/>
      <c r="CG532" s="114"/>
      <c r="CH532" s="114"/>
      <c r="CI532" s="114"/>
      <c r="CJ532" s="114"/>
      <c r="CK532" s="114"/>
      <c r="CL532" s="114"/>
      <c r="CM532" s="114"/>
      <c r="CN532" s="114"/>
      <c r="CO532" s="114"/>
      <c r="CP532" s="114"/>
      <c r="CQ532" s="114"/>
      <c r="CR532" s="114"/>
      <c r="CS532" s="114"/>
      <c r="CT532" s="114"/>
      <c r="CU532" s="114"/>
      <c r="CV532" s="114"/>
      <c r="CW532" s="114"/>
      <c r="CX532" s="114"/>
      <c r="CY532" s="113"/>
      <c r="CZ532" s="114"/>
      <c r="DA532" s="114"/>
      <c r="DB532" s="114"/>
      <c r="DC532" s="114"/>
      <c r="DD532" s="114"/>
      <c r="DE532" s="114"/>
      <c r="DF532" s="114"/>
      <c r="DG532" s="114"/>
      <c r="DH532" s="114"/>
      <c r="DI532" s="114"/>
      <c r="DJ532" s="114"/>
      <c r="DK532" s="114"/>
      <c r="DL532" s="114"/>
      <c r="DM532" s="114"/>
      <c r="DN532" s="114"/>
      <c r="DO532" s="114"/>
      <c r="DP532" s="114"/>
      <c r="DQ532" s="114"/>
      <c r="DR532" s="114"/>
      <c r="DS532" s="114"/>
      <c r="DT532" s="114"/>
      <c r="DU532" s="114"/>
      <c r="DV532" s="114"/>
      <c r="DW532" s="114"/>
      <c r="DX532" s="114"/>
      <c r="DY532" s="114"/>
      <c r="DZ532" s="114"/>
      <c r="EA532" s="114"/>
      <c r="EB532" s="114"/>
      <c r="EC532" s="114"/>
      <c r="ED532" s="114"/>
      <c r="EE532" s="114"/>
      <c r="EF532" s="114"/>
      <c r="EG532" s="114"/>
      <c r="EH532" s="114"/>
      <c r="EI532" s="114"/>
      <c r="EJ532" s="114"/>
      <c r="EK532" s="114"/>
      <c r="EL532" s="114"/>
      <c r="EM532" s="114"/>
      <c r="EN532" s="114"/>
      <c r="EO532" s="114"/>
      <c r="EP532" s="114"/>
      <c r="EQ532" s="114"/>
      <c r="ER532" s="114"/>
      <c r="ES532" s="114"/>
      <c r="ET532" s="114"/>
      <c r="EU532" s="114"/>
      <c r="EV532" s="114"/>
      <c r="EW532" s="114"/>
      <c r="EX532" s="114"/>
      <c r="EY532" s="114"/>
      <c r="EZ532" s="114"/>
      <c r="FA532" s="114"/>
      <c r="FB532" s="114"/>
      <c r="FC532" s="114"/>
      <c r="FD532" s="114"/>
      <c r="FE532" s="114"/>
      <c r="FF532" s="114"/>
      <c r="FG532" s="114"/>
      <c r="FH532" s="114"/>
      <c r="FI532" s="114"/>
      <c r="FJ532" s="114"/>
      <c r="FK532" s="114"/>
      <c r="FL532" s="114"/>
      <c r="FM532" s="114"/>
      <c r="FN532" s="114"/>
      <c r="FO532" s="114"/>
      <c r="FP532" s="114"/>
      <c r="FQ532" s="114"/>
      <c r="FR532" s="114"/>
      <c r="FS532" s="114"/>
      <c r="FT532" s="114"/>
      <c r="FU532" s="114"/>
      <c r="FV532" s="114"/>
      <c r="FW532" s="114"/>
      <c r="FX532" s="114"/>
      <c r="FY532" s="114"/>
      <c r="FZ532" s="114"/>
      <c r="GA532" s="114"/>
      <c r="GB532" s="114"/>
      <c r="GC532" s="114"/>
      <c r="GD532" s="114"/>
      <c r="GE532" s="114"/>
      <c r="GF532" s="114"/>
      <c r="GG532" s="114"/>
      <c r="GH532" s="114"/>
      <c r="GI532" s="114"/>
      <c r="GJ532" s="114"/>
      <c r="GK532" s="114"/>
      <c r="GL532" s="113"/>
    </row>
    <row r="533" spans="1:194">
      <c r="D533" s="88"/>
      <c r="E533" s="88"/>
      <c r="F533" s="88"/>
      <c r="G533" s="88"/>
      <c r="H533" s="88"/>
      <c r="I533" s="88"/>
      <c r="J533" s="88"/>
      <c r="K533" s="88"/>
      <c r="L533" s="88"/>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c r="D534" s="88"/>
      <c r="E534" s="88"/>
      <c r="F534" s="88"/>
      <c r="G534" s="88"/>
      <c r="H534" s="88"/>
      <c r="I534" s="88"/>
      <c r="J534" s="88"/>
      <c r="K534" s="88"/>
      <c r="L534" s="88"/>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c r="A535" s="556" t="s">
        <v>599</v>
      </c>
      <c r="B535" s="557"/>
      <c r="C535" s="558"/>
      <c r="D535" s="559"/>
      <c r="E535" s="559"/>
      <c r="F535" s="559"/>
      <c r="G535" s="560"/>
      <c r="H535" s="88"/>
      <c r="I535" s="88"/>
      <c r="J535" s="88"/>
      <c r="K535" s="88"/>
      <c r="L535" s="88"/>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c r="D536" s="88"/>
      <c r="E536" s="88"/>
      <c r="F536" s="88"/>
      <c r="G536" s="88"/>
      <c r="H536" s="88"/>
      <c r="I536" s="88"/>
      <c r="J536" s="88"/>
      <c r="K536" s="88"/>
      <c r="L536" s="88"/>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c r="C537" s="11"/>
      <c r="D537" s="561" t="s">
        <v>600</v>
      </c>
      <c r="E537" s="562" t="s">
        <v>601</v>
      </c>
      <c r="F537" s="561" t="s">
        <v>602</v>
      </c>
      <c r="G537" s="88"/>
      <c r="H537" s="88"/>
      <c r="I537" s="88"/>
      <c r="J537" s="88"/>
      <c r="K537" s="88"/>
      <c r="L537" s="88"/>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c r="C538" s="11"/>
      <c r="D538" s="563" t="s">
        <v>603</v>
      </c>
      <c r="E538" s="564" t="s">
        <v>604</v>
      </c>
      <c r="F538" s="563" t="s">
        <v>605</v>
      </c>
      <c r="G538" s="88"/>
      <c r="H538" s="88"/>
      <c r="I538" s="88"/>
      <c r="J538" s="88"/>
      <c r="K538" s="88"/>
      <c r="L538" s="88"/>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c r="C539" s="11"/>
      <c r="D539" s="563" t="s">
        <v>606</v>
      </c>
      <c r="E539" s="564" t="s">
        <v>607</v>
      </c>
      <c r="F539" s="563" t="s">
        <v>608</v>
      </c>
      <c r="G539" s="88"/>
      <c r="H539" s="88"/>
      <c r="I539" s="88"/>
      <c r="J539" s="88"/>
      <c r="K539" s="88"/>
      <c r="L539" s="88"/>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c r="C540" s="1" t="s">
        <v>609</v>
      </c>
      <c r="D540" s="565">
        <v>60238038</v>
      </c>
      <c r="E540" s="566"/>
      <c r="F540" s="567"/>
      <c r="G540" s="88"/>
      <c r="H540" s="88"/>
      <c r="I540" s="88"/>
      <c r="J540" s="88"/>
      <c r="K540" s="88"/>
      <c r="L540" s="88"/>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c r="C541" s="568" t="s">
        <v>610</v>
      </c>
      <c r="D541" s="569"/>
      <c r="E541" s="570">
        <v>60856434</v>
      </c>
      <c r="F541" s="565">
        <v>61476132</v>
      </c>
      <c r="G541" s="88"/>
      <c r="H541" s="88"/>
      <c r="I541" s="88"/>
      <c r="J541" s="88"/>
      <c r="K541" s="88"/>
      <c r="L541" s="88"/>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c r="C542" s="568" t="s">
        <v>611</v>
      </c>
      <c r="D542" s="569"/>
      <c r="E542" s="571">
        <f>(E541-D540)/D540</f>
        <v>1.0265872205200309E-2</v>
      </c>
      <c r="F542" s="572">
        <f>(F541-D540)/D540</f>
        <v>2.0553358660187437E-2</v>
      </c>
      <c r="G542" s="573">
        <v>2.0553358660187399E-2</v>
      </c>
      <c r="H542" s="88"/>
      <c r="I542" s="88"/>
      <c r="J542" s="88"/>
      <c r="K542" s="88"/>
      <c r="L542" s="88"/>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c r="C543" s="568" t="s">
        <v>612</v>
      </c>
      <c r="D543" s="569"/>
      <c r="E543" s="574"/>
      <c r="F543" s="565">
        <f>D540*(100%+F542)</f>
        <v>61476131.999999993</v>
      </c>
      <c r="G543" s="88"/>
      <c r="H543" s="88"/>
      <c r="I543" s="88"/>
      <c r="J543" s="88"/>
      <c r="K543" s="88"/>
      <c r="L543" s="88"/>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c r="C544" s="568" t="s">
        <v>613</v>
      </c>
      <c r="D544" s="569"/>
      <c r="E544" s="574"/>
      <c r="F544" s="565">
        <f>F543-F541</f>
        <v>0</v>
      </c>
      <c r="G544" s="88"/>
      <c r="H544" s="88"/>
      <c r="I544" s="88"/>
      <c r="J544" s="88"/>
      <c r="K544" s="88"/>
      <c r="L544" s="88"/>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c r="D545" s="88"/>
      <c r="E545" s="88"/>
      <c r="F545" s="88"/>
      <c r="G545" s="88"/>
      <c r="H545" s="88"/>
      <c r="I545" s="88"/>
      <c r="J545" s="88"/>
      <c r="K545" s="88"/>
      <c r="L545" s="88"/>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c r="D546" s="88"/>
      <c r="E546" s="88"/>
      <c r="F546" s="88"/>
      <c r="G546" s="88"/>
      <c r="H546" s="88"/>
      <c r="I546" s="88"/>
      <c r="J546" s="88"/>
      <c r="K546" s="88"/>
      <c r="L546" s="88"/>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c r="A547" s="552"/>
      <c r="B547" s="553"/>
      <c r="C547" s="21" t="s">
        <v>614</v>
      </c>
      <c r="D547" s="138" t="s">
        <v>615</v>
      </c>
      <c r="E547" s="138" t="s">
        <v>616</v>
      </c>
      <c r="F547" s="138" t="s">
        <v>617</v>
      </c>
      <c r="G547" s="138" t="s">
        <v>618</v>
      </c>
      <c r="H547" s="138" t="s">
        <v>619</v>
      </c>
      <c r="I547" s="138" t="s">
        <v>620</v>
      </c>
      <c r="J547" s="480" t="s">
        <v>621</v>
      </c>
      <c r="K547" s="483" t="s">
        <v>622</v>
      </c>
      <c r="L547" s="317" t="s">
        <v>623</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c r="A548" s="554" t="s">
        <v>624</v>
      </c>
      <c r="C548" s="21" t="s">
        <v>625</v>
      </c>
      <c r="D548" s="881" t="s">
        <v>626</v>
      </c>
      <c r="E548" s="882"/>
      <c r="F548" s="882"/>
      <c r="G548" s="882"/>
      <c r="H548" s="882"/>
      <c r="I548" s="883"/>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c r="A549" s="554" t="s">
        <v>624</v>
      </c>
      <c r="B549" s="11">
        <v>0</v>
      </c>
      <c r="C549" s="137" t="s">
        <v>627</v>
      </c>
      <c r="D549" s="141"/>
      <c r="E549" s="141"/>
      <c r="F549" s="141"/>
      <c r="G549" s="141"/>
      <c r="H549" s="141"/>
      <c r="I549" s="141"/>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c r="A550" s="554" t="s">
        <v>624</v>
      </c>
      <c r="B550" s="11">
        <v>1</v>
      </c>
      <c r="C550" s="137" t="s">
        <v>628</v>
      </c>
      <c r="D550" s="141"/>
      <c r="E550" s="141">
        <v>1.0090702843828887</v>
      </c>
      <c r="F550" s="141">
        <v>1.0170393771683619</v>
      </c>
      <c r="G550" s="141">
        <v>1.0238793000184203</v>
      </c>
      <c r="H550" s="141">
        <v>1.0295635385778663</v>
      </c>
      <c r="I550" s="141">
        <v>1.0351195322438309</v>
      </c>
      <c r="J550" s="481">
        <f>(I550-100%)/5</f>
        <v>7.0239064487661821E-3</v>
      </c>
      <c r="K550" s="484">
        <f t="shared" ref="K550:K563" si="153">(I550/100%)^(1/5)-1</f>
        <v>6.9272652964273984E-3</v>
      </c>
      <c r="L550" s="479">
        <v>6.9272652964273984E-3</v>
      </c>
      <c r="M550" s="475"/>
      <c r="N550" s="475"/>
      <c r="O550" s="476"/>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c r="A551" s="554" t="s">
        <v>624</v>
      </c>
      <c r="B551" s="11">
        <v>2</v>
      </c>
      <c r="C551" s="137" t="s">
        <v>629</v>
      </c>
      <c r="D551" s="141"/>
      <c r="E551" s="141">
        <v>0.96173452499784384</v>
      </c>
      <c r="F551" s="141">
        <v>0.949547172001034</v>
      </c>
      <c r="G551" s="141">
        <v>0.93849673400054612</v>
      </c>
      <c r="H551" s="141">
        <v>0.92766778564091124</v>
      </c>
      <c r="I551" s="141">
        <v>0.91680012001884892</v>
      </c>
      <c r="J551" s="481">
        <f t="shared" ref="J551:J563" si="154">(I551-100%)/5</f>
        <v>-1.6639975996230218E-2</v>
      </c>
      <c r="K551" s="484">
        <f t="shared" si="153"/>
        <v>-1.7223117235316776E-2</v>
      </c>
      <c r="L551" s="479">
        <v>-1.7223117235316776E-2</v>
      </c>
      <c r="M551" s="475"/>
      <c r="N551" s="475"/>
      <c r="O551" s="476"/>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c r="A552" s="554" t="s">
        <v>624</v>
      </c>
      <c r="B552" s="11">
        <v>3</v>
      </c>
      <c r="C552" s="137" t="s">
        <v>630</v>
      </c>
      <c r="D552" s="141"/>
      <c r="E552" s="141">
        <v>1.0707061745580608</v>
      </c>
      <c r="F552" s="141">
        <v>1.0961797739954167</v>
      </c>
      <c r="G552" s="141">
        <v>1.1120352164720533</v>
      </c>
      <c r="H552" s="141">
        <v>1.1172916519636134</v>
      </c>
      <c r="I552" s="141">
        <v>1.1228072524832799</v>
      </c>
      <c r="J552" s="481">
        <f t="shared" si="154"/>
        <v>2.4561450496655989E-2</v>
      </c>
      <c r="K552" s="484">
        <f t="shared" si="153"/>
        <v>2.3436830336478032E-2</v>
      </c>
      <c r="L552" s="479">
        <v>2.3436830336478032E-2</v>
      </c>
      <c r="M552" s="475"/>
      <c r="N552" s="475"/>
      <c r="O552" s="476"/>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c r="A553" s="554" t="s">
        <v>624</v>
      </c>
      <c r="B553" s="11">
        <v>4</v>
      </c>
      <c r="C553" s="137" t="s">
        <v>631</v>
      </c>
      <c r="D553" s="141"/>
      <c r="E553" s="141">
        <v>0.99704312080608826</v>
      </c>
      <c r="F553" s="141">
        <v>0.99705853203848904</v>
      </c>
      <c r="G553" s="141">
        <v>0.99472603914083957</v>
      </c>
      <c r="H553" s="141">
        <v>0.9891090180954597</v>
      </c>
      <c r="I553" s="141">
        <v>0.98354979851924307</v>
      </c>
      <c r="J553" s="481">
        <f t="shared" si="154"/>
        <v>-3.2900402961513866E-3</v>
      </c>
      <c r="K553" s="484">
        <f t="shared" si="153"/>
        <v>-3.3119051937137156E-3</v>
      </c>
      <c r="L553" s="479">
        <v>-3.3119051937137156E-3</v>
      </c>
      <c r="M553" s="475"/>
      <c r="N553" s="475"/>
      <c r="O553" s="476"/>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c r="A554" s="554" t="s">
        <v>624</v>
      </c>
      <c r="B554" s="11">
        <v>5</v>
      </c>
      <c r="C554" s="137" t="s">
        <v>632</v>
      </c>
      <c r="D554" s="141"/>
      <c r="E554" s="141">
        <v>0.99263087643060499</v>
      </c>
      <c r="F554" s="141">
        <v>0.99530151668079492</v>
      </c>
      <c r="G554" s="141">
        <v>0.99708461172748208</v>
      </c>
      <c r="H554" s="141">
        <v>0.99857946574262668</v>
      </c>
      <c r="I554" s="141">
        <v>1.0006058081967233</v>
      </c>
      <c r="J554" s="481">
        <f t="shared" si="154"/>
        <v>1.2116163934465796E-4</v>
      </c>
      <c r="K554" s="484">
        <f t="shared" si="153"/>
        <v>1.2113228972654433E-4</v>
      </c>
      <c r="L554" s="479">
        <v>1.2113228972654433E-4</v>
      </c>
      <c r="M554" s="475"/>
      <c r="N554" s="475"/>
      <c r="O554" s="476"/>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c r="A555" s="554" t="s">
        <v>624</v>
      </c>
      <c r="B555" s="11">
        <v>6</v>
      </c>
      <c r="C555" s="473" t="s">
        <v>633</v>
      </c>
      <c r="D555" s="474"/>
      <c r="E555" s="474">
        <v>1.0123419501207302</v>
      </c>
      <c r="F555" s="474">
        <v>1.0224746276334522</v>
      </c>
      <c r="G555" s="474">
        <v>1.0318096590054313</v>
      </c>
      <c r="H555" s="474">
        <v>1.040568100689119</v>
      </c>
      <c r="I555" s="474">
        <v>1.0491476885800255</v>
      </c>
      <c r="J555" s="490">
        <f t="shared" si="154"/>
        <v>9.8295377160050983E-3</v>
      </c>
      <c r="K555" s="491">
        <f t="shared" si="153"/>
        <v>9.641807463928842E-3</v>
      </c>
      <c r="L555" s="555">
        <v>9.6418074639288403E-3</v>
      </c>
      <c r="M555" s="475"/>
      <c r="N555" s="475"/>
      <c r="O555" s="476"/>
      <c r="P555" s="13"/>
      <c r="Q555" s="477"/>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c r="A556" s="554" t="s">
        <v>624</v>
      </c>
      <c r="B556" s="11">
        <v>7</v>
      </c>
      <c r="C556" s="137" t="s">
        <v>634</v>
      </c>
      <c r="D556" s="141"/>
      <c r="E556" s="141">
        <v>1.0234861902526262</v>
      </c>
      <c r="F556" s="141">
        <v>1.0362595252458171</v>
      </c>
      <c r="G556" s="141">
        <v>1.0484007089616401</v>
      </c>
      <c r="H556" s="141">
        <v>1.0594741481215733</v>
      </c>
      <c r="I556" s="141">
        <v>1.0705464348984648</v>
      </c>
      <c r="J556" s="481">
        <f t="shared" si="154"/>
        <v>1.4109286979692959E-2</v>
      </c>
      <c r="K556" s="484">
        <f t="shared" si="153"/>
        <v>1.372720562144969E-2</v>
      </c>
      <c r="L556" s="479">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c r="A557" s="554" t="s">
        <v>624</v>
      </c>
      <c r="B557" s="11">
        <v>8</v>
      </c>
      <c r="C557" s="137" t="s">
        <v>635</v>
      </c>
      <c r="D557" s="141"/>
      <c r="E557" s="141">
        <v>1.0327181385810218</v>
      </c>
      <c r="F557" s="141">
        <v>1.0462000918268668</v>
      </c>
      <c r="G557" s="141">
        <v>1.0579618766687933</v>
      </c>
      <c r="H557" s="141">
        <v>1.0679645783102321</v>
      </c>
      <c r="I557" s="141">
        <v>1.0772361012999514</v>
      </c>
      <c r="J557" s="481">
        <f t="shared" si="154"/>
        <v>1.544722025999028E-2</v>
      </c>
      <c r="K557" s="484">
        <f t="shared" si="153"/>
        <v>1.4990973227517745E-2</v>
      </c>
      <c r="L557" s="479">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c r="A558" s="554" t="s">
        <v>624</v>
      </c>
      <c r="B558" s="11">
        <v>9</v>
      </c>
      <c r="C558" s="137" t="s">
        <v>636</v>
      </c>
      <c r="D558" s="141"/>
      <c r="E558" s="141">
        <v>1.0231841082591016</v>
      </c>
      <c r="F558" s="141">
        <v>1.0358890289056439</v>
      </c>
      <c r="G558" s="141">
        <v>1.0481652070229122</v>
      </c>
      <c r="H558" s="141">
        <v>1.0592891805745575</v>
      </c>
      <c r="I558" s="141">
        <v>1.069681907109314</v>
      </c>
      <c r="J558" s="481">
        <f t="shared" si="154"/>
        <v>1.3936381421862798E-2</v>
      </c>
      <c r="K558" s="484">
        <f t="shared" si="153"/>
        <v>1.3563424108683053E-2</v>
      </c>
      <c r="L558" s="479">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c r="A559" s="554" t="s">
        <v>624</v>
      </c>
      <c r="B559" s="11">
        <v>10</v>
      </c>
      <c r="C559" s="137" t="s">
        <v>637</v>
      </c>
      <c r="D559" s="141"/>
      <c r="E559" s="141">
        <v>1.0341666734322146</v>
      </c>
      <c r="F559" s="141">
        <v>1.0480179725760268</v>
      </c>
      <c r="G559" s="141">
        <v>1.0601012155156095</v>
      </c>
      <c r="H559" s="141">
        <v>1.0702848288878077</v>
      </c>
      <c r="I559" s="141">
        <v>1.0797421461131422</v>
      </c>
      <c r="J559" s="481">
        <f t="shared" si="154"/>
        <v>1.5948429222628447E-2</v>
      </c>
      <c r="K559" s="484">
        <f t="shared" si="153"/>
        <v>1.5462782371323147E-2</v>
      </c>
      <c r="L559" s="479">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c r="A560" s="554" t="s">
        <v>624</v>
      </c>
      <c r="B560" s="11">
        <v>11</v>
      </c>
      <c r="C560" s="137" t="s">
        <v>638</v>
      </c>
      <c r="D560" s="141"/>
      <c r="E560" s="141">
        <v>1.0233409873632719</v>
      </c>
      <c r="F560" s="141">
        <v>1.0360814373748364</v>
      </c>
      <c r="G560" s="141">
        <v>1.0482875093579402</v>
      </c>
      <c r="H560" s="141">
        <v>1.0593852390742311</v>
      </c>
      <c r="I560" s="141">
        <v>1.0701308790705675</v>
      </c>
      <c r="J560" s="481">
        <f t="shared" si="154"/>
        <v>1.4026175814113495E-2</v>
      </c>
      <c r="K560" s="484">
        <f t="shared" si="153"/>
        <v>1.364849335671825E-2</v>
      </c>
      <c r="L560" s="479">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c r="A561" s="554" t="s">
        <v>624</v>
      </c>
      <c r="B561" s="11">
        <v>12</v>
      </c>
      <c r="C561" s="137" t="s">
        <v>639</v>
      </c>
      <c r="D561" s="141"/>
      <c r="E561" s="141">
        <v>1.0334066911438702</v>
      </c>
      <c r="F561" s="141">
        <v>1.0470642108004322</v>
      </c>
      <c r="G561" s="141">
        <v>1.0589787988674986</v>
      </c>
      <c r="H561" s="141">
        <v>1.0690674958412283</v>
      </c>
      <c r="I561" s="141">
        <v>1.0784273350333435</v>
      </c>
      <c r="J561" s="481">
        <f t="shared" si="154"/>
        <v>1.5685467006668709E-2</v>
      </c>
      <c r="K561" s="484">
        <f t="shared" si="153"/>
        <v>1.5215354312122953E-2</v>
      </c>
      <c r="L561" s="479">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c r="A562" s="554" t="s">
        <v>624</v>
      </c>
      <c r="B562" s="11">
        <v>13</v>
      </c>
      <c r="C562" s="137" t="s">
        <v>640</v>
      </c>
      <c r="D562" s="141"/>
      <c r="E562" s="141">
        <v>1.0535754755454367</v>
      </c>
      <c r="F562" s="141">
        <v>1.079128927735721</v>
      </c>
      <c r="G562" s="141">
        <v>1.10377830980113</v>
      </c>
      <c r="H562" s="141">
        <v>1.1267313398994689</v>
      </c>
      <c r="I562" s="141">
        <v>1.1493400902365778</v>
      </c>
      <c r="J562" s="481">
        <f t="shared" si="154"/>
        <v>2.9868018047315557E-2</v>
      </c>
      <c r="K562" s="484">
        <f t="shared" si="153"/>
        <v>2.8228674820024224E-2</v>
      </c>
      <c r="L562" s="479">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c r="A563" s="57"/>
      <c r="B563" s="376">
        <v>14</v>
      </c>
      <c r="C563" s="137" t="s">
        <v>641</v>
      </c>
      <c r="D563" s="141"/>
      <c r="E563" s="141">
        <v>1.0081055095898279</v>
      </c>
      <c r="F563" s="141">
        <v>1.0157451629461605</v>
      </c>
      <c r="G563" s="141">
        <v>1.0222827798035592</v>
      </c>
      <c r="H563" s="141">
        <v>1.0276922014787842</v>
      </c>
      <c r="I563" s="141">
        <v>1.032997413899986</v>
      </c>
      <c r="J563" s="481">
        <f t="shared" si="154"/>
        <v>6.5994827799972008E-3</v>
      </c>
      <c r="K563" s="484">
        <f t="shared" si="153"/>
        <v>6.5140621434043311E-3</v>
      </c>
      <c r="L563" s="479">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c r="B564" s="11">
        <v>15</v>
      </c>
      <c r="C564" s="137"/>
      <c r="D564" s="141"/>
      <c r="E564" s="141"/>
      <c r="F564" s="141"/>
      <c r="G564" s="141"/>
      <c r="H564" s="141"/>
      <c r="I564" s="141"/>
      <c r="J564" s="482" t="s">
        <v>642</v>
      </c>
      <c r="K564" s="6"/>
      <c r="L564" s="316" t="s">
        <v>643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c r="E565" s="15"/>
      <c r="L565" s="316" t="s">
        <v>644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c r="E566" s="15"/>
      <c r="L566" s="316" t="s">
        <v>645</v>
      </c>
      <c r="M566" s="13"/>
      <c r="N566" s="13"/>
      <c r="O566" s="13"/>
      <c r="P566" s="13"/>
      <c r="Q566" s="13"/>
      <c r="R566" s="478"/>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c r="C567" s="492" t="s">
        <v>646</v>
      </c>
      <c r="E567" s="15"/>
      <c r="L567" s="316" t="s">
        <v>647</v>
      </c>
      <c r="M567" s="13"/>
      <c r="N567" s="13"/>
      <c r="O567" s="13"/>
      <c r="P567" s="13"/>
      <c r="Q567" s="13"/>
      <c r="R567" s="478"/>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c r="E568" s="15"/>
      <c r="L568" s="316" t="s">
        <v>648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c r="E569" s="15"/>
      <c r="L569" s="316"/>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c r="C570" s="11"/>
      <c r="L570" s="316" t="s">
        <v>649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c r="C571" s="11"/>
      <c r="L571" s="316" t="s">
        <v>650</v>
      </c>
      <c r="M571" s="13"/>
      <c r="N571" s="13"/>
      <c r="O571" s="576"/>
      <c r="P571" s="577" t="s">
        <v>651</v>
      </c>
      <c r="Q571" s="578"/>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c r="C572" s="11"/>
      <c r="M572" s="13"/>
      <c r="N572" s="13"/>
      <c r="O572" s="581" t="s">
        <v>621</v>
      </c>
      <c r="P572" s="581" t="s">
        <v>622</v>
      </c>
      <c r="Q572" s="582" t="s">
        <v>652</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c r="A573" s="552"/>
      <c r="B573" s="553"/>
      <c r="C573" s="137" t="s">
        <v>628</v>
      </c>
      <c r="D573" s="575"/>
      <c r="E573" s="141">
        <v>1.0090702843828887</v>
      </c>
      <c r="F573" s="141">
        <v>1.0170393771683619</v>
      </c>
      <c r="G573" s="141">
        <v>1.0238793000184203</v>
      </c>
      <c r="H573" s="141">
        <v>1.0295635385778663</v>
      </c>
      <c r="I573" s="141">
        <v>1.0351195322438309</v>
      </c>
      <c r="J573" s="141">
        <v>1.0405457031681826</v>
      </c>
      <c r="K573" s="141">
        <v>1.0458422140156769</v>
      </c>
      <c r="L573" s="141">
        <v>1.0510151972476083</v>
      </c>
      <c r="M573" s="141">
        <v>1.0560652872565244</v>
      </c>
      <c r="N573" s="141">
        <v>1.0609963391971375</v>
      </c>
      <c r="O573" s="481">
        <f>(N573-100%)/10</f>
        <v>6.0996339197137541E-3</v>
      </c>
      <c r="P573" s="484">
        <f>(N573/100%)^(1/10)-1</f>
        <v>5.9384037531065026E-3</v>
      </c>
      <c r="Q573" s="579">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c r="A574" s="554" t="s">
        <v>653</v>
      </c>
      <c r="C574" s="137" t="s">
        <v>629</v>
      </c>
      <c r="D574" s="575"/>
      <c r="E574" s="141">
        <v>0.96173452499784384</v>
      </c>
      <c r="F574" s="141">
        <v>0.949547172001034</v>
      </c>
      <c r="G574" s="141">
        <v>0.93849673400054612</v>
      </c>
      <c r="H574" s="141">
        <v>0.92766778564091124</v>
      </c>
      <c r="I574" s="141">
        <v>0.91680012001884892</v>
      </c>
      <c r="J574" s="141">
        <v>0.92160605208729784</v>
      </c>
      <c r="K574" s="141">
        <v>0.92629714488325532</v>
      </c>
      <c r="L574" s="141">
        <v>0.93087882989658866</v>
      </c>
      <c r="M574" s="141">
        <v>0.93535166900555988</v>
      </c>
      <c r="N574" s="141">
        <v>0.93971907670114618</v>
      </c>
      <c r="O574" s="481">
        <f t="shared" ref="O574:O586" si="155">(N574-100%)/10</f>
        <v>-6.0280923298853817E-3</v>
      </c>
      <c r="P574" s="484">
        <f t="shared" ref="P574:P586" si="156">(N574/100%)^(1/10)-1</f>
        <v>-6.1981420710855994E-3</v>
      </c>
      <c r="Q574" s="579">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c r="A575" s="554" t="s">
        <v>653</v>
      </c>
      <c r="C575" s="137" t="s">
        <v>630</v>
      </c>
      <c r="D575" s="575"/>
      <c r="E575" s="141">
        <v>1.0707061745580608</v>
      </c>
      <c r="F575" s="141">
        <v>1.0961797739954167</v>
      </c>
      <c r="G575" s="141">
        <v>1.1120352164720533</v>
      </c>
      <c r="H575" s="141">
        <v>1.1172916519636134</v>
      </c>
      <c r="I575" s="141">
        <v>1.1228072524832799</v>
      </c>
      <c r="J575" s="141">
        <v>1.1286930887343545</v>
      </c>
      <c r="K575" s="141">
        <v>1.1344382810596616</v>
      </c>
      <c r="L575" s="141">
        <v>1.140049481417553</v>
      </c>
      <c r="M575" s="141">
        <v>1.145527377941651</v>
      </c>
      <c r="N575" s="141">
        <v>1.1508761523670457</v>
      </c>
      <c r="O575" s="481">
        <f t="shared" si="155"/>
        <v>1.5087615236704566E-2</v>
      </c>
      <c r="P575" s="484">
        <f t="shared" si="156"/>
        <v>1.4151550808456648E-2</v>
      </c>
      <c r="Q575" s="579">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c r="A576" s="554" t="s">
        <v>653</v>
      </c>
      <c r="C576" s="137" t="s">
        <v>631</v>
      </c>
      <c r="D576" s="575"/>
      <c r="E576" s="141">
        <v>0.99704312080608826</v>
      </c>
      <c r="F576" s="141">
        <v>0.99705853203848904</v>
      </c>
      <c r="G576" s="141">
        <v>0.99472603914083957</v>
      </c>
      <c r="H576" s="141">
        <v>0.9891090180954597</v>
      </c>
      <c r="I576" s="141">
        <v>0.98354979851924307</v>
      </c>
      <c r="J576" s="141">
        <v>0.98870563719596893</v>
      </c>
      <c r="K576" s="141">
        <v>0.99373827547071536</v>
      </c>
      <c r="L576" s="141">
        <v>0.99865354028508957</v>
      </c>
      <c r="M576" s="141">
        <v>1.0034520344261542</v>
      </c>
      <c r="N576" s="141">
        <v>1.0081374209845206</v>
      </c>
      <c r="O576" s="481">
        <f t="shared" si="155"/>
        <v>8.1374209845206378E-4</v>
      </c>
      <c r="P576" s="484">
        <f t="shared" si="156"/>
        <v>8.1077757246905691E-4</v>
      </c>
      <c r="Q576" s="579">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c r="A577" s="554" t="s">
        <v>653</v>
      </c>
      <c r="C577" s="137" t="s">
        <v>632</v>
      </c>
      <c r="D577" s="575"/>
      <c r="E577" s="141">
        <v>0.99263087643060499</v>
      </c>
      <c r="F577" s="141">
        <v>0.99530151668079492</v>
      </c>
      <c r="G577" s="141">
        <v>0.99708461172748208</v>
      </c>
      <c r="H577" s="141">
        <v>0.99857946574262668</v>
      </c>
      <c r="I577" s="141">
        <v>1.0006058081967233</v>
      </c>
      <c r="J577" s="141">
        <v>1.0058510557010429</v>
      </c>
      <c r="K577" s="141">
        <v>1.0109709663510638</v>
      </c>
      <c r="L577" s="141">
        <v>1.0159714681350021</v>
      </c>
      <c r="M577" s="141">
        <v>1.0208531742930185</v>
      </c>
      <c r="N577" s="141">
        <v>1.0256198114383941</v>
      </c>
      <c r="O577" s="481">
        <f t="shared" si="155"/>
        <v>2.5619811438394092E-3</v>
      </c>
      <c r="P577" s="484">
        <f t="shared" si="156"/>
        <v>2.5329148145079028E-3</v>
      </c>
      <c r="Q577" s="579">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c r="A578" s="554" t="s">
        <v>653</v>
      </c>
      <c r="C578" s="473" t="s">
        <v>633</v>
      </c>
      <c r="D578" s="474"/>
      <c r="E578" s="474">
        <v>1.0123419501207302</v>
      </c>
      <c r="F578" s="474">
        <v>1.0224746276334522</v>
      </c>
      <c r="G578" s="474">
        <v>1.0318096590054313</v>
      </c>
      <c r="H578" s="474">
        <v>1.040568100689119</v>
      </c>
      <c r="I578" s="474">
        <v>1.0491476885800255</v>
      </c>
      <c r="J578" s="474">
        <v>1.0546473961073131</v>
      </c>
      <c r="K578" s="474">
        <v>1.0600156863772707</v>
      </c>
      <c r="L578" s="474">
        <v>1.0652587749595908</v>
      </c>
      <c r="M578" s="474">
        <v>1.0703773048442411</v>
      </c>
      <c r="N578" s="474">
        <v>1.0753751834317971</v>
      </c>
      <c r="O578" s="490">
        <f t="shared" si="155"/>
        <v>7.5375183431797051E-3</v>
      </c>
      <c r="P578" s="491">
        <f t="shared" si="156"/>
        <v>7.2934292896156272E-3</v>
      </c>
      <c r="Q578" s="491">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c r="A579" s="554" t="s">
        <v>653</v>
      </c>
      <c r="C579" s="137" t="s">
        <v>634</v>
      </c>
      <c r="D579" s="575"/>
      <c r="E579" s="141">
        <v>1.0234861902526262</v>
      </c>
      <c r="F579" s="141">
        <v>1.0362595252458171</v>
      </c>
      <c r="G579" s="141">
        <v>1.0484007089616401</v>
      </c>
      <c r="H579" s="141">
        <v>1.0594741481215733</v>
      </c>
      <c r="I579" s="141">
        <v>1.0705464348984648</v>
      </c>
      <c r="J579" s="141">
        <v>1.0761583161906882</v>
      </c>
      <c r="K579" s="141">
        <v>1.0816360997978576</v>
      </c>
      <c r="L579" s="141">
        <v>1.0869861280643798</v>
      </c>
      <c r="M579" s="141">
        <v>1.0922090570948486</v>
      </c>
      <c r="N579" s="141">
        <v>1.0973088739864103</v>
      </c>
      <c r="O579" s="481">
        <f t="shared" si="155"/>
        <v>9.7308873986410305E-3</v>
      </c>
      <c r="P579" s="484">
        <f t="shared" si="156"/>
        <v>9.3293197294876951E-3</v>
      </c>
      <c r="Q579" s="579">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c r="A580" s="554" t="s">
        <v>653</v>
      </c>
      <c r="C580" s="137" t="s">
        <v>635</v>
      </c>
      <c r="D580" s="575"/>
      <c r="E580" s="141">
        <v>1.0327181385810218</v>
      </c>
      <c r="F580" s="141">
        <v>1.0462000918268668</v>
      </c>
      <c r="G580" s="141">
        <v>1.0579618766687933</v>
      </c>
      <c r="H580" s="141">
        <v>1.0679645783102321</v>
      </c>
      <c r="I580" s="141">
        <v>1.0772361012999514</v>
      </c>
      <c r="J580" s="141">
        <v>1.0828830503038651</v>
      </c>
      <c r="K580" s="141">
        <v>1.0883950636686206</v>
      </c>
      <c r="L580" s="141">
        <v>1.0937785233708797</v>
      </c>
      <c r="M580" s="141">
        <v>1.0990340896151238</v>
      </c>
      <c r="N580" s="141">
        <v>1.1041657744132061</v>
      </c>
      <c r="O580" s="481">
        <f t="shared" si="155"/>
        <v>1.0416577441320607E-2</v>
      </c>
      <c r="P580" s="484">
        <f t="shared" si="156"/>
        <v>9.95826625164975E-3</v>
      </c>
      <c r="Q580" s="579">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c r="A581" s="554" t="s">
        <v>653</v>
      </c>
      <c r="C581" s="137" t="s">
        <v>636</v>
      </c>
      <c r="D581" s="575"/>
      <c r="E581" s="141">
        <v>1.0231841082591016</v>
      </c>
      <c r="F581" s="141">
        <v>1.0358890289056439</v>
      </c>
      <c r="G581" s="141">
        <v>1.0481652070229122</v>
      </c>
      <c r="H581" s="141">
        <v>1.0592891805745575</v>
      </c>
      <c r="I581" s="141">
        <v>1.069681907109314</v>
      </c>
      <c r="J581" s="141">
        <v>1.0752892564847816</v>
      </c>
      <c r="K581" s="141">
        <v>1.0807626164667843</v>
      </c>
      <c r="L581" s="141">
        <v>1.0861083242779219</v>
      </c>
      <c r="M581" s="141">
        <v>1.0913270354929456</v>
      </c>
      <c r="N581" s="141">
        <v>1.0964227339891921</v>
      </c>
      <c r="O581" s="481">
        <f t="shared" si="155"/>
        <v>9.64227339891921E-3</v>
      </c>
      <c r="P581" s="484">
        <f t="shared" si="156"/>
        <v>9.2477809488915597E-3</v>
      </c>
      <c r="Q581" s="579">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c r="A582" s="554" t="s">
        <v>653</v>
      </c>
      <c r="C582" s="137" t="s">
        <v>637</v>
      </c>
      <c r="D582" s="575"/>
      <c r="E582" s="141">
        <v>1.0341666734322146</v>
      </c>
      <c r="F582" s="141">
        <v>1.0480179725760268</v>
      </c>
      <c r="G582" s="141">
        <v>1.0601012155156095</v>
      </c>
      <c r="H582" s="141">
        <v>1.0702848288878077</v>
      </c>
      <c r="I582" s="141">
        <v>1.0797421461131422</v>
      </c>
      <c r="J582" s="141">
        <v>1.0854022319839363</v>
      </c>
      <c r="K582" s="141">
        <v>1.0909270683059678</v>
      </c>
      <c r="L582" s="141">
        <v>1.0963230519027078</v>
      </c>
      <c r="M582" s="141">
        <v>1.1015908445145153</v>
      </c>
      <c r="N582" s="141">
        <v>1.1067344674866482</v>
      </c>
      <c r="O582" s="481">
        <f t="shared" si="155"/>
        <v>1.0673446748664817E-2</v>
      </c>
      <c r="P582" s="484">
        <f t="shared" si="156"/>
        <v>1.0192973847719333E-2</v>
      </c>
      <c r="Q582" s="579">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c r="A583" s="554" t="s">
        <v>653</v>
      </c>
      <c r="C583" s="137" t="s">
        <v>638</v>
      </c>
      <c r="D583" s="575"/>
      <c r="E583" s="141">
        <v>1.0233409873632719</v>
      </c>
      <c r="F583" s="141">
        <v>1.0360814373748364</v>
      </c>
      <c r="G583" s="141">
        <v>1.0482875093579402</v>
      </c>
      <c r="H583" s="141">
        <v>1.0593852390742311</v>
      </c>
      <c r="I583" s="141">
        <v>1.0701308790705675</v>
      </c>
      <c r="J583" s="141">
        <v>1.0757405819892984</v>
      </c>
      <c r="K583" s="141">
        <v>1.0812162392759013</v>
      </c>
      <c r="L583" s="141">
        <v>1.0865641908128645</v>
      </c>
      <c r="M583" s="141">
        <v>1.0917850924501005</v>
      </c>
      <c r="N583" s="141">
        <v>1.0968829297370777</v>
      </c>
      <c r="O583" s="481">
        <f t="shared" si="155"/>
        <v>9.6882929737077683E-3</v>
      </c>
      <c r="P583" s="484">
        <f t="shared" si="156"/>
        <v>9.2901335764377091E-3</v>
      </c>
      <c r="Q583" s="579">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c r="A584" s="554" t="s">
        <v>653</v>
      </c>
      <c r="C584" s="137" t="s">
        <v>639</v>
      </c>
      <c r="D584" s="575"/>
      <c r="E584" s="141">
        <v>1.0334066911438702</v>
      </c>
      <c r="F584" s="141">
        <v>1.0470642108004322</v>
      </c>
      <c r="G584" s="141">
        <v>1.0589787988674986</v>
      </c>
      <c r="H584" s="141">
        <v>1.0690674958412283</v>
      </c>
      <c r="I584" s="141">
        <v>1.0784273350333435</v>
      </c>
      <c r="J584" s="141">
        <v>1.0840805285700352</v>
      </c>
      <c r="K584" s="141">
        <v>1.0895986372524757</v>
      </c>
      <c r="L584" s="141">
        <v>1.0949880501146705</v>
      </c>
      <c r="M584" s="141">
        <v>1.1002494280911717</v>
      </c>
      <c r="N584" s="141">
        <v>1.1053867876304115</v>
      </c>
      <c r="O584" s="481">
        <f t="shared" si="155"/>
        <v>1.0538678763041154E-2</v>
      </c>
      <c r="P584" s="484">
        <f t="shared" si="156"/>
        <v>1.0069894342066732E-2</v>
      </c>
      <c r="Q584" s="579">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c r="A585" s="554" t="s">
        <v>653</v>
      </c>
      <c r="C585" s="137" t="s">
        <v>640</v>
      </c>
      <c r="D585" s="575"/>
      <c r="E585" s="141">
        <v>1.0535754755454367</v>
      </c>
      <c r="F585" s="141">
        <v>1.079128927735721</v>
      </c>
      <c r="G585" s="141">
        <v>1.10377830980113</v>
      </c>
      <c r="H585" s="141">
        <v>1.1267313398994689</v>
      </c>
      <c r="I585" s="141">
        <v>1.1493400902365778</v>
      </c>
      <c r="J585" s="141">
        <v>1.1553650135285909</v>
      </c>
      <c r="K585" s="141">
        <v>1.1612459693658381</v>
      </c>
      <c r="L585" s="141">
        <v>1.1669897668977929</v>
      </c>
      <c r="M585" s="141">
        <v>1.1725971105192283</v>
      </c>
      <c r="N585" s="141">
        <v>1.1780722807829951</v>
      </c>
      <c r="O585" s="481">
        <f t="shared" si="155"/>
        <v>1.7807228078299507E-2</v>
      </c>
      <c r="P585" s="484">
        <f t="shared" si="156"/>
        <v>1.6522963134986579E-2</v>
      </c>
      <c r="Q585" s="579">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c r="A586" s="57"/>
      <c r="B586" s="376"/>
      <c r="C586" s="137" t="s">
        <v>641</v>
      </c>
      <c r="D586" s="575"/>
      <c r="E586" s="141">
        <v>1.0081055095898279</v>
      </c>
      <c r="F586" s="141">
        <v>1.0157451629461605</v>
      </c>
      <c r="G586" s="141">
        <v>1.0222827798035592</v>
      </c>
      <c r="H586" s="141">
        <v>1.0276922014787842</v>
      </c>
      <c r="I586" s="141">
        <v>1.032997413899986</v>
      </c>
      <c r="J586" s="141">
        <v>1.0384124605275808</v>
      </c>
      <c r="K586" s="141">
        <v>1.0436981128969209</v>
      </c>
      <c r="L586" s="141">
        <v>1.0488604908970247</v>
      </c>
      <c r="M586" s="141">
        <v>1.053900227619859</v>
      </c>
      <c r="N586" s="141">
        <v>1.0588211703166104</v>
      </c>
      <c r="O586" s="481">
        <f t="shared" si="155"/>
        <v>5.8821170316610384E-3</v>
      </c>
      <c r="P586" s="484">
        <f t="shared" si="156"/>
        <v>5.7319838926312983E-3</v>
      </c>
      <c r="Q586" s="579">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c r="C587" s="11"/>
      <c r="E587" s="15"/>
      <c r="M587" s="13"/>
      <c r="N587" s="13"/>
      <c r="O587" s="482" t="s">
        <v>642</v>
      </c>
      <c r="P587" s="482" t="s">
        <v>642</v>
      </c>
      <c r="Q587" s="580"/>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c r="C588" s="11"/>
      <c r="E588" s="15"/>
      <c r="M588" s="13"/>
      <c r="N588" s="13"/>
      <c r="O588" s="482" t="s">
        <v>654</v>
      </c>
      <c r="P588" s="482" t="s">
        <v>654</v>
      </c>
      <c r="Q588" s="580"/>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c r="C589" s="11"/>
      <c r="E589" s="15"/>
      <c r="M589" s="13"/>
      <c r="N589" s="13"/>
      <c r="O589" s="13"/>
      <c r="P589" s="13"/>
      <c r="Q589" s="580" t="s">
        <v>649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c r="E590" s="15"/>
      <c r="M590" s="13"/>
      <c r="N590" s="13"/>
      <c r="O590" s="13"/>
      <c r="P590" s="13"/>
      <c r="Q590" s="580" t="s">
        <v>650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J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Y145"/>
  <sheetViews>
    <sheetView showGridLines="0" zoomScale="80" zoomScaleNormal="80" workbookViewId="0"/>
  </sheetViews>
  <sheetFormatPr defaultRowHeight="15"/>
  <cols>
    <col min="1" max="1" width="2.42578125" customWidth="1"/>
    <col min="2" max="2" width="5.85546875" customWidth="1"/>
    <col min="3" max="3" width="68.7109375" customWidth="1"/>
    <col min="4" max="4" width="25.28515625" customWidth="1"/>
    <col min="5" max="5" width="16.140625" customWidth="1"/>
    <col min="6" max="6" width="15.5703125" customWidth="1"/>
    <col min="7" max="7" width="15.85546875" customWidth="1"/>
    <col min="8" max="9" width="13.42578125" customWidth="1"/>
    <col min="10" max="10" width="12.5703125" customWidth="1"/>
    <col min="11" max="11" width="13.42578125" customWidth="1"/>
    <col min="12" max="12" width="15" customWidth="1"/>
    <col min="13" max="18" width="13.42578125" customWidth="1"/>
    <col min="19" max="19" width="36.5703125" customWidth="1"/>
    <col min="21" max="21" width="5.140625" customWidth="1"/>
    <col min="22" max="22" width="36.28515625" customWidth="1"/>
  </cols>
  <sheetData>
    <row r="1" spans="2:24" ht="30" customHeight="1">
      <c r="B1" s="513" t="s">
        <v>917</v>
      </c>
    </row>
    <row r="2" spans="2:24" ht="30" customHeight="1">
      <c r="B2" s="154" t="s">
        <v>655</v>
      </c>
      <c r="C2" s="154"/>
      <c r="D2" s="153"/>
      <c r="E2" s="170"/>
      <c r="F2" s="153"/>
      <c r="G2" s="153"/>
      <c r="H2" s="153"/>
      <c r="I2" s="153"/>
      <c r="J2" s="153"/>
      <c r="K2" s="153"/>
      <c r="L2" s="153"/>
      <c r="M2" s="153"/>
      <c r="N2" s="153"/>
      <c r="O2" s="153"/>
      <c r="P2" s="153"/>
      <c r="Q2" s="153"/>
      <c r="R2" s="153"/>
      <c r="S2" s="153"/>
      <c r="T2" s="153"/>
      <c r="U2" s="153"/>
      <c r="V2" s="153"/>
      <c r="W2" s="153"/>
      <c r="X2" s="153"/>
    </row>
    <row r="4" spans="2:24">
      <c r="B4" s="155" t="s">
        <v>656</v>
      </c>
      <c r="C4" s="306"/>
      <c r="D4" s="306"/>
      <c r="E4" s="306"/>
      <c r="F4" s="306"/>
      <c r="G4" s="306"/>
      <c r="H4" s="306"/>
      <c r="I4" s="306"/>
      <c r="J4" s="306"/>
      <c r="K4" s="306"/>
      <c r="L4" s="306"/>
      <c r="M4" s="306"/>
      <c r="N4" s="306"/>
      <c r="O4" s="306"/>
      <c r="P4" s="306"/>
      <c r="Q4" s="306"/>
      <c r="R4" s="306"/>
      <c r="S4" s="156"/>
    </row>
    <row r="5" spans="2:24">
      <c r="B5" s="159"/>
      <c r="C5" t="s">
        <v>657</v>
      </c>
      <c r="S5" s="158"/>
    </row>
    <row r="6" spans="2:24">
      <c r="B6" s="159"/>
      <c r="C6" t="s">
        <v>658</v>
      </c>
      <c r="S6" s="158"/>
    </row>
    <row r="7" spans="2:24">
      <c r="B7" s="159"/>
      <c r="C7" t="s">
        <v>659</v>
      </c>
      <c r="S7" s="158"/>
    </row>
    <row r="8" spans="2:24">
      <c r="B8" s="160"/>
      <c r="C8" s="161"/>
      <c r="D8" s="161"/>
      <c r="E8" s="161"/>
      <c r="F8" s="161"/>
      <c r="G8" s="161"/>
      <c r="H8" s="161"/>
      <c r="I8" s="161"/>
      <c r="J8" s="161"/>
      <c r="K8" s="161"/>
      <c r="L8" s="161"/>
      <c r="M8" s="161"/>
      <c r="N8" s="161"/>
      <c r="O8" s="161"/>
      <c r="P8" s="161"/>
      <c r="Q8" s="161"/>
      <c r="R8" s="161"/>
      <c r="S8" s="158"/>
    </row>
    <row r="9" spans="2:24">
      <c r="S9" s="194"/>
    </row>
    <row r="10" spans="2:24">
      <c r="B10" s="155" t="s">
        <v>660</v>
      </c>
      <c r="C10" s="306"/>
      <c r="D10" s="306"/>
      <c r="E10" s="306"/>
      <c r="F10" s="306"/>
      <c r="G10" s="306"/>
      <c r="H10" s="306"/>
      <c r="I10" s="306"/>
      <c r="J10" s="306"/>
      <c r="K10" s="306"/>
      <c r="L10" s="306"/>
      <c r="M10" s="306"/>
      <c r="N10" s="306"/>
      <c r="O10" s="306"/>
      <c r="P10" s="306"/>
      <c r="Q10" s="306"/>
      <c r="R10" s="306"/>
      <c r="S10" s="158"/>
    </row>
    <row r="11" spans="2:24">
      <c r="B11" s="157"/>
      <c r="C11" t="s">
        <v>661</v>
      </c>
      <c r="E11" s="149" t="s">
        <v>56</v>
      </c>
      <c r="S11" s="158"/>
    </row>
    <row r="12" spans="2:24">
      <c r="B12" s="157"/>
      <c r="C12" t="s">
        <v>76</v>
      </c>
      <c r="E12" s="149" t="s">
        <v>96</v>
      </c>
      <c r="G12" s="716">
        <f>'Population selection'!F16+'Population selection'!I16</f>
        <v>49287976</v>
      </c>
      <c r="H12" t="s">
        <v>998</v>
      </c>
      <c r="S12" s="158"/>
    </row>
    <row r="13" spans="2:24">
      <c r="B13" s="157"/>
      <c r="G13" s="718"/>
      <c r="H13" t="s">
        <v>904</v>
      </c>
      <c r="S13" s="158"/>
    </row>
    <row r="14" spans="2:24">
      <c r="B14" s="157"/>
      <c r="G14" s="717">
        <f>2.05533586601874%</f>
        <v>2.0553358660187402E-2</v>
      </c>
      <c r="H14" t="s">
        <v>662</v>
      </c>
      <c r="S14" s="158"/>
    </row>
    <row r="15" spans="2:24">
      <c r="B15" s="157"/>
      <c r="C15" s="147"/>
      <c r="G15" s="127">
        <f>(100%+G14)*(G12+G13)</f>
        <v>50301009.448362708</v>
      </c>
      <c r="H15" t="s">
        <v>663</v>
      </c>
      <c r="S15" s="158"/>
    </row>
    <row r="16" spans="2:24">
      <c r="B16" s="159"/>
      <c r="C16" t="s">
        <v>664</v>
      </c>
      <c r="E16" s="590" t="s">
        <v>54</v>
      </c>
      <c r="F16" s="169" t="str">
        <f>IF(E16="yes","","If no, enter current locality population below")</f>
        <v/>
      </c>
      <c r="S16" s="158"/>
    </row>
    <row r="17" spans="2:24">
      <c r="B17" s="159"/>
      <c r="F17" s="169" t="str">
        <f>IF(AND(NOT(ISBLANK(E18)),E16="yes"),"error - change cell above to 'no'","")</f>
        <v/>
      </c>
      <c r="S17" s="158"/>
    </row>
    <row r="18" spans="2:24">
      <c r="B18" s="159"/>
      <c r="C18" t="str">
        <f>"Manually entered current locality population "&amp;IF(E16="no","","(n/a)")</f>
        <v>Manually entered current locality population (n/a)</v>
      </c>
      <c r="E18" s="591"/>
      <c r="F18" s="668" t="str">
        <f>IF(E16="yes","Leave blue cell on left blank if NICE estimate is used","")</f>
        <v>Leave blue cell on left blank if NICE estimate is used</v>
      </c>
      <c r="S18" s="158"/>
    </row>
    <row r="19" spans="2:24">
      <c r="B19" s="159"/>
      <c r="F19" s="169" t="str">
        <f>IF(AND(ISBLANK(E18),E16="no"),"error - enter current locality population above","")</f>
        <v/>
      </c>
      <c r="S19" s="158"/>
    </row>
    <row r="20" spans="2:24">
      <c r="B20" s="159"/>
      <c r="C20" t="s">
        <v>665</v>
      </c>
      <c r="D20" s="151"/>
      <c r="E20" s="589">
        <v>9.6418074639288403E-3</v>
      </c>
      <c r="F20" t="str">
        <f>IF(E20=0.00964180746392884,"Enter local value or delete the NICE assumption if required","Local value")</f>
        <v>Enter local value or delete the NICE assumption if required</v>
      </c>
      <c r="S20" s="158"/>
    </row>
    <row r="21" spans="2:24">
      <c r="B21" s="159"/>
      <c r="C21" t="s">
        <v>666</v>
      </c>
      <c r="D21" s="151"/>
      <c r="E21" s="589">
        <v>0</v>
      </c>
      <c r="F21" t="str">
        <f>IF(E21=0,"Enter local value or delete the NICE assumption if required","Local value")</f>
        <v>Enter local value or delete the NICE assumption if required</v>
      </c>
      <c r="S21" s="158"/>
    </row>
    <row r="22" spans="2:24">
      <c r="B22" s="160"/>
      <c r="C22" s="161"/>
      <c r="D22" s="161"/>
      <c r="E22" s="161"/>
      <c r="F22" s="161"/>
      <c r="G22" s="161"/>
      <c r="H22" s="161"/>
      <c r="I22" s="161"/>
      <c r="J22" s="161"/>
      <c r="K22" s="161"/>
      <c r="L22" s="161"/>
      <c r="M22" s="161"/>
      <c r="N22" s="161"/>
      <c r="O22" s="161"/>
      <c r="P22" s="161"/>
      <c r="Q22" s="161"/>
      <c r="R22" s="161"/>
      <c r="S22" s="162"/>
    </row>
    <row r="24" spans="2:24">
      <c r="B24" s="155" t="s">
        <v>667</v>
      </c>
      <c r="C24" s="306"/>
      <c r="D24" s="306"/>
      <c r="E24" s="306"/>
      <c r="F24" s="306"/>
      <c r="G24" s="306"/>
      <c r="H24" s="306"/>
      <c r="I24" s="306"/>
      <c r="J24" s="306"/>
      <c r="K24" s="306"/>
      <c r="L24" s="306"/>
      <c r="M24" s="306"/>
      <c r="N24" s="306"/>
      <c r="O24" s="306"/>
      <c r="P24" s="306"/>
      <c r="Q24" s="306"/>
      <c r="R24" s="306"/>
      <c r="S24" s="306"/>
      <c r="T24" s="306"/>
      <c r="U24" s="306"/>
      <c r="V24" s="306"/>
      <c r="W24" s="306"/>
      <c r="X24" s="156"/>
    </row>
    <row r="25" spans="2:24" ht="84.95" customHeight="1">
      <c r="B25" s="157"/>
      <c r="F25" s="234" t="s">
        <v>668</v>
      </c>
      <c r="G25" s="164" t="s">
        <v>669</v>
      </c>
      <c r="H25" s="222" t="s">
        <v>670</v>
      </c>
      <c r="I25" s="379"/>
      <c r="J25" s="379"/>
      <c r="K25" s="379"/>
      <c r="L25" s="379"/>
      <c r="M25" s="379"/>
      <c r="N25" s="379"/>
      <c r="O25" s="379"/>
      <c r="P25" s="379"/>
      <c r="Q25" s="379"/>
      <c r="R25" s="379"/>
      <c r="S25" s="379"/>
      <c r="T25" s="379"/>
      <c r="U25" s="379"/>
      <c r="V25" s="379"/>
      <c r="W25" s="379"/>
      <c r="X25" s="223"/>
    </row>
    <row r="26" spans="2:24">
      <c r="B26" s="157"/>
      <c r="C26" s="233" t="s">
        <v>908</v>
      </c>
      <c r="D26" s="236"/>
      <c r="E26" s="167"/>
      <c r="F26" s="127">
        <f>IF(ISBLANK(E18),G15,'Population selection'!F16)</f>
        <v>50301009.448362708</v>
      </c>
      <c r="G26" s="235"/>
      <c r="H26" s="232" t="s">
        <v>671</v>
      </c>
      <c r="I26" s="194"/>
      <c r="J26" s="194"/>
      <c r="K26" s="194"/>
      <c r="L26" s="194"/>
      <c r="M26" s="194"/>
      <c r="N26" s="194"/>
      <c r="O26" s="194"/>
      <c r="P26" s="194"/>
      <c r="Q26" s="194"/>
      <c r="R26" s="194"/>
      <c r="S26" s="194"/>
      <c r="T26" s="194"/>
      <c r="U26" s="194"/>
      <c r="V26" s="194"/>
      <c r="W26" s="194"/>
      <c r="X26" s="167"/>
    </row>
    <row r="27" spans="2:24">
      <c r="B27" s="157"/>
      <c r="C27" s="583" t="s">
        <v>909</v>
      </c>
      <c r="D27" s="237"/>
      <c r="E27" s="167"/>
      <c r="F27" s="205"/>
      <c r="G27" s="127">
        <f>K46</f>
        <v>52773187.795991734</v>
      </c>
      <c r="H27" s="232" t="s">
        <v>671</v>
      </c>
      <c r="I27" s="161"/>
      <c r="J27" s="161"/>
      <c r="K27" s="161"/>
      <c r="L27" s="161"/>
      <c r="M27" s="161"/>
      <c r="N27" s="161"/>
      <c r="O27" s="161"/>
      <c r="P27" s="161"/>
      <c r="Q27" s="161"/>
      <c r="R27" s="161"/>
      <c r="S27" s="161"/>
      <c r="T27" s="161"/>
      <c r="U27" s="161"/>
      <c r="V27" s="161"/>
      <c r="W27" s="161"/>
      <c r="X27" s="162"/>
    </row>
    <row r="28" spans="2:24">
      <c r="B28" s="159"/>
      <c r="C28" s="682" t="s">
        <v>910</v>
      </c>
      <c r="D28" s="167"/>
      <c r="E28" s="683">
        <v>7.1042312491186805E-5</v>
      </c>
      <c r="F28" s="592">
        <f>F26*E28</f>
        <v>3573.5000318527236</v>
      </c>
      <c r="G28" s="592">
        <f>E28*G27</f>
        <v>3749.1292985589307</v>
      </c>
      <c r="H28" s="818" t="s">
        <v>911</v>
      </c>
      <c r="I28" s="194"/>
      <c r="J28" s="194"/>
      <c r="K28" s="194"/>
      <c r="L28" s="194"/>
      <c r="M28" s="194"/>
      <c r="N28" s="194"/>
      <c r="O28" s="194"/>
      <c r="P28" s="194"/>
      <c r="Q28" s="194"/>
      <c r="R28" s="194"/>
      <c r="S28" s="194"/>
      <c r="T28" s="194"/>
      <c r="U28" s="194"/>
      <c r="V28" s="194"/>
      <c r="W28" s="194"/>
      <c r="X28" s="167"/>
    </row>
    <row r="29" spans="2:24" ht="18" customHeight="1">
      <c r="B29" s="159"/>
      <c r="C29" s="166" t="s">
        <v>912</v>
      </c>
      <c r="D29" s="167"/>
      <c r="E29" s="589">
        <v>0.108</v>
      </c>
      <c r="F29" s="592">
        <f>E29*F28</f>
        <v>385.93800344009412</v>
      </c>
      <c r="G29" s="592">
        <f>E29*G28</f>
        <v>404.9059642443645</v>
      </c>
      <c r="H29" s="773" t="s">
        <v>1131</v>
      </c>
      <c r="I29" s="526"/>
      <c r="J29" s="526"/>
      <c r="K29" s="526"/>
      <c r="L29" s="526"/>
      <c r="M29" s="526"/>
      <c r="N29" s="684"/>
      <c r="O29" s="684"/>
      <c r="P29" s="684"/>
      <c r="Q29" s="684"/>
      <c r="R29" s="684"/>
      <c r="S29" s="688" t="s">
        <v>1117</v>
      </c>
      <c r="T29" s="684"/>
      <c r="U29" s="684"/>
      <c r="W29" s="684"/>
      <c r="X29" s="685"/>
    </row>
    <row r="30" spans="2:24">
      <c r="B30" s="159"/>
      <c r="C30" s="686" t="s">
        <v>913</v>
      </c>
      <c r="D30" s="167"/>
      <c r="E30" s="589">
        <v>7.4999999999999997E-2</v>
      </c>
      <c r="F30" s="592">
        <f>E30*F29</f>
        <v>28.945350258007057</v>
      </c>
      <c r="G30" s="592">
        <f>E30*G29</f>
        <v>30.367947318327335</v>
      </c>
      <c r="H30" s="773" t="s">
        <v>915</v>
      </c>
      <c r="I30" s="237"/>
      <c r="J30" s="237"/>
      <c r="K30" s="237"/>
      <c r="L30" s="237"/>
      <c r="M30" s="237"/>
      <c r="N30" s="237"/>
      <c r="O30" s="237"/>
      <c r="P30" s="237"/>
      <c r="Q30" s="237"/>
      <c r="R30" s="237"/>
      <c r="S30" s="237"/>
      <c r="T30" s="237"/>
      <c r="U30" s="237"/>
      <c r="V30" s="237"/>
      <c r="W30" s="237"/>
      <c r="X30" s="680"/>
    </row>
    <row r="31" spans="2:24">
      <c r="B31" s="159"/>
      <c r="C31" s="687" t="s">
        <v>914</v>
      </c>
      <c r="D31" s="167"/>
      <c r="E31" s="589">
        <v>0.7</v>
      </c>
      <c r="F31" s="592">
        <f>E31*F30</f>
        <v>20.26174518060494</v>
      </c>
      <c r="G31" s="592">
        <f>E31*G30</f>
        <v>21.257563122829133</v>
      </c>
      <c r="H31" s="773" t="s">
        <v>916</v>
      </c>
      <c r="I31" s="194"/>
      <c r="J31" s="194"/>
      <c r="K31" s="194"/>
      <c r="L31" s="194"/>
      <c r="M31" s="194"/>
      <c r="N31" s="194"/>
      <c r="O31" s="194"/>
      <c r="P31" s="194"/>
      <c r="Q31" s="194"/>
      <c r="R31" s="194"/>
      <c r="S31" s="194"/>
      <c r="T31" s="194"/>
      <c r="U31" s="194"/>
      <c r="V31" s="194"/>
      <c r="W31" s="194"/>
      <c r="X31" s="167"/>
    </row>
    <row r="32" spans="2:24">
      <c r="B32" s="159"/>
      <c r="C32" s="221" t="s">
        <v>672</v>
      </c>
      <c r="D32" s="156"/>
      <c r="E32" s="324"/>
      <c r="F32" s="689">
        <f>F31</f>
        <v>20.26174518060494</v>
      </c>
      <c r="G32" s="689">
        <f>G31</f>
        <v>21.257563122829133</v>
      </c>
      <c r="H32" s="773"/>
      <c r="I32" s="194"/>
      <c r="J32" s="194"/>
      <c r="K32" s="194"/>
      <c r="L32" s="194"/>
      <c r="M32" s="194"/>
      <c r="N32" s="194"/>
      <c r="O32" s="194"/>
      <c r="P32" s="194"/>
      <c r="Q32" s="194"/>
      <c r="R32" s="194"/>
      <c r="S32" s="194"/>
      <c r="T32" s="194"/>
      <c r="U32" s="194"/>
      <c r="V32" s="194"/>
      <c r="W32" s="194"/>
      <c r="X32" s="167"/>
    </row>
    <row r="33" spans="2:24">
      <c r="B33" s="159"/>
      <c r="C33" s="166" t="s">
        <v>1004</v>
      </c>
      <c r="D33" s="156"/>
      <c r="E33" s="820">
        <v>0.02</v>
      </c>
      <c r="F33" s="592">
        <f>E33*F29</f>
        <v>7.7187600688018829</v>
      </c>
      <c r="G33" s="592">
        <f>E33*G29</f>
        <v>8.0981192848872894</v>
      </c>
      <c r="H33" s="197" t="s">
        <v>1128</v>
      </c>
      <c r="I33" s="194"/>
      <c r="J33" s="194"/>
      <c r="K33" s="194"/>
      <c r="L33" s="194"/>
      <c r="M33" s="194"/>
      <c r="N33" s="194"/>
      <c r="O33" s="194"/>
      <c r="P33" s="194"/>
      <c r="Q33" s="194"/>
      <c r="R33" s="194"/>
      <c r="S33" s="194"/>
      <c r="T33" s="194"/>
      <c r="U33" s="194"/>
      <c r="V33" s="194"/>
      <c r="W33" s="194"/>
      <c r="X33" s="167"/>
    </row>
    <row r="34" spans="2:24">
      <c r="B34" s="159"/>
      <c r="C34" s="221" t="s">
        <v>672</v>
      </c>
      <c r="D34" s="194"/>
      <c r="E34" s="324"/>
      <c r="F34" s="127">
        <f>F33</f>
        <v>7.7187600688018829</v>
      </c>
      <c r="G34" s="127">
        <f>G33</f>
        <v>8.0981192848872894</v>
      </c>
      <c r="H34" s="197"/>
      <c r="I34" s="194"/>
      <c r="J34" s="194"/>
      <c r="K34" s="194"/>
      <c r="L34" s="194"/>
      <c r="M34" s="194"/>
      <c r="N34" s="194"/>
      <c r="O34" s="194"/>
      <c r="P34" s="194"/>
      <c r="Q34" s="194"/>
      <c r="R34" s="194"/>
      <c r="S34" s="194"/>
      <c r="T34" s="194"/>
      <c r="U34" s="194"/>
      <c r="V34" s="194"/>
      <c r="W34" s="194"/>
      <c r="X34" s="167"/>
    </row>
    <row r="35" spans="2:24">
      <c r="B35" s="159"/>
      <c r="C35" s="221" t="s">
        <v>1003</v>
      </c>
      <c r="D35" s="194"/>
      <c r="E35" s="324"/>
      <c r="F35" s="816">
        <f>F34+F32</f>
        <v>27.980505249406825</v>
      </c>
      <c r="G35" s="816">
        <f>G34+G32</f>
        <v>29.355682407716422</v>
      </c>
      <c r="H35" s="197"/>
      <c r="I35" s="194"/>
      <c r="J35" s="194"/>
      <c r="K35" s="194"/>
      <c r="L35" s="194"/>
      <c r="M35" s="194"/>
      <c r="N35" s="194"/>
      <c r="O35" s="194"/>
      <c r="P35" s="194"/>
      <c r="Q35" s="194"/>
      <c r="R35" s="194"/>
      <c r="S35" s="194"/>
      <c r="T35" s="194"/>
      <c r="U35" s="194"/>
      <c r="V35" s="194"/>
      <c r="W35" s="194"/>
      <c r="X35" s="167"/>
    </row>
    <row r="36" spans="2:24">
      <c r="B36" s="159"/>
      <c r="C36" s="340"/>
      <c r="E36" s="341"/>
      <c r="F36" s="342"/>
      <c r="G36" s="342"/>
      <c r="H36" s="188"/>
      <c r="X36" s="158"/>
    </row>
    <row r="37" spans="2:24">
      <c r="B37" s="159"/>
      <c r="C37" t="s">
        <v>673</v>
      </c>
      <c r="F37" s="590" t="s">
        <v>54</v>
      </c>
      <c r="G37" s="342"/>
      <c r="H37" s="188"/>
      <c r="X37" s="158"/>
    </row>
    <row r="38" spans="2:24">
      <c r="B38" s="159"/>
      <c r="C38" s="340"/>
      <c r="E38" s="341"/>
      <c r="F38" s="342"/>
      <c r="G38" s="342"/>
      <c r="H38" s="188"/>
      <c r="X38" s="158"/>
    </row>
    <row r="39" spans="2:24">
      <c r="B39" s="159"/>
      <c r="C39" t="str">
        <f>"Manually entered current eligible population - people with medullary thyroid cancer "&amp;IF(F37="no","","(n/a)")</f>
        <v>Manually entered current eligible population - people with medullary thyroid cancer (n/a)</v>
      </c>
      <c r="F39" s="593"/>
      <c r="G39" s="664" t="str">
        <f>IF(F37="yes","Leave blue cell on left blank if NICE estimate is used","local value")</f>
        <v>Leave blue cell on left blank if NICE estimate is used</v>
      </c>
      <c r="X39" s="158"/>
    </row>
    <row r="40" spans="2:24">
      <c r="B40" s="159"/>
      <c r="F40" s="731"/>
      <c r="G40" s="668"/>
      <c r="X40" s="158"/>
    </row>
    <row r="41" spans="2:24">
      <c r="B41" s="159"/>
      <c r="C41" t="str">
        <f>"Manually entered current eligible population - people with RET fusion-positive thyroid cancer" &amp;IF(F39="no",""," (n/a)")</f>
        <v>Manually entered current eligible population - people with RET fusion-positive thyroid cancer (n/a)</v>
      </c>
      <c r="F41" s="593"/>
      <c r="G41" s="664" t="str">
        <f>IF(F37="yes","Leave blue cell on left blank if NICE estimate is used","local value")</f>
        <v>Leave blue cell on left blank if NICE estimate is used</v>
      </c>
      <c r="X41" s="158"/>
    </row>
    <row r="42" spans="2:24">
      <c r="B42" s="159"/>
      <c r="C42" t="s">
        <v>1007</v>
      </c>
      <c r="G42" s="532" t="str">
        <f>IF(AND(F37="yes",F39&gt;0),"error, set the drop down above to be 'no'","")</f>
        <v/>
      </c>
      <c r="X42" s="158"/>
    </row>
    <row r="43" spans="2:24" ht="45">
      <c r="B43" s="159"/>
      <c r="C43" s="161"/>
      <c r="F43" s="230" t="s">
        <v>668</v>
      </c>
      <c r="G43" s="164" t="s">
        <v>674</v>
      </c>
      <c r="H43" s="164" t="s">
        <v>675</v>
      </c>
      <c r="I43" s="231" t="s">
        <v>676</v>
      </c>
      <c r="J43" s="164" t="s">
        <v>677</v>
      </c>
      <c r="K43" s="164" t="s">
        <v>678</v>
      </c>
      <c r="L43" s="533"/>
      <c r="M43" s="533"/>
      <c r="N43" s="533"/>
      <c r="O43" s="533"/>
      <c r="P43" s="533"/>
      <c r="Q43" s="533"/>
      <c r="X43" s="158"/>
    </row>
    <row r="44" spans="2:24">
      <c r="B44" s="159"/>
      <c r="C44" s="232" t="s">
        <v>679</v>
      </c>
      <c r="D44" s="194"/>
      <c r="E44" s="167"/>
      <c r="F44" s="205"/>
      <c r="G44" s="330">
        <f>IF(E20&lt;&gt;"",E20+100%,100%)</f>
        <v>1.0096418074639288</v>
      </c>
      <c r="H44" s="330">
        <f>IF($E$20&lt;&gt;"",G44*(100%+$E$20),100%)</f>
        <v>1.0193765793790293</v>
      </c>
      <c r="I44" s="330">
        <f>IF($E$20&lt;&gt;"",H44*(100%+$E$20),100%)</f>
        <v>1.0292052120906403</v>
      </c>
      <c r="J44" s="330">
        <f>IF($E$20&lt;&gt;"",I44*(100%+$E$20),100%)</f>
        <v>1.0391286105864903</v>
      </c>
      <c r="K44" s="330">
        <f>IF($E$20&lt;&gt;"",J44*(100%+$E$20),100%)</f>
        <v>1.0491476885800251</v>
      </c>
      <c r="L44" t="s">
        <v>680</v>
      </c>
      <c r="M44" s="524"/>
      <c r="N44" s="524"/>
      <c r="O44" s="524"/>
      <c r="P44" s="524"/>
      <c r="Q44" s="524"/>
      <c r="X44" s="158"/>
    </row>
    <row r="45" spans="2:24">
      <c r="B45" s="159"/>
      <c r="C45" s="232" t="s">
        <v>681</v>
      </c>
      <c r="D45" s="194"/>
      <c r="E45" s="167"/>
      <c r="F45" s="205"/>
      <c r="G45" s="330">
        <f>IF(E21&lt;&gt;"",E21+100%,100%)</f>
        <v>1</v>
      </c>
      <c r="H45" s="330">
        <f>IF($E$21&lt;&gt;"",G45*(100%+$E$21),100%)</f>
        <v>1</v>
      </c>
      <c r="I45" s="330">
        <f>IF($E$21&lt;&gt;"",H45*(100%+$E$21),100%)</f>
        <v>1</v>
      </c>
      <c r="J45" s="330">
        <f>IF($E$21&lt;&gt;"",I45*(100%+$E$21),100%)</f>
        <v>1</v>
      </c>
      <c r="K45" s="330">
        <f>IF($E$21&lt;&gt;"",J45*(100%+$E$21),100%)</f>
        <v>1</v>
      </c>
      <c r="L45" t="s">
        <v>680</v>
      </c>
      <c r="M45" s="524"/>
      <c r="N45" s="524"/>
      <c r="O45" s="524"/>
      <c r="P45" s="524"/>
      <c r="Q45" s="524"/>
      <c r="X45" s="158"/>
    </row>
    <row r="46" spans="2:24">
      <c r="B46" s="159"/>
      <c r="C46" s="377" t="str">
        <f>IF('Inputs and eligible population'!E18=0,"Baseline population (inflated by growth(s))","Manually entered locality population (inflated by growth(s))")</f>
        <v>Baseline population (inflated by growth(s))</v>
      </c>
      <c r="D46" s="194"/>
      <c r="E46" s="167"/>
      <c r="F46" s="127">
        <f>IF(ISBLANK(E18),G15,'Population selection'!F16)</f>
        <v>50301009.448362708</v>
      </c>
      <c r="G46" s="127">
        <f>F46*G44</f>
        <v>50786002.096705087</v>
      </c>
      <c r="H46" s="127">
        <f>F46*H44</f>
        <v>51275670.950784206</v>
      </c>
      <c r="I46" s="127">
        <f>F46*I44</f>
        <v>51770061.097675443</v>
      </c>
      <c r="J46" s="127">
        <f>F46*J44</f>
        <v>52269218.059175059</v>
      </c>
      <c r="K46" s="127">
        <f>F46*K44</f>
        <v>52773187.795991734</v>
      </c>
      <c r="M46" s="281"/>
      <c r="N46" s="281"/>
      <c r="O46" s="281"/>
      <c r="P46" s="281"/>
      <c r="Q46" s="281"/>
      <c r="X46" s="158"/>
    </row>
    <row r="47" spans="2:24">
      <c r="B47" s="159"/>
      <c r="C47" s="377" t="s">
        <v>1005</v>
      </c>
      <c r="D47" s="194"/>
      <c r="E47" s="167"/>
      <c r="F47" s="179">
        <f>IF(ISBLANK(F39),F32,F39)</f>
        <v>20.26174518060494</v>
      </c>
      <c r="G47" s="179">
        <f>$F$47*G44*G45</f>
        <v>20.457105026519521</v>
      </c>
      <c r="H47" s="179">
        <f t="shared" ref="H47:K47" si="0">$F$47*H44*H45</f>
        <v>20.654348494454595</v>
      </c>
      <c r="I47" s="179">
        <f t="shared" si="0"/>
        <v>20.853493745931015</v>
      </c>
      <c r="J47" s="179">
        <f t="shared" si="0"/>
        <v>21.054559117579526</v>
      </c>
      <c r="K47" s="179">
        <f t="shared" si="0"/>
        <v>21.257563122829136</v>
      </c>
      <c r="M47" s="281"/>
      <c r="N47" s="281"/>
      <c r="O47" s="281"/>
      <c r="P47" s="281"/>
      <c r="Q47" s="281"/>
      <c r="X47" s="158"/>
    </row>
    <row r="48" spans="2:24">
      <c r="B48" s="159"/>
      <c r="C48" s="377" t="s">
        <v>1006</v>
      </c>
      <c r="D48" s="194"/>
      <c r="E48" s="167"/>
      <c r="F48" s="179">
        <f>IF(ISBLANK(F41),F34,F41)</f>
        <v>7.7187600688018829</v>
      </c>
      <c r="G48" s="179">
        <f>$F$48*G44*G45</f>
        <v>7.793182867245533</v>
      </c>
      <c r="H48" s="179">
        <f t="shared" ref="H48:K48" si="1">$F$48*H44*H45</f>
        <v>7.8683232359827038</v>
      </c>
      <c r="I48" s="179">
        <f t="shared" si="1"/>
        <v>7.9441880936880072</v>
      </c>
      <c r="J48" s="179">
        <f t="shared" si="1"/>
        <v>8.0207844257445835</v>
      </c>
      <c r="K48" s="179">
        <f t="shared" si="1"/>
        <v>8.0981192848872912</v>
      </c>
      <c r="M48" s="281"/>
      <c r="N48" s="281"/>
      <c r="O48" s="281"/>
      <c r="P48" s="281"/>
      <c r="Q48" s="281"/>
      <c r="X48" s="158"/>
    </row>
    <row r="49" spans="2:25">
      <c r="B49" s="159"/>
      <c r="C49" s="221" t="str">
        <f>IF(ISBLANK(F39),"Total eligible population, NICE estimate","Eligible population, local estimate")</f>
        <v>Total eligible population, NICE estimate</v>
      </c>
      <c r="D49" s="194"/>
      <c r="E49" s="167"/>
      <c r="F49" s="179">
        <f>IF(ISBLANK(F39),F34+F32,F39+F41)</f>
        <v>27.980505249406825</v>
      </c>
      <c r="G49" s="179">
        <f>$F$49*G44*G45</f>
        <v>28.250287893765055</v>
      </c>
      <c r="H49" s="179">
        <f>$F$49*H44*H45</f>
        <v>28.522671730437303</v>
      </c>
      <c r="I49" s="179">
        <f>$F$49*I44*I45</f>
        <v>28.797681839619027</v>
      </c>
      <c r="J49" s="179">
        <f>$F$49*J44*J45</f>
        <v>29.075343543324113</v>
      </c>
      <c r="K49" s="179">
        <f>$F$49*K44*K45</f>
        <v>29.355682407716429</v>
      </c>
      <c r="L49" s="169" t="str">
        <f>IF(F37="no","local estimate used","")</f>
        <v/>
      </c>
      <c r="M49" s="342"/>
      <c r="N49" s="342"/>
      <c r="O49" s="342"/>
      <c r="P49" s="342"/>
      <c r="Q49" s="342"/>
      <c r="Y49" s="159"/>
    </row>
    <row r="50" spans="2:25" ht="42.4" customHeight="1">
      <c r="B50" s="159"/>
      <c r="C50" t="s">
        <v>1077</v>
      </c>
      <c r="D50" s="151"/>
      <c r="Y50" s="159"/>
    </row>
    <row r="51" spans="2:25">
      <c r="B51" s="159"/>
      <c r="C51" t="s">
        <v>995</v>
      </c>
      <c r="D51" s="151"/>
      <c r="E51" s="334" t="s">
        <v>996</v>
      </c>
      <c r="Y51" s="159"/>
    </row>
    <row r="52" spans="2:25">
      <c r="B52" s="159"/>
      <c r="C52" t="s">
        <v>1011</v>
      </c>
      <c r="D52" s="151"/>
      <c r="E52" s="334"/>
      <c r="Y52" s="159"/>
    </row>
    <row r="53" spans="2:25">
      <c r="B53" s="159"/>
      <c r="C53" t="s">
        <v>1002</v>
      </c>
      <c r="D53" s="151"/>
      <c r="E53" s="334"/>
      <c r="Y53" s="159"/>
    </row>
    <row r="54" spans="2:25" ht="18" customHeight="1">
      <c r="B54" s="160"/>
      <c r="C54" s="161" t="s">
        <v>1129</v>
      </c>
      <c r="D54" s="161"/>
      <c r="E54" s="161"/>
      <c r="F54" s="819" t="s">
        <v>1130</v>
      </c>
      <c r="G54" s="161"/>
      <c r="H54" s="161"/>
      <c r="I54" s="161"/>
      <c r="J54" s="161"/>
      <c r="K54" s="161"/>
      <c r="L54" s="161"/>
      <c r="M54" s="161"/>
      <c r="N54" s="161"/>
      <c r="O54" s="161"/>
      <c r="P54" s="161"/>
      <c r="Q54" s="161"/>
      <c r="R54" s="161"/>
      <c r="S54" s="161"/>
      <c r="T54" s="161"/>
      <c r="U54" s="161"/>
      <c r="V54" s="161"/>
      <c r="W54" s="161"/>
      <c r="X54" s="162"/>
    </row>
    <row r="57" spans="2:25">
      <c r="B57" s="155" t="s">
        <v>682</v>
      </c>
      <c r="C57" s="306"/>
      <c r="D57" s="306"/>
      <c r="E57" s="306"/>
      <c r="F57" s="306"/>
      <c r="G57" s="306"/>
      <c r="H57" s="306"/>
      <c r="I57" s="306"/>
      <c r="J57" s="306"/>
      <c r="K57" s="306"/>
      <c r="L57" s="306"/>
      <c r="M57" s="306"/>
      <c r="N57" s="306"/>
      <c r="O57" s="306"/>
      <c r="P57" s="306"/>
      <c r="Q57" s="306"/>
      <c r="R57" s="306"/>
      <c r="S57" s="156"/>
    </row>
    <row r="58" spans="2:25">
      <c r="B58" s="159"/>
      <c r="D58" s="208" t="s">
        <v>1015</v>
      </c>
      <c r="E58" s="208" t="s">
        <v>683</v>
      </c>
      <c r="F58" s="208" t="s">
        <v>684</v>
      </c>
      <c r="G58" s="208" t="s">
        <v>685</v>
      </c>
      <c r="H58" s="208" t="s">
        <v>686</v>
      </c>
      <c r="I58" s="208" t="s">
        <v>687</v>
      </c>
      <c r="J58" s="208" t="s">
        <v>688</v>
      </c>
      <c r="K58" s="527"/>
      <c r="L58" s="527"/>
      <c r="M58" s="527"/>
      <c r="N58" s="527"/>
      <c r="O58" s="527"/>
      <c r="P58" s="527"/>
      <c r="S58" s="158"/>
    </row>
    <row r="59" spans="2:25">
      <c r="B59" s="159"/>
      <c r="C59" s="326" t="s">
        <v>929</v>
      </c>
      <c r="D59" s="809">
        <v>28</v>
      </c>
      <c r="E59" s="629">
        <v>0</v>
      </c>
      <c r="F59" s="629">
        <v>0</v>
      </c>
      <c r="G59" s="629">
        <v>0</v>
      </c>
      <c r="H59" s="629">
        <v>0</v>
      </c>
      <c r="I59" s="629">
        <v>0</v>
      </c>
      <c r="J59" s="325">
        <f>SUM(E59:I59)</f>
        <v>0</v>
      </c>
      <c r="K59" s="821" t="s">
        <v>1079</v>
      </c>
      <c r="S59" s="158"/>
    </row>
    <row r="60" spans="2:25" ht="16.350000000000001" customHeight="1">
      <c r="B60" s="159"/>
      <c r="C60" s="326" t="s">
        <v>930</v>
      </c>
      <c r="D60" s="810">
        <v>28</v>
      </c>
      <c r="E60" s="630">
        <v>0</v>
      </c>
      <c r="F60" s="630">
        <v>0</v>
      </c>
      <c r="G60" s="630">
        <v>0</v>
      </c>
      <c r="H60" s="630">
        <v>0</v>
      </c>
      <c r="I60" s="597">
        <v>0</v>
      </c>
      <c r="J60" s="325">
        <f t="shared" ref="J60:J63" si="2">SUM(E60:I60)</f>
        <v>0</v>
      </c>
      <c r="K60" s="822" t="s">
        <v>1079</v>
      </c>
      <c r="L60" s="525"/>
      <c r="M60" s="525"/>
      <c r="N60" s="525"/>
      <c r="O60" s="525"/>
      <c r="P60" s="525"/>
      <c r="S60" s="158"/>
    </row>
    <row r="61" spans="2:25">
      <c r="B61" s="159"/>
      <c r="C61" s="326" t="s">
        <v>958</v>
      </c>
      <c r="D61" s="810">
        <v>28</v>
      </c>
      <c r="E61" s="630">
        <v>0</v>
      </c>
      <c r="F61" s="597">
        <v>0</v>
      </c>
      <c r="G61" s="597">
        <v>0</v>
      </c>
      <c r="H61" s="597">
        <v>0</v>
      </c>
      <c r="I61" s="597">
        <v>0</v>
      </c>
      <c r="J61" s="325">
        <f t="shared" si="2"/>
        <v>0</v>
      </c>
      <c r="K61" s="822" t="s">
        <v>1079</v>
      </c>
      <c r="L61" s="525"/>
      <c r="M61" s="525"/>
      <c r="N61" s="525"/>
      <c r="O61" s="525"/>
      <c r="P61" s="525"/>
      <c r="S61" s="158"/>
    </row>
    <row r="62" spans="2:25">
      <c r="B62" s="159"/>
      <c r="C62" s="326" t="s">
        <v>934</v>
      </c>
      <c r="D62" s="810">
        <v>30</v>
      </c>
      <c r="E62" s="630">
        <v>0</v>
      </c>
      <c r="F62" s="597">
        <v>0</v>
      </c>
      <c r="G62" s="597">
        <v>0</v>
      </c>
      <c r="H62" s="597">
        <v>0</v>
      </c>
      <c r="I62" s="597">
        <v>0</v>
      </c>
      <c r="J62" s="325">
        <f t="shared" si="2"/>
        <v>0</v>
      </c>
      <c r="K62" s="822" t="s">
        <v>1079</v>
      </c>
      <c r="L62" s="525"/>
      <c r="M62" s="525"/>
      <c r="N62" s="525"/>
      <c r="O62" s="525"/>
      <c r="P62" s="525"/>
      <c r="S62" s="158"/>
    </row>
    <row r="63" spans="2:25">
      <c r="B63" s="159"/>
      <c r="C63" s="326" t="s">
        <v>935</v>
      </c>
      <c r="D63" s="810">
        <v>28</v>
      </c>
      <c r="E63" s="630">
        <v>0</v>
      </c>
      <c r="F63" s="597">
        <v>0</v>
      </c>
      <c r="G63" s="597">
        <v>0</v>
      </c>
      <c r="H63" s="597">
        <v>0</v>
      </c>
      <c r="I63" s="597">
        <v>0</v>
      </c>
      <c r="J63" s="325">
        <f t="shared" si="2"/>
        <v>0</v>
      </c>
      <c r="K63" s="822" t="s">
        <v>1079</v>
      </c>
      <c r="S63" s="158"/>
    </row>
    <row r="64" spans="2:25">
      <c r="B64" s="159"/>
      <c r="C64" s="188"/>
      <c r="D64" s="697"/>
      <c r="E64" s="697"/>
      <c r="F64" s="698"/>
      <c r="G64" s="698"/>
      <c r="H64" s="698"/>
      <c r="I64" s="698"/>
      <c r="J64" s="698"/>
      <c r="K64" s="525"/>
      <c r="S64" s="158"/>
    </row>
    <row r="65" spans="2:19">
      <c r="B65" s="159"/>
      <c r="D65" s="151"/>
      <c r="E65" s="151"/>
      <c r="F65" s="151"/>
      <c r="G65" s="151"/>
      <c r="S65" s="158"/>
    </row>
    <row r="66" spans="2:19" ht="32.1" customHeight="1">
      <c r="B66" s="159"/>
      <c r="C66" s="205" t="s">
        <v>689</v>
      </c>
      <c r="D66" s="210" t="s">
        <v>690</v>
      </c>
      <c r="E66" s="206"/>
      <c r="F66" s="206"/>
      <c r="G66" s="206"/>
      <c r="H66" s="207"/>
      <c r="I66" s="208" t="s">
        <v>691</v>
      </c>
      <c r="J66" s="164" t="s">
        <v>692</v>
      </c>
      <c r="K66" s="208" t="s">
        <v>693</v>
      </c>
      <c r="S66" s="158"/>
    </row>
    <row r="67" spans="2:19">
      <c r="B67" s="159"/>
      <c r="C67" s="326" t="s">
        <v>938</v>
      </c>
      <c r="D67" s="197" t="s">
        <v>946</v>
      </c>
      <c r="E67" s="198"/>
      <c r="F67" s="198"/>
      <c r="G67" s="198"/>
      <c r="H67" s="194"/>
      <c r="I67" s="595"/>
      <c r="J67" s="596">
        <v>0.2</v>
      </c>
      <c r="K67" s="332" t="s">
        <v>939</v>
      </c>
      <c r="S67" s="158"/>
    </row>
    <row r="68" spans="2:19">
      <c r="B68" s="159"/>
      <c r="C68" s="326" t="s">
        <v>938</v>
      </c>
      <c r="D68" s="197" t="s">
        <v>947</v>
      </c>
      <c r="E68" s="198"/>
      <c r="F68" s="198"/>
      <c r="G68" s="198"/>
      <c r="H68" s="194"/>
      <c r="I68" s="595"/>
      <c r="J68" s="596">
        <v>0.2</v>
      </c>
      <c r="K68" s="332" t="s">
        <v>939</v>
      </c>
      <c r="S68" s="158"/>
    </row>
    <row r="69" spans="2:19">
      <c r="B69" s="159"/>
      <c r="C69" s="326" t="s">
        <v>958</v>
      </c>
      <c r="D69" s="197" t="s">
        <v>966</v>
      </c>
      <c r="E69" s="198"/>
      <c r="F69" s="198"/>
      <c r="G69" s="198"/>
      <c r="H69" s="194"/>
      <c r="I69" s="595"/>
      <c r="J69" s="596">
        <v>0.2</v>
      </c>
      <c r="K69" s="332" t="s">
        <v>939</v>
      </c>
      <c r="L69" s="775"/>
      <c r="M69" s="526"/>
      <c r="N69" s="526"/>
      <c r="O69" s="526"/>
      <c r="P69" s="526"/>
      <c r="Q69" s="526"/>
      <c r="S69" s="158"/>
    </row>
    <row r="70" spans="2:19">
      <c r="B70" s="159"/>
      <c r="C70" s="326" t="s">
        <v>934</v>
      </c>
      <c r="D70" s="197" t="s">
        <v>948</v>
      </c>
      <c r="E70" s="198"/>
      <c r="F70" s="198"/>
      <c r="G70" s="198"/>
      <c r="H70" s="194"/>
      <c r="I70" s="595"/>
      <c r="J70" s="596">
        <v>0.2</v>
      </c>
      <c r="K70" s="332" t="s">
        <v>939</v>
      </c>
      <c r="L70" s="775"/>
      <c r="M70" s="526"/>
      <c r="N70" s="526"/>
      <c r="O70" s="526"/>
      <c r="P70" s="526"/>
      <c r="Q70" s="526"/>
      <c r="S70" s="158"/>
    </row>
    <row r="71" spans="2:19">
      <c r="B71" s="159"/>
      <c r="C71" s="326" t="s">
        <v>934</v>
      </c>
      <c r="D71" s="197" t="s">
        <v>949</v>
      </c>
      <c r="E71" s="198"/>
      <c r="F71" s="198"/>
      <c r="G71" s="198"/>
      <c r="H71" s="194"/>
      <c r="I71" s="595"/>
      <c r="J71" s="596">
        <v>0.2</v>
      </c>
      <c r="K71" s="332" t="s">
        <v>939</v>
      </c>
      <c r="L71" s="775"/>
      <c r="M71" s="526"/>
      <c r="N71" s="526"/>
      <c r="O71" s="526"/>
      <c r="P71" s="526"/>
      <c r="Q71" s="526"/>
      <c r="S71" s="158"/>
    </row>
    <row r="72" spans="2:19">
      <c r="B72" s="159"/>
      <c r="C72" s="326" t="s">
        <v>935</v>
      </c>
      <c r="D72" s="197" t="s">
        <v>950</v>
      </c>
      <c r="E72" s="198"/>
      <c r="F72" s="198"/>
      <c r="G72" s="198"/>
      <c r="H72" s="194"/>
      <c r="I72" s="595">
        <v>1816.05</v>
      </c>
      <c r="J72" s="596">
        <v>0.2</v>
      </c>
      <c r="K72" s="332" t="s">
        <v>1188</v>
      </c>
      <c r="L72" s="775"/>
      <c r="M72" s="526"/>
      <c r="N72" s="526"/>
      <c r="O72" s="526"/>
      <c r="P72" s="526"/>
      <c r="Q72" s="526"/>
      <c r="S72" s="158"/>
    </row>
    <row r="73" spans="2:19">
      <c r="B73" s="159"/>
      <c r="C73" s="192"/>
      <c r="D73" s="151"/>
      <c r="E73" s="151"/>
      <c r="F73" s="151"/>
      <c r="G73" s="151"/>
      <c r="S73" s="158"/>
    </row>
    <row r="74" spans="2:19">
      <c r="B74" s="159"/>
      <c r="D74" s="151"/>
      <c r="E74" s="151"/>
      <c r="F74" s="151"/>
      <c r="G74" s="151"/>
      <c r="S74" s="158"/>
    </row>
    <row r="75" spans="2:19">
      <c r="B75" s="159"/>
      <c r="S75" s="158"/>
    </row>
    <row r="76" spans="2:19">
      <c r="B76" s="159"/>
      <c r="C76" s="147" t="s">
        <v>951</v>
      </c>
      <c r="S76" s="158"/>
    </row>
    <row r="77" spans="2:19">
      <c r="B77" s="159"/>
      <c r="D77" s="344" t="s">
        <v>694</v>
      </c>
      <c r="E77" s="209" t="s">
        <v>695</v>
      </c>
      <c r="F77" s="209" t="s">
        <v>696</v>
      </c>
      <c r="G77" s="209" t="s">
        <v>697</v>
      </c>
      <c r="H77" s="209" t="s">
        <v>698</v>
      </c>
      <c r="I77" s="208" t="s">
        <v>699</v>
      </c>
      <c r="J77" s="208" t="s">
        <v>700</v>
      </c>
      <c r="L77" s="208" t="s">
        <v>695</v>
      </c>
      <c r="M77" s="534" t="s">
        <v>696</v>
      </c>
      <c r="N77" s="209" t="s">
        <v>697</v>
      </c>
      <c r="O77" s="209" t="s">
        <v>698</v>
      </c>
      <c r="P77" s="208" t="s">
        <v>699</v>
      </c>
      <c r="Q77" s="208" t="s">
        <v>700</v>
      </c>
      <c r="S77" s="158"/>
    </row>
    <row r="78" spans="2:19">
      <c r="B78" s="159"/>
      <c r="D78" s="326" t="s">
        <v>927</v>
      </c>
      <c r="E78" s="598">
        <v>0</v>
      </c>
      <c r="F78" s="599">
        <v>0.5</v>
      </c>
      <c r="G78" s="599">
        <v>0.95</v>
      </c>
      <c r="H78" s="599">
        <v>0.95</v>
      </c>
      <c r="I78" s="599">
        <v>0.95</v>
      </c>
      <c r="J78" s="599">
        <v>0.95</v>
      </c>
      <c r="L78" s="823">
        <f>F47*E78</f>
        <v>0</v>
      </c>
      <c r="M78" s="823">
        <f t="shared" ref="M78:Q78" si="3">G47*F78</f>
        <v>10.228552513259761</v>
      </c>
      <c r="N78" s="823">
        <f t="shared" si="3"/>
        <v>19.621631069731865</v>
      </c>
      <c r="O78" s="823">
        <f t="shared" si="3"/>
        <v>19.810819058634465</v>
      </c>
      <c r="P78" s="823">
        <f t="shared" si="3"/>
        <v>20.001831161700547</v>
      </c>
      <c r="Q78" s="823">
        <f t="shared" si="3"/>
        <v>20.194684966687678</v>
      </c>
      <c r="S78" s="158"/>
    </row>
    <row r="79" spans="2:19">
      <c r="B79" s="159"/>
      <c r="D79" s="326" t="s">
        <v>958</v>
      </c>
      <c r="E79" s="598">
        <v>1</v>
      </c>
      <c r="F79" s="599">
        <v>0.5</v>
      </c>
      <c r="G79" s="599">
        <v>0.05</v>
      </c>
      <c r="H79" s="599">
        <v>0.05</v>
      </c>
      <c r="I79" s="599">
        <v>0.05</v>
      </c>
      <c r="J79" s="599">
        <v>0.05</v>
      </c>
      <c r="L79" s="824">
        <f>F47*E79</f>
        <v>20.26174518060494</v>
      </c>
      <c r="M79" s="824">
        <f t="shared" ref="M79:Q79" si="4">G47*F79</f>
        <v>10.228552513259761</v>
      </c>
      <c r="N79" s="824">
        <f t="shared" si="4"/>
        <v>1.0327174247227298</v>
      </c>
      <c r="O79" s="824">
        <f t="shared" si="4"/>
        <v>1.0426746872965509</v>
      </c>
      <c r="P79" s="824">
        <f t="shared" si="4"/>
        <v>1.0527279558789764</v>
      </c>
      <c r="Q79" s="824">
        <f t="shared" si="4"/>
        <v>1.0628781561414569</v>
      </c>
      <c r="S79" s="158"/>
    </row>
    <row r="80" spans="2:19">
      <c r="B80" s="159"/>
      <c r="E80" s="150">
        <f t="shared" ref="E80:J80" si="5">SUM(E78:E79)</f>
        <v>1</v>
      </c>
      <c r="F80" s="150">
        <f t="shared" si="5"/>
        <v>1</v>
      </c>
      <c r="G80" s="150">
        <f t="shared" si="5"/>
        <v>1</v>
      </c>
      <c r="H80" s="150">
        <f t="shared" si="5"/>
        <v>1</v>
      </c>
      <c r="I80" s="150">
        <f t="shared" si="5"/>
        <v>1</v>
      </c>
      <c r="J80" s="150">
        <f t="shared" si="5"/>
        <v>1</v>
      </c>
      <c r="L80" s="331">
        <f t="shared" ref="L80:Q80" si="6">SUM(L78:L79)</f>
        <v>20.26174518060494</v>
      </c>
      <c r="M80" s="331">
        <f t="shared" si="6"/>
        <v>20.457105026519521</v>
      </c>
      <c r="N80" s="331">
        <f t="shared" si="6"/>
        <v>20.654348494454595</v>
      </c>
      <c r="O80" s="331">
        <f t="shared" si="6"/>
        <v>20.853493745931015</v>
      </c>
      <c r="P80" s="331">
        <f t="shared" si="6"/>
        <v>21.054559117579522</v>
      </c>
      <c r="Q80" s="331">
        <f t="shared" si="6"/>
        <v>21.257563122829136</v>
      </c>
      <c r="S80" s="158"/>
    </row>
    <row r="81" spans="2:19">
      <c r="B81" s="159"/>
      <c r="C81" s="147" t="s">
        <v>952</v>
      </c>
      <c r="S81" s="158"/>
    </row>
    <row r="82" spans="2:19">
      <c r="B82" s="159"/>
      <c r="D82" s="344" t="s">
        <v>694</v>
      </c>
      <c r="E82" s="209" t="s">
        <v>695</v>
      </c>
      <c r="F82" s="209" t="s">
        <v>696</v>
      </c>
      <c r="G82" s="209" t="s">
        <v>697</v>
      </c>
      <c r="H82" s="209" t="s">
        <v>698</v>
      </c>
      <c r="I82" s="208" t="s">
        <v>699</v>
      </c>
      <c r="J82" s="208" t="s">
        <v>700</v>
      </c>
      <c r="L82" s="208" t="s">
        <v>695</v>
      </c>
      <c r="M82" s="534" t="s">
        <v>696</v>
      </c>
      <c r="N82" s="209" t="s">
        <v>697</v>
      </c>
      <c r="O82" s="209" t="s">
        <v>698</v>
      </c>
      <c r="P82" s="208" t="s">
        <v>699</v>
      </c>
      <c r="Q82" s="208" t="s">
        <v>700</v>
      </c>
      <c r="S82" s="158"/>
    </row>
    <row r="83" spans="2:19">
      <c r="B83" s="159"/>
      <c r="D83" s="326" t="s">
        <v>927</v>
      </c>
      <c r="E83" s="692">
        <v>0</v>
      </c>
      <c r="F83" s="693">
        <v>0.5</v>
      </c>
      <c r="G83" s="693">
        <v>0.95</v>
      </c>
      <c r="H83" s="693">
        <v>0.95</v>
      </c>
      <c r="I83" s="693">
        <v>0.95</v>
      </c>
      <c r="J83" s="693">
        <v>0.95</v>
      </c>
      <c r="L83" s="823">
        <f>E83*F48</f>
        <v>0</v>
      </c>
      <c r="M83" s="823">
        <f>F83*G48</f>
        <v>3.8965914336227665</v>
      </c>
      <c r="N83" s="823">
        <f t="shared" ref="N83:Q83" si="7">G83*H48</f>
        <v>7.4749070741835686</v>
      </c>
      <c r="O83" s="823">
        <f t="shared" si="7"/>
        <v>7.5469786890036064</v>
      </c>
      <c r="P83" s="823">
        <f>I83*J48</f>
        <v>7.6197452044573541</v>
      </c>
      <c r="Q83" s="823">
        <f t="shared" si="7"/>
        <v>7.6932133206429265</v>
      </c>
      <c r="S83" s="158"/>
    </row>
    <row r="84" spans="2:19">
      <c r="B84" s="159"/>
      <c r="D84" s="326" t="s">
        <v>934</v>
      </c>
      <c r="E84" s="692">
        <v>0.92500000000000004</v>
      </c>
      <c r="F84" s="693">
        <v>0.46</v>
      </c>
      <c r="G84" s="693">
        <v>4.6249999999999999E-2</v>
      </c>
      <c r="H84" s="693">
        <v>4.6249999999999999E-2</v>
      </c>
      <c r="I84" s="693">
        <v>4.6249999999999999E-2</v>
      </c>
      <c r="J84" s="693">
        <v>4.6249999999999999E-2</v>
      </c>
      <c r="L84" s="823">
        <f>E84*F48</f>
        <v>7.1398530636417421</v>
      </c>
      <c r="M84" s="823">
        <f t="shared" ref="M84:Q84" si="8">F84*G48</f>
        <v>3.5848641189329453</v>
      </c>
      <c r="N84" s="823">
        <f t="shared" si="8"/>
        <v>0.36390994966420004</v>
      </c>
      <c r="O84" s="823">
        <f t="shared" si="8"/>
        <v>0.36741869933307031</v>
      </c>
      <c r="P84" s="823">
        <f t="shared" si="8"/>
        <v>0.37096127969068698</v>
      </c>
      <c r="Q84" s="823">
        <f t="shared" si="8"/>
        <v>0.37453801692603722</v>
      </c>
      <c r="S84" s="158"/>
    </row>
    <row r="85" spans="2:19">
      <c r="B85" s="159"/>
      <c r="D85" s="326" t="s">
        <v>935</v>
      </c>
      <c r="E85" s="692">
        <v>7.4999999999999997E-2</v>
      </c>
      <c r="F85" s="693">
        <v>3.7499999999999999E-2</v>
      </c>
      <c r="G85" s="693">
        <v>3.7499999999999999E-3</v>
      </c>
      <c r="H85" s="693">
        <v>7.4999999999999997E-3</v>
      </c>
      <c r="I85" s="693">
        <v>7.4999999999999997E-3</v>
      </c>
      <c r="J85" s="693">
        <v>7.4999999999999997E-3</v>
      </c>
      <c r="L85" s="824">
        <f>E85*F48</f>
        <v>0.57890700516014115</v>
      </c>
      <c r="M85" s="824">
        <f t="shared" ref="M85:Q85" si="9">F85*G48</f>
        <v>0.29224435752170747</v>
      </c>
      <c r="N85" s="824">
        <f t="shared" si="9"/>
        <v>2.9506212134935136E-2</v>
      </c>
      <c r="O85" s="824">
        <f t="shared" si="9"/>
        <v>5.958141070266005E-2</v>
      </c>
      <c r="P85" s="824">
        <f t="shared" si="9"/>
        <v>6.0155883193084375E-2</v>
      </c>
      <c r="Q85" s="824">
        <f t="shared" si="9"/>
        <v>6.0735894636654679E-2</v>
      </c>
      <c r="S85" s="158"/>
    </row>
    <row r="86" spans="2:19">
      <c r="B86" s="159"/>
      <c r="E86" s="150">
        <f t="shared" ref="E86:J86" si="10">SUM(E83:E85)</f>
        <v>1</v>
      </c>
      <c r="F86" s="150">
        <f t="shared" si="10"/>
        <v>0.99749999999999994</v>
      </c>
      <c r="G86" s="150">
        <f t="shared" si="10"/>
        <v>1</v>
      </c>
      <c r="H86" s="150">
        <f t="shared" si="10"/>
        <v>1.0037499999999999</v>
      </c>
      <c r="I86" s="150">
        <f t="shared" si="10"/>
        <v>1.0037499999999999</v>
      </c>
      <c r="J86" s="150">
        <f t="shared" si="10"/>
        <v>1.0037499999999999</v>
      </c>
      <c r="L86" s="331">
        <f t="shared" ref="L86:Q86" si="11">SUM(L83:L85)</f>
        <v>7.7187600688018829</v>
      </c>
      <c r="M86" s="331">
        <f t="shared" si="11"/>
        <v>7.7736999100774193</v>
      </c>
      <c r="N86" s="331">
        <f t="shared" si="11"/>
        <v>7.8683232359827038</v>
      </c>
      <c r="O86" s="331">
        <f t="shared" si="11"/>
        <v>7.9739787990393367</v>
      </c>
      <c r="P86" s="331">
        <f t="shared" si="11"/>
        <v>8.050862367341125</v>
      </c>
      <c r="Q86" s="331">
        <f t="shared" si="11"/>
        <v>8.1284872322056181</v>
      </c>
      <c r="S86" s="158"/>
    </row>
    <row r="87" spans="2:19">
      <c r="B87" s="159"/>
      <c r="E87" s="336"/>
      <c r="F87" s="336"/>
      <c r="G87" s="336"/>
      <c r="H87" s="336"/>
      <c r="I87" s="336"/>
      <c r="J87" s="336"/>
      <c r="S87" s="158"/>
    </row>
    <row r="88" spans="2:19">
      <c r="B88" s="159"/>
      <c r="C88" t="s">
        <v>1078</v>
      </c>
      <c r="E88" s="511"/>
      <c r="F88" s="511"/>
      <c r="G88" s="511"/>
      <c r="H88" s="511"/>
      <c r="I88" s="511"/>
      <c r="J88" s="511"/>
      <c r="S88" s="158"/>
    </row>
    <row r="89" spans="2:19">
      <c r="B89" s="159"/>
      <c r="C89" t="s">
        <v>1008</v>
      </c>
      <c r="E89" s="511"/>
      <c r="F89" s="511"/>
      <c r="G89" s="511"/>
      <c r="H89" s="511"/>
      <c r="I89" s="511"/>
      <c r="J89" s="511"/>
      <c r="S89" s="158"/>
    </row>
    <row r="90" spans="2:19">
      <c r="B90" s="160"/>
      <c r="C90" s="161" t="s">
        <v>1141</v>
      </c>
      <c r="D90" s="161"/>
      <c r="E90" s="161"/>
      <c r="F90" s="161"/>
      <c r="G90" s="161"/>
      <c r="H90" s="161"/>
      <c r="I90" s="161"/>
      <c r="J90" s="161"/>
      <c r="K90" s="161"/>
      <c r="L90" s="161"/>
      <c r="M90" s="161"/>
      <c r="N90" s="161"/>
      <c r="O90" s="161"/>
      <c r="P90" s="161"/>
      <c r="Q90" s="161"/>
      <c r="R90" s="161"/>
      <c r="S90" s="162"/>
    </row>
    <row r="91" spans="2:19">
      <c r="D91" s="194"/>
      <c r="K91" s="194"/>
    </row>
    <row r="92" spans="2:19">
      <c r="B92" s="155" t="s">
        <v>701</v>
      </c>
      <c r="C92" s="306"/>
      <c r="E92" s="306"/>
      <c r="F92" s="306"/>
      <c r="G92" s="306"/>
      <c r="H92" s="306"/>
      <c r="I92" s="306"/>
      <c r="J92" s="306"/>
      <c r="L92" s="306"/>
      <c r="M92" s="306"/>
      <c r="N92" s="306"/>
      <c r="O92" s="306"/>
      <c r="P92" s="306"/>
      <c r="Q92" s="306"/>
      <c r="R92" s="306"/>
      <c r="S92" s="156"/>
    </row>
    <row r="93" spans="2:19">
      <c r="B93" s="159" t="s">
        <v>1120</v>
      </c>
      <c r="S93" s="158"/>
    </row>
    <row r="94" spans="2:19">
      <c r="B94" s="159" t="s">
        <v>702</v>
      </c>
      <c r="S94" s="158"/>
    </row>
    <row r="95" spans="2:19">
      <c r="B95" s="159"/>
      <c r="C95" s="333"/>
      <c r="D95" s="211"/>
      <c r="E95" s="211"/>
      <c r="F95" s="211"/>
      <c r="S95" s="158"/>
    </row>
    <row r="96" spans="2:19" ht="42.95" customHeight="1">
      <c r="B96" s="159"/>
      <c r="C96" s="385" t="s">
        <v>703</v>
      </c>
      <c r="D96" s="385" t="s">
        <v>704</v>
      </c>
      <c r="E96" s="385" t="s">
        <v>705</v>
      </c>
      <c r="F96" s="385" t="s">
        <v>969</v>
      </c>
      <c r="G96" s="385" t="s">
        <v>970</v>
      </c>
      <c r="H96" s="385" t="s">
        <v>971</v>
      </c>
      <c r="I96" s="385" t="s">
        <v>972</v>
      </c>
      <c r="J96" s="385" t="s">
        <v>706</v>
      </c>
      <c r="K96" s="385" t="s">
        <v>707</v>
      </c>
      <c r="S96" s="158"/>
    </row>
    <row r="97" spans="2:19" ht="30">
      <c r="B97" s="159"/>
      <c r="C97" s="387" t="s">
        <v>708</v>
      </c>
      <c r="D97" s="164" t="s">
        <v>709</v>
      </c>
      <c r="E97" s="164" t="s">
        <v>1134</v>
      </c>
      <c r="F97" s="600">
        <v>1</v>
      </c>
      <c r="G97" s="600">
        <v>1</v>
      </c>
      <c r="H97" s="600">
        <v>1</v>
      </c>
      <c r="I97" s="600">
        <v>1</v>
      </c>
      <c r="J97" s="205"/>
      <c r="K97" s="205"/>
      <c r="L97" t="s">
        <v>1084</v>
      </c>
      <c r="S97" s="158"/>
    </row>
    <row r="98" spans="2:19" ht="45">
      <c r="B98" s="159"/>
      <c r="C98" s="387" t="s">
        <v>708</v>
      </c>
      <c r="D98" s="164" t="s">
        <v>710</v>
      </c>
      <c r="E98" s="164" t="s">
        <v>711</v>
      </c>
      <c r="F98" s="594">
        <v>30</v>
      </c>
      <c r="G98" s="594">
        <v>30</v>
      </c>
      <c r="H98" s="594">
        <v>30</v>
      </c>
      <c r="I98" s="594">
        <v>30</v>
      </c>
      <c r="J98" s="603" t="s">
        <v>712</v>
      </c>
      <c r="K98" s="604">
        <f>VLOOKUP(J98,payscales!B12:M47,10,0)</f>
        <v>121.08</v>
      </c>
      <c r="L98" t="s">
        <v>1042</v>
      </c>
      <c r="S98" s="158"/>
    </row>
    <row r="99" spans="2:19" ht="30">
      <c r="B99" s="159"/>
      <c r="C99" s="387" t="s">
        <v>708</v>
      </c>
      <c r="D99" s="164" t="s">
        <v>713</v>
      </c>
      <c r="E99" s="164" t="s">
        <v>1132</v>
      </c>
      <c r="F99" s="733">
        <v>1</v>
      </c>
      <c r="G99" s="733">
        <v>1</v>
      </c>
      <c r="H99" s="733">
        <v>1</v>
      </c>
      <c r="I99" s="733">
        <v>1</v>
      </c>
      <c r="J99" s="205"/>
      <c r="K99" s="205"/>
      <c r="L99" t="s">
        <v>1083</v>
      </c>
      <c r="S99" s="158"/>
    </row>
    <row r="100" spans="2:19" ht="45">
      <c r="B100" s="159"/>
      <c r="C100" s="387" t="s">
        <v>708</v>
      </c>
      <c r="D100" s="164" t="s">
        <v>714</v>
      </c>
      <c r="E100" s="164" t="s">
        <v>711</v>
      </c>
      <c r="F100" s="594">
        <v>30</v>
      </c>
      <c r="G100" s="594">
        <v>30</v>
      </c>
      <c r="H100" s="594">
        <v>30</v>
      </c>
      <c r="I100" s="594">
        <v>30</v>
      </c>
      <c r="J100" s="603" t="s">
        <v>712</v>
      </c>
      <c r="K100" s="604">
        <f>VLOOKUP(J100,payscales!B$14:M$49,10,0)</f>
        <v>121.08</v>
      </c>
      <c r="L100" t="s">
        <v>1042</v>
      </c>
      <c r="S100" s="158"/>
    </row>
    <row r="101" spans="2:19" ht="30">
      <c r="B101" s="159"/>
      <c r="C101" s="386" t="s">
        <v>1019</v>
      </c>
      <c r="D101" s="164" t="s">
        <v>713</v>
      </c>
      <c r="E101" s="164" t="s">
        <v>1010</v>
      </c>
      <c r="F101" s="594">
        <v>4</v>
      </c>
      <c r="G101" s="594">
        <v>4</v>
      </c>
      <c r="H101" s="594">
        <v>4</v>
      </c>
      <c r="I101" s="594">
        <v>4</v>
      </c>
      <c r="J101" s="205"/>
      <c r="K101" s="205"/>
      <c r="L101" t="s">
        <v>1085</v>
      </c>
      <c r="S101" s="158"/>
    </row>
    <row r="102" spans="2:19" ht="45">
      <c r="B102" s="159"/>
      <c r="C102" s="386" t="s">
        <v>1019</v>
      </c>
      <c r="D102" s="164" t="s">
        <v>714</v>
      </c>
      <c r="E102" s="164" t="s">
        <v>711</v>
      </c>
      <c r="F102" s="594">
        <v>20</v>
      </c>
      <c r="G102" s="594">
        <v>20</v>
      </c>
      <c r="H102" s="594">
        <v>20</v>
      </c>
      <c r="I102" s="594">
        <v>20</v>
      </c>
      <c r="J102" s="603" t="s">
        <v>715</v>
      </c>
      <c r="K102" s="604">
        <f>VLOOKUP(J102,payscales!B$14:M$49,10,0)</f>
        <v>42.15</v>
      </c>
      <c r="L102" t="s">
        <v>1042</v>
      </c>
      <c r="S102" s="158"/>
    </row>
    <row r="103" spans="2:19" ht="30" customHeight="1">
      <c r="B103" s="159"/>
      <c r="C103" s="384" t="s">
        <v>716</v>
      </c>
      <c r="D103" s="164" t="s">
        <v>1009</v>
      </c>
      <c r="E103" s="164" t="s">
        <v>1132</v>
      </c>
      <c r="F103" s="825">
        <v>1</v>
      </c>
      <c r="G103" s="826">
        <v>1</v>
      </c>
      <c r="H103" s="733">
        <v>1</v>
      </c>
      <c r="I103" s="733">
        <v>1</v>
      </c>
      <c r="J103" s="205"/>
      <c r="K103" s="205"/>
      <c r="L103" s="188" t="s">
        <v>1133</v>
      </c>
      <c r="S103" s="158"/>
    </row>
    <row r="104" spans="2:19" ht="30" customHeight="1">
      <c r="B104" s="159"/>
      <c r="C104" s="384" t="s">
        <v>716</v>
      </c>
      <c r="D104" s="164" t="s">
        <v>718</v>
      </c>
      <c r="E104" s="164" t="s">
        <v>717</v>
      </c>
      <c r="F104" s="601">
        <v>20</v>
      </c>
      <c r="G104" s="713">
        <v>20</v>
      </c>
      <c r="H104" s="602">
        <v>20</v>
      </c>
      <c r="I104" s="594">
        <v>20</v>
      </c>
      <c r="J104" s="603" t="s">
        <v>719</v>
      </c>
      <c r="K104" s="604">
        <f>VLOOKUP(J104,payscales!B$14:M$49,10,0)</f>
        <v>49.16</v>
      </c>
      <c r="L104" t="s">
        <v>1042</v>
      </c>
      <c r="S104" s="158"/>
    </row>
    <row r="105" spans="2:19" ht="30" customHeight="1">
      <c r="B105" s="159"/>
      <c r="C105" s="388" t="s">
        <v>721</v>
      </c>
      <c r="D105" s="164" t="s">
        <v>994</v>
      </c>
      <c r="E105" s="164" t="s">
        <v>720</v>
      </c>
      <c r="F105" s="600"/>
      <c r="G105" s="600"/>
      <c r="H105" s="600"/>
      <c r="I105" s="600"/>
      <c r="J105" s="205"/>
      <c r="K105" s="205"/>
      <c r="L105" t="s">
        <v>1086</v>
      </c>
      <c r="S105" s="158"/>
    </row>
    <row r="106" spans="2:19" ht="30" customHeight="1">
      <c r="B106" s="159"/>
      <c r="C106" s="388" t="s">
        <v>721</v>
      </c>
      <c r="D106" s="164" t="s">
        <v>994</v>
      </c>
      <c r="E106" s="164" t="s">
        <v>722</v>
      </c>
      <c r="F106" s="594"/>
      <c r="G106" s="594"/>
      <c r="H106" s="594"/>
      <c r="I106" s="594"/>
      <c r="J106" s="603" t="s">
        <v>723</v>
      </c>
      <c r="K106" s="604">
        <f>VLOOKUP(J106,payscales!B$14:M$49,10,0)</f>
        <v>34.07</v>
      </c>
      <c r="L106" t="s">
        <v>1123</v>
      </c>
      <c r="S106" s="158"/>
    </row>
    <row r="107" spans="2:19" ht="30" customHeight="1">
      <c r="B107" s="159"/>
      <c r="C107" s="388" t="s">
        <v>721</v>
      </c>
      <c r="D107" s="164" t="s">
        <v>1023</v>
      </c>
      <c r="E107" s="164" t="s">
        <v>1132</v>
      </c>
      <c r="F107" s="733">
        <f>F103</f>
        <v>1</v>
      </c>
      <c r="G107" s="733">
        <f t="shared" ref="G107:I107" si="12">G103</f>
        <v>1</v>
      </c>
      <c r="H107" s="733">
        <f t="shared" si="12"/>
        <v>1</v>
      </c>
      <c r="I107" s="733">
        <f t="shared" si="12"/>
        <v>1</v>
      </c>
      <c r="J107" s="205"/>
      <c r="K107" s="205"/>
      <c r="L107" t="s">
        <v>1087</v>
      </c>
      <c r="S107" s="158"/>
    </row>
    <row r="108" spans="2:19" ht="30" customHeight="1">
      <c r="B108" s="159"/>
      <c r="C108" s="388" t="s">
        <v>721</v>
      </c>
      <c r="D108" s="164" t="s">
        <v>1023</v>
      </c>
      <c r="E108" s="164" t="s">
        <v>722</v>
      </c>
      <c r="F108" s="594">
        <v>5</v>
      </c>
      <c r="G108" s="594">
        <v>5</v>
      </c>
      <c r="H108" s="594">
        <v>5</v>
      </c>
      <c r="I108" s="594">
        <v>5</v>
      </c>
      <c r="J108" s="603" t="s">
        <v>854</v>
      </c>
      <c r="K108" s="604">
        <f>VLOOKUP(J108,payscales!B$14:M$49,10,0)</f>
        <v>21.92</v>
      </c>
      <c r="L108" t="s">
        <v>1042</v>
      </c>
      <c r="S108" s="158"/>
    </row>
    <row r="109" spans="2:19" ht="30" customHeight="1">
      <c r="B109" s="159"/>
      <c r="C109" s="388" t="s">
        <v>721</v>
      </c>
      <c r="D109" s="164" t="s">
        <v>1016</v>
      </c>
      <c r="E109" s="164" t="s">
        <v>720</v>
      </c>
      <c r="F109" s="594">
        <v>4</v>
      </c>
      <c r="G109" s="594">
        <v>4</v>
      </c>
      <c r="H109" s="594">
        <v>4</v>
      </c>
      <c r="I109" s="594">
        <v>4</v>
      </c>
      <c r="J109" s="205"/>
      <c r="K109" s="205"/>
      <c r="L109" s="763"/>
      <c r="S109" s="158"/>
    </row>
    <row r="110" spans="2:19" ht="30" customHeight="1">
      <c r="B110" s="159"/>
      <c r="C110" s="388" t="s">
        <v>721</v>
      </c>
      <c r="D110" s="164" t="s">
        <v>1016</v>
      </c>
      <c r="E110" s="164" t="s">
        <v>722</v>
      </c>
      <c r="F110" s="594">
        <v>20</v>
      </c>
      <c r="G110" s="594">
        <v>20</v>
      </c>
      <c r="H110" s="594">
        <v>20</v>
      </c>
      <c r="I110" s="594">
        <v>20</v>
      </c>
      <c r="J110" s="603" t="s">
        <v>715</v>
      </c>
      <c r="K110" s="604">
        <f>VLOOKUP(J110,payscales!B$14:M$49,10,0)</f>
        <v>42.15</v>
      </c>
      <c r="L110" t="s">
        <v>1042</v>
      </c>
      <c r="S110" s="158"/>
    </row>
    <row r="111" spans="2:19" ht="30" customHeight="1">
      <c r="B111" s="159"/>
      <c r="C111" s="745" t="s">
        <v>1029</v>
      </c>
      <c r="D111" s="164" t="s">
        <v>1027</v>
      </c>
      <c r="E111" s="164" t="s">
        <v>720</v>
      </c>
      <c r="F111" s="594"/>
      <c r="G111" s="594"/>
      <c r="H111" s="594"/>
      <c r="I111" s="594"/>
      <c r="J111" s="205"/>
      <c r="K111" s="205"/>
      <c r="L111" t="s">
        <v>1080</v>
      </c>
      <c r="S111" s="158"/>
    </row>
    <row r="112" spans="2:19" ht="30" customHeight="1">
      <c r="B112" s="159"/>
      <c r="C112" s="745" t="s">
        <v>1029</v>
      </c>
      <c r="D112" s="164" t="s">
        <v>1027</v>
      </c>
      <c r="E112" s="164" t="s">
        <v>1030</v>
      </c>
      <c r="F112" s="594"/>
      <c r="G112" s="594"/>
      <c r="H112" s="594"/>
      <c r="I112" s="594"/>
      <c r="J112" s="603" t="s">
        <v>858</v>
      </c>
      <c r="K112" s="604">
        <f>VLOOKUP(J112,payscales!B$14:M$49,10,0)</f>
        <v>27.81</v>
      </c>
      <c r="L112" t="s">
        <v>1123</v>
      </c>
      <c r="S112" s="158"/>
    </row>
    <row r="113" spans="2:19" ht="30" customHeight="1">
      <c r="B113" s="159"/>
      <c r="C113" s="343" t="s">
        <v>724</v>
      </c>
      <c r="D113" s="343" t="s">
        <v>725</v>
      </c>
      <c r="E113" s="164" t="s">
        <v>720</v>
      </c>
      <c r="F113" s="734" t="s">
        <v>726</v>
      </c>
      <c r="G113" s="735"/>
      <c r="H113" s="735"/>
      <c r="I113" s="736"/>
      <c r="J113" s="208"/>
      <c r="K113" s="205"/>
      <c r="L113" s="777"/>
      <c r="S113" s="158"/>
    </row>
    <row r="114" spans="2:19">
      <c r="B114" s="159"/>
      <c r="C114" s="333"/>
      <c r="D114" s="211"/>
      <c r="E114" s="211"/>
      <c r="F114" s="211"/>
      <c r="S114" s="158"/>
    </row>
    <row r="115" spans="2:19">
      <c r="B115" s="159"/>
      <c r="C115" s="195"/>
      <c r="D115" s="151"/>
      <c r="S115" s="158"/>
    </row>
    <row r="116" spans="2:19">
      <c r="B116" s="159"/>
      <c r="C116" s="195"/>
      <c r="D116" s="151"/>
      <c r="S116" s="158"/>
    </row>
    <row r="117" spans="2:19">
      <c r="B117" s="159"/>
      <c r="C117" s="732" t="s">
        <v>1082</v>
      </c>
      <c r="D117" s="151"/>
      <c r="E117" s="334"/>
      <c r="S117" s="158"/>
    </row>
    <row r="118" spans="2:19">
      <c r="B118" s="159"/>
      <c r="C118" s="732" t="s">
        <v>1031</v>
      </c>
      <c r="D118" s="151"/>
      <c r="E118" s="334"/>
      <c r="S118" s="158"/>
    </row>
    <row r="119" spans="2:19">
      <c r="B119" s="159"/>
      <c r="C119" s="732" t="s">
        <v>1032</v>
      </c>
      <c r="D119" s="151"/>
      <c r="E119" s="334"/>
      <c r="S119" s="158"/>
    </row>
    <row r="120" spans="2:19">
      <c r="B120" s="159"/>
      <c r="C120" s="732" t="s">
        <v>1081</v>
      </c>
      <c r="D120" s="151"/>
      <c r="E120" s="334"/>
      <c r="S120" s="158"/>
    </row>
    <row r="121" spans="2:19">
      <c r="B121" s="159"/>
      <c r="C121" s="732"/>
      <c r="D121" s="151"/>
      <c r="E121" s="334"/>
      <c r="S121" s="158"/>
    </row>
    <row r="122" spans="2:19">
      <c r="B122" s="159"/>
      <c r="D122" s="151"/>
      <c r="S122" s="158"/>
    </row>
    <row r="123" spans="2:19">
      <c r="B123" s="159"/>
      <c r="D123" s="151"/>
      <c r="S123" s="158"/>
    </row>
    <row r="124" spans="2:19">
      <c r="B124" s="159"/>
      <c r="C124" s="188"/>
      <c r="D124" s="151"/>
      <c r="S124" s="158"/>
    </row>
    <row r="125" spans="2:19">
      <c r="B125" s="159"/>
      <c r="D125" s="151"/>
      <c r="S125" s="158"/>
    </row>
    <row r="126" spans="2:19">
      <c r="B126" s="159"/>
      <c r="D126" s="151"/>
      <c r="H126" s="335"/>
      <c r="S126" s="158"/>
    </row>
    <row r="127" spans="2:19">
      <c r="B127" s="159"/>
      <c r="D127" s="151"/>
      <c r="H127" s="335"/>
      <c r="S127" s="158"/>
    </row>
    <row r="128" spans="2:19">
      <c r="B128" s="159"/>
      <c r="C128" s="777"/>
      <c r="D128" s="151"/>
      <c r="H128" s="487"/>
      <c r="S128" s="158"/>
    </row>
    <row r="129" spans="2:19">
      <c r="B129" s="159"/>
      <c r="C129" s="211"/>
      <c r="D129" s="151"/>
      <c r="S129" s="158"/>
    </row>
    <row r="130" spans="2:19">
      <c r="B130" s="160"/>
      <c r="C130" s="161"/>
      <c r="D130" s="163"/>
      <c r="E130" s="163"/>
      <c r="F130" s="163"/>
      <c r="G130" s="163"/>
      <c r="H130" s="161"/>
      <c r="I130" s="161"/>
      <c r="J130" s="161"/>
      <c r="K130" s="161"/>
      <c r="L130" s="161"/>
      <c r="M130" s="161"/>
      <c r="N130" s="161"/>
      <c r="O130" s="161"/>
      <c r="P130" s="161"/>
      <c r="Q130" s="161"/>
      <c r="R130" s="161"/>
      <c r="S130" s="162"/>
    </row>
    <row r="131" spans="2:19">
      <c r="D131" s="151"/>
      <c r="E131" s="151"/>
      <c r="F131" s="151"/>
      <c r="G131" s="151"/>
    </row>
    <row r="132" spans="2:19">
      <c r="B132" s="380" t="s">
        <v>727</v>
      </c>
      <c r="C132" s="379"/>
      <c r="D132" s="379"/>
      <c r="E132" s="379"/>
      <c r="F132" s="379"/>
      <c r="G132" s="379"/>
      <c r="H132" s="379"/>
      <c r="I132" s="379"/>
      <c r="J132" s="379"/>
      <c r="K132" s="379"/>
      <c r="L132" s="379"/>
      <c r="M132" s="379"/>
      <c r="N132" s="379"/>
      <c r="O132" s="379"/>
      <c r="P132" s="379"/>
      <c r="Q132" s="379"/>
      <c r="R132" s="379"/>
      <c r="S132" s="223"/>
    </row>
    <row r="133" spans="2:19">
      <c r="B133" s="227"/>
      <c r="C133" s="220"/>
      <c r="D133" s="220"/>
      <c r="E133" s="220"/>
      <c r="F133" s="220"/>
      <c r="G133" s="220"/>
      <c r="H133" s="220"/>
      <c r="I133" s="220"/>
      <c r="J133" s="220"/>
      <c r="K133" s="220"/>
      <c r="L133" s="220"/>
      <c r="M133" s="220"/>
      <c r="N133" s="220"/>
      <c r="O133" s="220"/>
      <c r="P133" s="220"/>
      <c r="Q133" s="220"/>
      <c r="R133" s="220"/>
      <c r="S133" s="228"/>
    </row>
    <row r="134" spans="2:19">
      <c r="B134" s="227"/>
      <c r="C134" s="670" t="s">
        <v>728</v>
      </c>
      <c r="D134" s="220"/>
      <c r="E134" s="220"/>
      <c r="F134" s="220"/>
      <c r="G134" s="220"/>
      <c r="H134" s="220"/>
      <c r="I134" s="220"/>
      <c r="J134" s="220"/>
      <c r="K134" s="220"/>
      <c r="L134" s="220"/>
      <c r="M134" s="220"/>
      <c r="N134" s="220"/>
      <c r="O134" s="220"/>
      <c r="P134" s="220"/>
      <c r="Q134" s="220"/>
      <c r="R134" s="220"/>
      <c r="S134" s="228"/>
    </row>
    <row r="135" spans="2:19">
      <c r="B135" s="227"/>
      <c r="C135" s="665" t="s">
        <v>729</v>
      </c>
      <c r="D135" s="220"/>
      <c r="E135" s="220"/>
      <c r="F135" s="220"/>
      <c r="G135" s="220"/>
      <c r="H135" s="220"/>
      <c r="I135" s="220"/>
      <c r="J135" s="220"/>
      <c r="K135" s="220"/>
      <c r="L135" s="220"/>
      <c r="M135" s="220"/>
      <c r="N135" s="220"/>
      <c r="O135" s="220"/>
      <c r="P135" s="220"/>
      <c r="Q135" s="220"/>
      <c r="R135" s="220"/>
      <c r="S135" s="228"/>
    </row>
    <row r="136" spans="2:19">
      <c r="B136" s="227"/>
      <c r="C136" s="665" t="s">
        <v>730</v>
      </c>
      <c r="D136" s="220"/>
      <c r="E136" s="220"/>
      <c r="F136" s="220"/>
      <c r="G136" s="220"/>
      <c r="H136" s="220"/>
      <c r="I136" s="220"/>
      <c r="J136" s="220"/>
      <c r="K136" s="220"/>
      <c r="L136" s="220"/>
      <c r="M136" s="220"/>
      <c r="N136" s="220"/>
      <c r="O136" s="220"/>
      <c r="P136" s="220"/>
      <c r="Q136" s="220"/>
      <c r="R136" s="220"/>
      <c r="S136" s="228"/>
    </row>
    <row r="137" spans="2:19">
      <c r="B137" s="227"/>
      <c r="C137" s="438" t="s">
        <v>731</v>
      </c>
      <c r="D137" s="220"/>
      <c r="E137" s="220"/>
      <c r="F137" s="220"/>
      <c r="G137" s="220"/>
      <c r="H137" s="220"/>
      <c r="I137" s="220"/>
      <c r="J137" s="220"/>
      <c r="K137" s="220"/>
      <c r="L137" s="220"/>
      <c r="M137" s="220"/>
      <c r="N137" s="220"/>
      <c r="O137" s="220"/>
      <c r="P137" s="220"/>
      <c r="Q137" s="220"/>
      <c r="R137" s="220"/>
      <c r="S137" s="228"/>
    </row>
    <row r="138" spans="2:19">
      <c r="B138" s="227"/>
      <c r="C138" s="438" t="s">
        <v>732</v>
      </c>
      <c r="D138" s="220"/>
      <c r="E138" s="220"/>
      <c r="F138" s="220"/>
      <c r="G138" s="220"/>
      <c r="H138" s="220"/>
      <c r="I138" s="220"/>
      <c r="J138" s="220"/>
      <c r="K138" s="220"/>
      <c r="L138" s="220"/>
      <c r="M138" s="220"/>
      <c r="N138" s="220"/>
      <c r="O138" s="220"/>
      <c r="P138" s="220"/>
      <c r="Q138" s="220"/>
      <c r="R138" s="220"/>
      <c r="S138" s="228"/>
    </row>
    <row r="139" spans="2:19">
      <c r="B139" s="227"/>
      <c r="C139" s="438"/>
      <c r="D139" s="220"/>
      <c r="E139" s="220"/>
      <c r="F139" s="220"/>
      <c r="G139" s="220"/>
      <c r="H139" s="220"/>
      <c r="I139" s="220"/>
      <c r="J139" s="220"/>
      <c r="K139" s="220"/>
      <c r="L139" s="220"/>
      <c r="M139" s="220"/>
      <c r="N139" s="220"/>
      <c r="O139" s="220"/>
      <c r="P139" s="220"/>
      <c r="Q139" s="220"/>
      <c r="R139" s="220"/>
      <c r="S139" s="228"/>
    </row>
    <row r="140" spans="2:19">
      <c r="B140" s="227"/>
      <c r="C140" s="669" t="s">
        <v>733</v>
      </c>
      <c r="D140" s="220"/>
      <c r="E140" s="220"/>
      <c r="F140" s="220"/>
      <c r="G140" s="220"/>
      <c r="H140" s="220"/>
      <c r="I140" s="220"/>
      <c r="J140" s="220"/>
      <c r="K140" s="220"/>
      <c r="L140" s="220"/>
      <c r="M140" s="220"/>
      <c r="N140" s="220"/>
      <c r="O140" s="220"/>
      <c r="P140" s="220"/>
      <c r="Q140" s="220"/>
      <c r="R140" s="220"/>
      <c r="S140" s="228"/>
    </row>
    <row r="141" spans="2:19">
      <c r="B141" s="227"/>
      <c r="C141" s="665" t="s">
        <v>734</v>
      </c>
      <c r="D141" s="220"/>
      <c r="E141" s="220"/>
      <c r="F141" s="220"/>
      <c r="G141" s="220"/>
      <c r="H141" s="220"/>
      <c r="I141" s="220"/>
      <c r="J141" s="220"/>
      <c r="K141" s="220"/>
      <c r="L141" s="220"/>
      <c r="M141" s="220"/>
      <c r="N141" s="220"/>
      <c r="O141" s="220"/>
      <c r="P141" s="220"/>
      <c r="Q141" s="220"/>
      <c r="R141" s="220"/>
      <c r="S141" s="228"/>
    </row>
    <row r="142" spans="2:19">
      <c r="B142" s="227"/>
      <c r="C142" s="438" t="s">
        <v>735</v>
      </c>
      <c r="D142" s="220"/>
      <c r="E142" s="220"/>
      <c r="F142" s="220"/>
      <c r="G142" s="220"/>
      <c r="H142" s="220"/>
      <c r="I142" s="220"/>
      <c r="J142" s="220"/>
      <c r="K142" s="220"/>
      <c r="L142" s="220"/>
      <c r="M142" s="220"/>
      <c r="N142" s="220"/>
      <c r="O142" s="220"/>
      <c r="P142" s="220"/>
      <c r="Q142" s="220"/>
      <c r="R142" s="220"/>
      <c r="S142" s="228"/>
    </row>
    <row r="143" spans="2:19">
      <c r="B143" s="227"/>
      <c r="C143" s="438" t="s">
        <v>736</v>
      </c>
      <c r="D143" s="220"/>
      <c r="E143" s="220"/>
      <c r="F143" s="220"/>
      <c r="G143" s="220"/>
      <c r="H143" s="220"/>
      <c r="I143" s="220"/>
      <c r="J143" s="220"/>
      <c r="K143" s="220"/>
      <c r="L143" s="220"/>
      <c r="M143" s="220"/>
      <c r="N143" s="220"/>
      <c r="O143" s="220"/>
      <c r="P143" s="220"/>
      <c r="Q143" s="220"/>
      <c r="R143" s="220"/>
      <c r="S143" s="228"/>
    </row>
    <row r="144" spans="2:19">
      <c r="B144" s="227"/>
      <c r="C144" s="438" t="s">
        <v>737</v>
      </c>
      <c r="D144" s="220"/>
      <c r="E144" s="220"/>
      <c r="F144" s="220"/>
      <c r="G144" s="220"/>
      <c r="H144" s="220"/>
      <c r="I144" s="220"/>
      <c r="J144" s="220"/>
      <c r="K144" s="220"/>
      <c r="L144" s="220"/>
      <c r="M144" s="220"/>
      <c r="N144" s="220"/>
      <c r="O144" s="220"/>
      <c r="P144" s="220"/>
      <c r="Q144" s="220"/>
      <c r="R144" s="220"/>
      <c r="S144" s="228"/>
    </row>
    <row r="145" spans="2:19">
      <c r="B145" s="225"/>
      <c r="C145" s="229"/>
      <c r="D145" s="224"/>
      <c r="E145" s="224"/>
      <c r="F145" s="224"/>
      <c r="G145" s="224"/>
      <c r="H145" s="224"/>
      <c r="I145" s="224"/>
      <c r="J145" s="224"/>
      <c r="K145" s="224"/>
      <c r="L145" s="224"/>
      <c r="M145" s="224"/>
      <c r="N145" s="224"/>
      <c r="O145" s="224"/>
      <c r="P145" s="224"/>
      <c r="Q145" s="224"/>
      <c r="R145" s="224"/>
      <c r="S145" s="226"/>
    </row>
  </sheetData>
  <sheetProtection algorithmName="SHA-512" hashValue="DBEtu0kiNblUBiWKZ82P4pb9wfmvJXJpXfqjZQK+hUY2B3kQhJbi/e+GXvNeA1M6XBXwA/Yo9oM9+5hEDAVNWQ==" saltValue="lF3Az/o5/NPmgWKoc/POTA==" spinCount="100000" sheet="1" objects="1" scenarios="1"/>
  <protectedRanges>
    <protectedRange sqref="E11:E14 E16 E18 E20:E21 E28:G31 F37 E38:F38 G42 G114:H114 G95:H95 F39:F41 E33 E78:J79 I67:J72 E83:J85 G36:G38 E36:F36 F32:G35 L78:Q79 L83:Q85 F97:I102 I103 D59:I63 F104:I112 D64:J64" name="Range1"/>
    <protectedRange sqref="F103:H103" name="Range20_1"/>
  </protectedRanges>
  <phoneticPr fontId="43" type="noConversion"/>
  <conditionalFormatting sqref="G12:G15">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35" r:id="rId1" display="Office for National Statistics Population Estimates, England and Wales: mid-2022" xr:uid="{E5307553-7A6C-4E4A-A884-E27CF8AE4772}"/>
    <hyperlink ref="C136" r:id="rId2" xr:uid="{7973B0A5-0DDC-4D6E-A615-7910C6E2CF4A}"/>
    <hyperlink ref="C141" r:id="rId3" xr:uid="{EDC70E40-643A-4353-80EE-8CAA529E12F0}"/>
    <hyperlink ref="H28" r:id="rId4" display="https://digital.nhs.uk/data-and-information/publications/statistical/cancer-registration-statistics/england-2021---full-release" xr:uid="{72020E8A-88CE-4EF9-8CC1-BDFC151008D6}"/>
    <hyperlink ref="H30" r:id="rId5" display="https://www.macmillan.org.uk/cancer-information-and-support/thyroid-cancer/medullary" xr:uid="{2549FC05-4DFC-4536-B743-C6366E9F60A6}"/>
    <hyperlink ref="H29" r:id="rId6" display="National Disease Registration Service: report shows adjusted percentage of cancers diagnosed at stages 1 and 2 in England, as being 89.2% for this group, resulting in the assumption that 10.8% will be advanced. " xr:uid="{B963D4EA-918B-426D-915C-010872A6CA0B}"/>
    <hyperlink ref="H31" r:id="rId7" display="https://pubmed.ncbi.nlm.nih.gov/32846061/" xr:uid="{40D2C7B9-2839-47EC-B487-9A2B2C24C929}"/>
    <hyperlink ref="E51" r:id="rId8" xr:uid="{CF422B18-B72D-41AF-8D9A-84C604D7FB26}"/>
    <hyperlink ref="F54" r:id="rId9" display="study" xr:uid="{20438259-FA16-457D-97FE-FD42AB51142A}"/>
    <hyperlink ref="K72" r:id="rId10" xr:uid="{9965D603-4896-404C-9BE7-09A672B4828F}"/>
  </hyperlinks>
  <pageMargins left="0.7" right="0.7" top="0.75" bottom="0.75" header="0.3" footer="0.3"/>
  <pageSetup paperSize="9" scale="49" orientation="portrait" verticalDpi="0" r:id="rId11"/>
  <rowBreaks count="1" manualBreakCount="1">
    <brk id="75" max="12" man="1"/>
  </rowBreaks>
  <ignoredErrors>
    <ignoredError sqref="I107" unlockedFormula="1"/>
  </ignoredErrors>
  <legacyDrawing r:id="rId1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E16 F37</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9FDAA85F-910E-41EC-B549-9D666131AEAB}">
          <x14:formula1>
            <xm:f>payscales!$B$12:$B$47</xm:f>
          </x14:formula1>
          <xm:sqref>J98 J100 J102 J104 J106 J110 J112 J108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E119"/>
  <sheetViews>
    <sheetView showGridLines="0" topLeftCell="A2" zoomScale="80" zoomScaleNormal="80" workbookViewId="0"/>
  </sheetViews>
  <sheetFormatPr defaultColWidth="9.140625" defaultRowHeight="12.75"/>
  <cols>
    <col min="1" max="1" width="3.5703125" style="3" customWidth="1"/>
    <col min="2" max="2" width="58.85546875" style="3" customWidth="1"/>
    <col min="3" max="3" width="14.140625" style="3"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1" width="10.5703125" style="3" customWidth="1"/>
    <col min="12" max="12" width="13.8554687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16384" width="9.140625" style="3"/>
  </cols>
  <sheetData>
    <row r="1" spans="1:22" ht="30" customHeight="1">
      <c r="A1" s="190"/>
      <c r="B1" s="513" t="str">
        <f>'Inputs and eligible population'!B1</f>
        <v>Selpercatinib for advanced thyroid cancer with RET alterations untreated with a targeted cancer drug in people 12 years and over</v>
      </c>
      <c r="C1" s="146"/>
      <c r="D1" s="130"/>
      <c r="E1" s="130"/>
      <c r="F1" s="130"/>
      <c r="G1" s="130"/>
      <c r="H1" s="130"/>
      <c r="I1" s="130"/>
      <c r="J1" s="130"/>
      <c r="K1" s="130" t="s">
        <v>738</v>
      </c>
      <c r="L1" s="130" t="s">
        <v>738</v>
      </c>
      <c r="M1" s="130" t="s">
        <v>738</v>
      </c>
      <c r="N1" s="152"/>
      <c r="O1" s="152"/>
      <c r="P1" s="152"/>
      <c r="Q1" s="190"/>
      <c r="R1" s="190"/>
      <c r="S1" s="190"/>
      <c r="T1" s="190"/>
      <c r="U1" s="152"/>
    </row>
    <row r="2" spans="1:22" ht="26.25" customHeight="1">
      <c r="A2" s="190"/>
      <c r="B2" s="144" t="s">
        <v>42</v>
      </c>
      <c r="C2" s="145" t="s">
        <v>738</v>
      </c>
      <c r="D2" s="130" t="s">
        <v>738</v>
      </c>
      <c r="E2" s="130" t="s">
        <v>738</v>
      </c>
      <c r="F2" s="130" t="s">
        <v>738</v>
      </c>
      <c r="G2" s="130" t="s">
        <v>738</v>
      </c>
      <c r="H2" s="130" t="s">
        <v>738</v>
      </c>
      <c r="I2" s="130" t="s">
        <v>738</v>
      </c>
      <c r="J2" s="130" t="s">
        <v>738</v>
      </c>
      <c r="K2" s="131" t="s">
        <v>738</v>
      </c>
      <c r="L2" s="131"/>
      <c r="M2" s="131"/>
      <c r="N2" s="131"/>
      <c r="O2" s="131"/>
      <c r="P2" s="131"/>
      <c r="Q2" s="190"/>
      <c r="R2" s="190"/>
      <c r="S2" s="190"/>
      <c r="T2" s="190"/>
      <c r="U2" s="152"/>
    </row>
    <row r="3" spans="1:22" ht="14.45" customHeight="1">
      <c r="A3" s="190"/>
      <c r="B3" s="128"/>
      <c r="C3" s="146"/>
      <c r="D3" s="130"/>
      <c r="E3" s="130"/>
      <c r="F3" s="130"/>
      <c r="G3" s="130" t="s">
        <v>738</v>
      </c>
      <c r="H3" s="130" t="s">
        <v>738</v>
      </c>
      <c r="I3" s="130" t="s">
        <v>738</v>
      </c>
      <c r="J3" s="130" t="s">
        <v>738</v>
      </c>
      <c r="K3" s="131" t="s">
        <v>738</v>
      </c>
      <c r="L3" s="131"/>
      <c r="M3" s="131"/>
      <c r="N3" s="131"/>
      <c r="O3" s="131"/>
      <c r="P3" s="131"/>
      <c r="Q3" s="190"/>
      <c r="R3" s="190"/>
      <c r="S3" s="190"/>
      <c r="T3" s="190"/>
      <c r="U3" s="152"/>
    </row>
    <row r="4" spans="1:22" ht="14.45" customHeight="1">
      <c r="A4" s="190"/>
      <c r="B4" t="s">
        <v>739</v>
      </c>
      <c r="C4" s="146"/>
      <c r="D4" s="130"/>
      <c r="E4" s="690"/>
      <c r="F4" s="130"/>
      <c r="G4" s="130" t="s">
        <v>738</v>
      </c>
      <c r="H4" s="130" t="s">
        <v>738</v>
      </c>
      <c r="I4" s="130" t="s">
        <v>738</v>
      </c>
      <c r="J4" s="130" t="s">
        <v>738</v>
      </c>
      <c r="K4" s="131" t="s">
        <v>738</v>
      </c>
      <c r="L4" s="130"/>
      <c r="M4" s="131"/>
      <c r="N4" s="131"/>
      <c r="O4" s="131"/>
      <c r="P4" s="131"/>
      <c r="Q4" s="131"/>
      <c r="R4" s="131"/>
      <c r="S4" s="131"/>
      <c r="T4" s="131"/>
      <c r="U4" s="152"/>
    </row>
    <row r="5" spans="1:22" ht="14.45" customHeight="1">
      <c r="A5" s="190"/>
      <c r="B5" t="s">
        <v>658</v>
      </c>
      <c r="C5" s="146"/>
      <c r="D5" s="130"/>
      <c r="E5" s="130"/>
      <c r="F5" s="130"/>
      <c r="G5" s="130"/>
      <c r="H5" s="130" t="s">
        <v>738</v>
      </c>
      <c r="I5" s="130" t="s">
        <v>738</v>
      </c>
      <c r="J5" s="130" t="s">
        <v>738</v>
      </c>
      <c r="K5" s="131" t="s">
        <v>738</v>
      </c>
      <c r="L5" s="130"/>
      <c r="M5" s="131"/>
      <c r="N5" s="131"/>
      <c r="O5" s="131"/>
      <c r="P5" s="131"/>
      <c r="Q5" s="131"/>
      <c r="R5" s="131"/>
      <c r="S5" s="131"/>
      <c r="T5" s="131"/>
      <c r="U5" s="152"/>
    </row>
    <row r="6" spans="1:22" ht="14.45" customHeight="1">
      <c r="A6" s="190"/>
      <c r="B6"/>
      <c r="C6" s="146"/>
      <c r="D6" s="130"/>
      <c r="E6" s="130"/>
      <c r="F6" s="130"/>
      <c r="G6" s="130"/>
      <c r="H6" s="130"/>
      <c r="I6" s="130"/>
      <c r="J6" s="130"/>
      <c r="K6" s="131"/>
      <c r="L6" s="130"/>
      <c r="M6" s="131"/>
      <c r="N6" s="131"/>
      <c r="O6" s="131"/>
      <c r="P6" s="131"/>
      <c r="Q6" s="131"/>
      <c r="R6" s="131"/>
      <c r="S6" s="131"/>
      <c r="T6" s="131"/>
      <c r="U6" s="152"/>
    </row>
    <row r="7" spans="1:22" ht="14.45" customHeight="1" thickBot="1">
      <c r="A7" s="190"/>
      <c r="B7"/>
      <c r="C7" s="146"/>
      <c r="D7" s="130"/>
      <c r="E7" s="130"/>
      <c r="F7" s="130"/>
      <c r="G7" s="130"/>
      <c r="H7" s="130"/>
      <c r="I7" s="130"/>
      <c r="J7" s="130"/>
      <c r="K7" s="131"/>
      <c r="L7" s="130"/>
      <c r="M7" s="131"/>
      <c r="N7" s="131"/>
      <c r="O7" s="131"/>
      <c r="P7" s="131"/>
      <c r="Q7" s="131"/>
      <c r="R7" s="131"/>
      <c r="S7" s="131"/>
      <c r="T7" s="131"/>
      <c r="U7" s="152"/>
    </row>
    <row r="8" spans="1:22" s="241" customFormat="1" ht="15">
      <c r="A8" s="243"/>
      <c r="B8" s="239" t="s">
        <v>931</v>
      </c>
      <c r="C8" s="243"/>
      <c r="D8" s="633" t="s">
        <v>740</v>
      </c>
      <c r="E8" s="634"/>
      <c r="F8" s="634"/>
      <c r="G8" s="634"/>
      <c r="H8" s="635"/>
      <c r="I8" s="633" t="s">
        <v>741</v>
      </c>
      <c r="J8" s="634"/>
      <c r="K8" s="634"/>
      <c r="L8" s="634"/>
      <c r="M8" s="634"/>
      <c r="N8" s="634"/>
      <c r="O8" s="634"/>
      <c r="P8" s="635"/>
      <c r="Q8" s="700"/>
      <c r="R8" s="696"/>
      <c r="S8" s="696"/>
      <c r="T8" s="696"/>
      <c r="U8" s="696"/>
      <c r="V8" s="3"/>
    </row>
    <row r="9" spans="1:22" s="241" customFormat="1" ht="48.95" customHeight="1">
      <c r="A9" s="243"/>
      <c r="B9" s="242" t="s">
        <v>742</v>
      </c>
      <c r="C9" s="244" t="s">
        <v>743</v>
      </c>
      <c r="D9" s="636" t="s">
        <v>744</v>
      </c>
      <c r="E9" s="245" t="s">
        <v>745</v>
      </c>
      <c r="F9" s="245" t="s">
        <v>746</v>
      </c>
      <c r="G9" s="245" t="s">
        <v>747</v>
      </c>
      <c r="H9" s="637" t="s">
        <v>748</v>
      </c>
      <c r="I9" s="636" t="s">
        <v>961</v>
      </c>
      <c r="J9" s="245" t="s">
        <v>749</v>
      </c>
      <c r="K9" s="245" t="s">
        <v>963</v>
      </c>
      <c r="L9" s="644" t="s">
        <v>962</v>
      </c>
      <c r="M9" s="644" t="s">
        <v>750</v>
      </c>
      <c r="N9" s="244" t="s">
        <v>751</v>
      </c>
      <c r="O9" s="242" t="s">
        <v>752</v>
      </c>
      <c r="P9" s="637" t="s">
        <v>753</v>
      </c>
      <c r="Q9" s="243"/>
      <c r="R9" s="696"/>
      <c r="S9" s="696"/>
      <c r="T9" s="152"/>
      <c r="U9" s="696"/>
    </row>
    <row r="10" spans="1:22" s="241" customFormat="1" ht="15">
      <c r="A10" s="243"/>
      <c r="B10" s="827" t="s">
        <v>943</v>
      </c>
      <c r="C10" s="631" t="s">
        <v>927</v>
      </c>
      <c r="D10" s="638" t="s">
        <v>923</v>
      </c>
      <c r="E10" s="606" t="s">
        <v>928</v>
      </c>
      <c r="F10" s="607">
        <v>80</v>
      </c>
      <c r="G10" s="607">
        <v>112</v>
      </c>
      <c r="H10" s="639">
        <f>G10*F10</f>
        <v>8960</v>
      </c>
      <c r="I10" s="647">
        <f>160*2</f>
        <v>320</v>
      </c>
      <c r="J10" s="608" t="s">
        <v>944</v>
      </c>
      <c r="K10" s="695">
        <v>1</v>
      </c>
      <c r="L10" s="699">
        <f>I10*365*K10</f>
        <v>116800</v>
      </c>
      <c r="M10" s="811">
        <f>L10/H10</f>
        <v>13.035714285714286</v>
      </c>
      <c r="N10" s="609">
        <f>'Inputs and eligible population'!I67</f>
        <v>0</v>
      </c>
      <c r="O10" s="610">
        <f>'Inputs and eligible population'!J67</f>
        <v>0.2</v>
      </c>
      <c r="P10" s="648">
        <f>M10*N10*(100%+O10)</f>
        <v>0</v>
      </c>
      <c r="Q10" s="243"/>
      <c r="R10" s="696"/>
      <c r="S10" s="696"/>
      <c r="T10" s="152"/>
      <c r="U10" s="696"/>
    </row>
    <row r="11" spans="1:22" s="241" customFormat="1" ht="15">
      <c r="A11" s="243"/>
      <c r="B11" s="605" t="s">
        <v>945</v>
      </c>
      <c r="C11" s="631" t="s">
        <v>927</v>
      </c>
      <c r="D11" s="638" t="s">
        <v>923</v>
      </c>
      <c r="E11" s="606" t="s">
        <v>928</v>
      </c>
      <c r="F11" s="607">
        <v>40</v>
      </c>
      <c r="G11" s="607">
        <v>168</v>
      </c>
      <c r="H11" s="639">
        <f>F11*G11</f>
        <v>6720</v>
      </c>
      <c r="I11" s="647">
        <f>2*120</f>
        <v>240</v>
      </c>
      <c r="J11" s="608" t="s">
        <v>960</v>
      </c>
      <c r="K11" s="695">
        <v>0</v>
      </c>
      <c r="L11" s="699">
        <f>I11*365*K11</f>
        <v>0</v>
      </c>
      <c r="M11" s="605">
        <f>L11/H11</f>
        <v>0</v>
      </c>
      <c r="N11" s="609">
        <f>'Inputs and eligible population'!I68</f>
        <v>0</v>
      </c>
      <c r="O11" s="610">
        <f>'Inputs and eligible population'!J68</f>
        <v>0.2</v>
      </c>
      <c r="P11" s="648">
        <f>M11*N11*(100%+O11)</f>
        <v>0</v>
      </c>
      <c r="Q11" s="243"/>
      <c r="R11" s="696"/>
      <c r="S11" s="696"/>
      <c r="T11" s="152"/>
      <c r="U11" s="696"/>
    </row>
    <row r="12" spans="1:22" s="241" customFormat="1" ht="15.75" thickBot="1">
      <c r="A12" s="243"/>
      <c r="B12" s="605"/>
      <c r="C12" s="631" t="s">
        <v>755</v>
      </c>
      <c r="D12" s="640"/>
      <c r="E12" s="641"/>
      <c r="F12" s="642"/>
      <c r="G12" s="642"/>
      <c r="H12" s="643"/>
      <c r="I12" s="649"/>
      <c r="J12" s="650"/>
      <c r="K12" s="651"/>
      <c r="L12" s="652"/>
      <c r="M12" s="652"/>
      <c r="N12" s="653"/>
      <c r="O12" s="654"/>
      <c r="P12" s="655"/>
      <c r="Q12" s="243"/>
      <c r="R12" s="696"/>
      <c r="S12" s="696"/>
      <c r="T12" s="152"/>
      <c r="U12" s="696"/>
    </row>
    <row r="13" spans="1:22" s="241" customFormat="1" ht="15">
      <c r="A13" s="243"/>
      <c r="B13" s="628"/>
      <c r="C13" s="246" t="s">
        <v>756</v>
      </c>
      <c r="D13" s="632"/>
      <c r="E13" s="632"/>
      <c r="F13" s="632"/>
      <c r="G13" s="632"/>
      <c r="H13" s="632"/>
      <c r="I13" s="632"/>
      <c r="J13" s="632"/>
      <c r="K13" s="632"/>
      <c r="L13" s="632"/>
      <c r="M13" s="632"/>
      <c r="N13" s="632"/>
      <c r="O13" s="646"/>
      <c r="P13" s="828">
        <f>SUM(P10:P12)</f>
        <v>0</v>
      </c>
      <c r="Q13" s="243"/>
      <c r="R13" s="696"/>
      <c r="S13" s="696"/>
      <c r="T13" s="152"/>
      <c r="U13" s="696"/>
    </row>
    <row r="14" spans="1:22" s="241" customFormat="1" ht="15">
      <c r="A14" s="243"/>
      <c r="B14" s="243"/>
      <c r="C14" s="243"/>
      <c r="D14" s="243"/>
      <c r="E14" s="243"/>
      <c r="F14" s="243"/>
      <c r="G14" s="243"/>
      <c r="H14" s="243"/>
      <c r="I14" s="243"/>
      <c r="J14" s="243"/>
      <c r="K14" s="243"/>
      <c r="L14" s="243"/>
      <c r="M14" s="243"/>
      <c r="N14" s="243"/>
      <c r="O14" s="243"/>
      <c r="P14" s="691"/>
      <c r="Q14" s="243"/>
      <c r="R14" s="696"/>
      <c r="S14" s="696"/>
      <c r="T14" s="152"/>
      <c r="U14" s="696"/>
    </row>
    <row r="15" spans="1:22" s="241" customFormat="1" ht="15">
      <c r="A15" s="243"/>
      <c r="B15" s="243"/>
      <c r="C15" s="243"/>
      <c r="D15" s="243"/>
      <c r="E15" s="243"/>
      <c r="F15" s="243"/>
      <c r="G15" s="243"/>
      <c r="H15" s="243"/>
      <c r="I15" s="243"/>
      <c r="J15" s="243"/>
      <c r="K15" s="243"/>
      <c r="L15" s="243"/>
      <c r="M15" s="243"/>
      <c r="N15" s="243"/>
      <c r="O15" s="243"/>
      <c r="P15" s="691"/>
      <c r="Q15" s="243"/>
      <c r="R15" s="696"/>
      <c r="S15" s="696"/>
      <c r="T15" s="152"/>
      <c r="U15" s="696"/>
    </row>
    <row r="16" spans="1:22" s="241" customFormat="1" ht="21.4" customHeight="1">
      <c r="A16" s="243"/>
      <c r="B16" s="243"/>
      <c r="C16" s="243"/>
      <c r="D16" s="243"/>
      <c r="E16" s="243"/>
      <c r="F16" s="243"/>
      <c r="G16" s="243"/>
      <c r="H16" s="243"/>
      <c r="I16" s="243"/>
      <c r="J16" s="243"/>
      <c r="K16" s="243"/>
      <c r="L16" s="243"/>
      <c r="M16" s="243"/>
      <c r="N16" s="243"/>
      <c r="O16" s="243"/>
      <c r="P16" s="691"/>
      <c r="Q16" s="243"/>
      <c r="R16" s="696"/>
      <c r="S16" s="696"/>
      <c r="T16" s="152"/>
      <c r="U16" s="696"/>
    </row>
    <row r="17" spans="1:21" s="241" customFormat="1" ht="15.75" thickBot="1">
      <c r="A17" s="243"/>
      <c r="B17" s="239" t="s">
        <v>932</v>
      </c>
      <c r="C17" s="243"/>
      <c r="D17" s="243"/>
      <c r="E17" s="243"/>
      <c r="F17" s="243"/>
      <c r="G17" s="243"/>
      <c r="H17" s="243"/>
      <c r="I17" s="243"/>
      <c r="J17" s="243"/>
      <c r="K17" s="243"/>
      <c r="L17" s="243"/>
      <c r="M17" s="243"/>
      <c r="N17" s="243"/>
      <c r="O17" s="243"/>
      <c r="P17" s="626"/>
      <c r="Q17" s="243"/>
      <c r="R17" s="696"/>
      <c r="S17" s="696"/>
      <c r="T17" s="152"/>
      <c r="U17" s="696"/>
    </row>
    <row r="18" spans="1:21" s="241" customFormat="1" ht="15">
      <c r="A18" s="243"/>
      <c r="B18" s="239"/>
      <c r="C18" s="243"/>
      <c r="D18" s="633" t="s">
        <v>740</v>
      </c>
      <c r="E18" s="634"/>
      <c r="F18" s="634"/>
      <c r="G18" s="634"/>
      <c r="H18" s="635"/>
      <c r="I18" s="633" t="s">
        <v>741</v>
      </c>
      <c r="J18" s="657"/>
      <c r="K18" s="657"/>
      <c r="L18" s="657"/>
      <c r="M18" s="657"/>
      <c r="N18" s="657"/>
      <c r="O18" s="657"/>
      <c r="P18" s="658"/>
      <c r="Q18" s="243"/>
      <c r="R18" s="696"/>
      <c r="S18" s="696"/>
      <c r="T18" s="152"/>
      <c r="U18" s="696"/>
    </row>
    <row r="19" spans="1:21" s="241" customFormat="1" ht="60">
      <c r="A19" s="243"/>
      <c r="B19" s="242" t="s">
        <v>742</v>
      </c>
      <c r="C19" s="244" t="s">
        <v>743</v>
      </c>
      <c r="D19" s="636" t="s">
        <v>744</v>
      </c>
      <c r="E19" s="245" t="s">
        <v>745</v>
      </c>
      <c r="F19" s="245" t="s">
        <v>746</v>
      </c>
      <c r="G19" s="245" t="s">
        <v>747</v>
      </c>
      <c r="H19" s="637" t="s">
        <v>748</v>
      </c>
      <c r="I19" s="636" t="s">
        <v>961</v>
      </c>
      <c r="J19" s="245" t="s">
        <v>749</v>
      </c>
      <c r="K19" s="245" t="s">
        <v>963</v>
      </c>
      <c r="L19" s="644" t="s">
        <v>962</v>
      </c>
      <c r="M19" s="644" t="s">
        <v>750</v>
      </c>
      <c r="N19" s="244" t="s">
        <v>751</v>
      </c>
      <c r="O19" s="242" t="s">
        <v>752</v>
      </c>
      <c r="P19" s="637" t="s">
        <v>753</v>
      </c>
      <c r="Q19" s="243"/>
      <c r="R19" s="696"/>
      <c r="S19" s="696"/>
      <c r="T19" s="776"/>
      <c r="U19" s="696"/>
    </row>
    <row r="20" spans="1:21" s="241" customFormat="1" ht="27.4" customHeight="1">
      <c r="A20" s="243"/>
      <c r="B20" s="709" t="s">
        <v>965</v>
      </c>
      <c r="C20" s="605" t="s">
        <v>958</v>
      </c>
      <c r="D20" s="638" t="s">
        <v>923</v>
      </c>
      <c r="E20" s="606" t="s">
        <v>937</v>
      </c>
      <c r="F20" s="607">
        <v>80</v>
      </c>
      <c r="G20" s="607">
        <v>28</v>
      </c>
      <c r="H20" s="639">
        <f>G20*F20</f>
        <v>2240</v>
      </c>
      <c r="I20" s="647">
        <v>80</v>
      </c>
      <c r="J20" s="608" t="s">
        <v>754</v>
      </c>
      <c r="K20" s="611" t="s">
        <v>754</v>
      </c>
      <c r="L20" s="699">
        <f>I20*365</f>
        <v>29200</v>
      </c>
      <c r="M20" s="811">
        <f>L20/H20</f>
        <v>13.035714285714286</v>
      </c>
      <c r="N20" s="703">
        <f>'Inputs and eligible population'!I69</f>
        <v>0</v>
      </c>
      <c r="O20" s="705">
        <f>'Inputs and eligible population'!J69</f>
        <v>0.2</v>
      </c>
      <c r="P20" s="707">
        <f>M20*N20*(100%+O20)</f>
        <v>0</v>
      </c>
      <c r="Q20" s="243"/>
      <c r="R20" s="696"/>
      <c r="S20" s="696"/>
      <c r="T20" s="152"/>
      <c r="U20" s="696"/>
    </row>
    <row r="21" spans="1:21" s="241" customFormat="1" ht="15">
      <c r="A21" s="243"/>
      <c r="B21" s="708"/>
      <c r="C21" s="605" t="s">
        <v>958</v>
      </c>
      <c r="D21" s="638" t="s">
        <v>923</v>
      </c>
      <c r="E21" s="606" t="s">
        <v>937</v>
      </c>
      <c r="F21" s="607">
        <v>20</v>
      </c>
      <c r="G21" s="607">
        <v>84</v>
      </c>
      <c r="H21" s="639">
        <f>F21*G21</f>
        <v>1680</v>
      </c>
      <c r="I21" s="647">
        <f>20*3</f>
        <v>60</v>
      </c>
      <c r="J21" s="608" t="s">
        <v>754</v>
      </c>
      <c r="K21" s="611" t="s">
        <v>754</v>
      </c>
      <c r="L21" s="699">
        <f>I21*365</f>
        <v>21900</v>
      </c>
      <c r="M21" s="811"/>
      <c r="N21" s="702"/>
      <c r="O21" s="704"/>
      <c r="P21" s="706"/>
      <c r="Q21" s="243"/>
      <c r="R21" s="696"/>
      <c r="S21" s="696"/>
      <c r="T21" s="152"/>
      <c r="U21" s="696"/>
    </row>
    <row r="22" spans="1:21" s="241" customFormat="1" ht="15.75" thickBot="1">
      <c r="A22" s="243"/>
      <c r="B22" s="605"/>
      <c r="C22" s="631" t="s">
        <v>755</v>
      </c>
      <c r="D22" s="640"/>
      <c r="E22" s="641"/>
      <c r="F22" s="642"/>
      <c r="G22" s="642"/>
      <c r="H22" s="643"/>
      <c r="I22" s="649"/>
      <c r="J22" s="650"/>
      <c r="K22" s="659"/>
      <c r="L22" s="660"/>
      <c r="M22" s="652"/>
      <c r="N22" s="653"/>
      <c r="O22" s="654"/>
      <c r="P22" s="655"/>
      <c r="Q22" s="243"/>
      <c r="R22" s="696"/>
      <c r="S22" s="696"/>
      <c r="T22" s="152"/>
      <c r="U22" s="696"/>
    </row>
    <row r="23" spans="1:21" s="241" customFormat="1" ht="15">
      <c r="A23" s="243"/>
      <c r="B23" s="628"/>
      <c r="C23" s="246" t="s">
        <v>756</v>
      </c>
      <c r="D23" s="632"/>
      <c r="E23" s="632"/>
      <c r="F23" s="632"/>
      <c r="G23" s="632"/>
      <c r="H23" s="632"/>
      <c r="I23" s="632"/>
      <c r="J23" s="632"/>
      <c r="K23" s="656"/>
      <c r="L23" s="656"/>
      <c r="M23" s="812"/>
      <c r="N23" s="632"/>
      <c r="O23" s="646"/>
      <c r="P23" s="828">
        <f>SUM(P20:P22)</f>
        <v>0</v>
      </c>
      <c r="Q23" s="243"/>
      <c r="R23" s="696"/>
      <c r="S23" s="696"/>
      <c r="T23" s="152"/>
      <c r="U23" s="696"/>
    </row>
    <row r="24" spans="1:21" s="241" customFormat="1" ht="15">
      <c r="A24" s="243"/>
      <c r="B24" s="243"/>
      <c r="C24" s="243"/>
      <c r="D24" s="243"/>
      <c r="E24" s="243"/>
      <c r="F24" s="243"/>
      <c r="G24" s="243"/>
      <c r="H24" s="243"/>
      <c r="I24" s="243"/>
      <c r="J24" s="243"/>
      <c r="K24" s="588"/>
      <c r="L24" s="588"/>
      <c r="M24" s="813"/>
      <c r="N24" s="243"/>
      <c r="O24" s="243"/>
      <c r="P24" s="691"/>
      <c r="Q24" s="243"/>
      <c r="R24" s="696"/>
      <c r="S24" s="696"/>
      <c r="T24" s="152"/>
      <c r="U24" s="696"/>
    </row>
    <row r="25" spans="1:21" s="241" customFormat="1" ht="21.75" customHeight="1">
      <c r="A25" s="243"/>
      <c r="B25" s="243"/>
      <c r="C25" s="243"/>
      <c r="D25" s="243"/>
      <c r="E25" s="243"/>
      <c r="F25" s="243"/>
      <c r="G25" s="243"/>
      <c r="H25" s="243"/>
      <c r="I25" s="243"/>
      <c r="J25" s="243"/>
      <c r="K25" s="588"/>
      <c r="L25" s="588"/>
      <c r="M25" s="813"/>
      <c r="N25" s="243"/>
      <c r="O25" s="243"/>
      <c r="P25" s="691"/>
      <c r="Q25" s="243"/>
      <c r="R25" s="696"/>
      <c r="S25" s="696"/>
      <c r="T25" s="152"/>
      <c r="U25" s="696"/>
    </row>
    <row r="26" spans="1:21" s="241" customFormat="1" ht="18" customHeight="1">
      <c r="A26" s="243"/>
      <c r="B26" s="243"/>
      <c r="C26" s="243"/>
      <c r="D26" s="243"/>
      <c r="E26" s="243"/>
      <c r="F26" s="243"/>
      <c r="G26" s="243"/>
      <c r="H26" s="243"/>
      <c r="I26" s="243"/>
      <c r="J26" s="243"/>
      <c r="K26" s="588"/>
      <c r="L26" s="588"/>
      <c r="M26" s="813"/>
      <c r="N26" s="243"/>
      <c r="O26" s="243"/>
      <c r="P26" s="691"/>
      <c r="Q26" s="243"/>
      <c r="R26" s="696"/>
      <c r="S26" s="696"/>
      <c r="T26" s="152"/>
      <c r="U26" s="696"/>
    </row>
    <row r="27" spans="1:21" s="241" customFormat="1" ht="15">
      <c r="A27" s="243"/>
      <c r="B27" s="239" t="s">
        <v>933</v>
      </c>
      <c r="C27" s="243"/>
      <c r="D27" s="243"/>
      <c r="E27" s="243"/>
      <c r="F27" s="243"/>
      <c r="G27" s="243"/>
      <c r="H27" s="243"/>
      <c r="I27" s="243"/>
      <c r="J27" s="243"/>
      <c r="K27" s="588"/>
      <c r="L27" s="588"/>
      <c r="M27" s="813"/>
      <c r="N27" s="243"/>
      <c r="O27" s="243"/>
      <c r="P27" s="691"/>
      <c r="Q27" s="243"/>
      <c r="R27" s="696"/>
      <c r="S27" s="696"/>
      <c r="T27" s="152"/>
      <c r="U27" s="696"/>
    </row>
    <row r="28" spans="1:21" s="241" customFormat="1" ht="15.75" thickBot="1">
      <c r="A28" s="243"/>
      <c r="B28" s="239"/>
      <c r="C28" s="243"/>
      <c r="D28" s="243"/>
      <c r="E28" s="243"/>
      <c r="F28" s="243"/>
      <c r="G28" s="243"/>
      <c r="H28" s="243"/>
      <c r="I28" s="243"/>
      <c r="J28" s="243"/>
      <c r="K28" s="588"/>
      <c r="L28" s="588"/>
      <c r="M28" s="813"/>
      <c r="N28" s="243"/>
      <c r="O28" s="243"/>
      <c r="P28" s="626"/>
      <c r="Q28" s="243"/>
      <c r="R28" s="696"/>
      <c r="S28" s="696"/>
      <c r="T28" s="152"/>
      <c r="U28" s="696"/>
    </row>
    <row r="29" spans="1:21" s="241" customFormat="1" ht="15">
      <c r="A29" s="243"/>
      <c r="B29" s="239"/>
      <c r="C29" s="243"/>
      <c r="D29" s="633" t="s">
        <v>740</v>
      </c>
      <c r="E29" s="634"/>
      <c r="F29" s="634"/>
      <c r="G29" s="634"/>
      <c r="H29" s="635"/>
      <c r="I29" s="633" t="s">
        <v>741</v>
      </c>
      <c r="J29" s="657"/>
      <c r="K29" s="661"/>
      <c r="L29" s="661"/>
      <c r="M29" s="814"/>
      <c r="N29" s="657"/>
      <c r="O29" s="657"/>
      <c r="P29" s="658"/>
      <c r="Q29" s="243"/>
      <c r="R29" s="696"/>
      <c r="S29" s="696"/>
      <c r="T29" s="152"/>
      <c r="U29" s="696"/>
    </row>
    <row r="30" spans="1:21" s="241" customFormat="1" ht="60">
      <c r="A30" s="243"/>
      <c r="B30" s="242" t="s">
        <v>742</v>
      </c>
      <c r="C30" s="244" t="s">
        <v>743</v>
      </c>
      <c r="D30" s="636" t="s">
        <v>744</v>
      </c>
      <c r="E30" s="245" t="s">
        <v>745</v>
      </c>
      <c r="F30" s="245" t="s">
        <v>746</v>
      </c>
      <c r="G30" s="245" t="s">
        <v>747</v>
      </c>
      <c r="H30" s="637" t="s">
        <v>748</v>
      </c>
      <c r="I30" s="636" t="s">
        <v>961</v>
      </c>
      <c r="J30" s="245" t="s">
        <v>749</v>
      </c>
      <c r="K30" s="245" t="s">
        <v>963</v>
      </c>
      <c r="L30" s="644" t="s">
        <v>962</v>
      </c>
      <c r="M30" s="815" t="s">
        <v>750</v>
      </c>
      <c r="N30" s="244" t="s">
        <v>751</v>
      </c>
      <c r="O30" s="242" t="s">
        <v>752</v>
      </c>
      <c r="P30" s="637" t="s">
        <v>753</v>
      </c>
      <c r="Q30" s="243"/>
      <c r="R30" s="696"/>
      <c r="S30" s="696"/>
      <c r="T30" s="776"/>
      <c r="U30" s="696"/>
    </row>
    <row r="31" spans="1:21" s="241" customFormat="1" ht="15">
      <c r="A31" s="243"/>
      <c r="B31" s="605" t="s">
        <v>968</v>
      </c>
      <c r="C31" s="605" t="s">
        <v>934</v>
      </c>
      <c r="D31" s="638" t="s">
        <v>936</v>
      </c>
      <c r="E31" s="606" t="s">
        <v>937</v>
      </c>
      <c r="F31" s="607">
        <v>10</v>
      </c>
      <c r="G31" s="607">
        <v>30</v>
      </c>
      <c r="H31" s="639">
        <f>G31*F31</f>
        <v>300</v>
      </c>
      <c r="I31" s="647">
        <f>2*10</f>
        <v>20</v>
      </c>
      <c r="J31" s="608" t="s">
        <v>754</v>
      </c>
      <c r="K31" s="611" t="s">
        <v>754</v>
      </c>
      <c r="L31" s="699">
        <f>I31*365</f>
        <v>7300</v>
      </c>
      <c r="M31" s="811">
        <f>L31/H31</f>
        <v>24.333333333333332</v>
      </c>
      <c r="N31" s="609">
        <f>'Inputs and eligible population'!I71</f>
        <v>0</v>
      </c>
      <c r="O31" s="610">
        <f>'Inputs and eligible population'!J70</f>
        <v>0.2</v>
      </c>
      <c r="P31" s="648">
        <f>M31*N31*(100%+O31)</f>
        <v>0</v>
      </c>
      <c r="Q31" s="243"/>
      <c r="R31" s="696"/>
      <c r="S31" s="696"/>
      <c r="T31" s="152"/>
      <c r="U31" s="696"/>
    </row>
    <row r="32" spans="1:21" s="241" customFormat="1" ht="15">
      <c r="A32" s="243"/>
      <c r="B32" s="605" t="s">
        <v>967</v>
      </c>
      <c r="C32" s="605" t="s">
        <v>934</v>
      </c>
      <c r="D32" s="638" t="s">
        <v>936</v>
      </c>
      <c r="E32" s="606" t="s">
        <v>937</v>
      </c>
      <c r="F32" s="607">
        <v>4</v>
      </c>
      <c r="G32" s="607">
        <v>30</v>
      </c>
      <c r="H32" s="639">
        <f>G32*F32</f>
        <v>120</v>
      </c>
      <c r="I32" s="647">
        <f>1*4</f>
        <v>4</v>
      </c>
      <c r="J32" s="608" t="s">
        <v>754</v>
      </c>
      <c r="K32" s="612" t="s">
        <v>754</v>
      </c>
      <c r="L32" s="699">
        <f>I32*365</f>
        <v>1460</v>
      </c>
      <c r="M32" s="811">
        <f>L32/H32</f>
        <v>12.166666666666666</v>
      </c>
      <c r="N32" s="609">
        <f>'Inputs and eligible population'!I70</f>
        <v>0</v>
      </c>
      <c r="O32" s="610">
        <v>0.2</v>
      </c>
      <c r="P32" s="648">
        <f>M32*N32*(100%+O32)</f>
        <v>0</v>
      </c>
      <c r="Q32" s="243"/>
      <c r="R32" s="696"/>
      <c r="S32" s="696"/>
      <c r="T32" s="152"/>
      <c r="U32" s="696"/>
    </row>
    <row r="33" spans="1:23" s="241" customFormat="1" ht="15.75" thickBot="1">
      <c r="A33" s="243"/>
      <c r="B33" s="605"/>
      <c r="C33" s="631" t="s">
        <v>755</v>
      </c>
      <c r="D33" s="640"/>
      <c r="E33" s="641"/>
      <c r="F33" s="642"/>
      <c r="G33" s="642"/>
      <c r="H33" s="643"/>
      <c r="I33" s="649"/>
      <c r="J33" s="650"/>
      <c r="K33" s="662"/>
      <c r="L33" s="663"/>
      <c r="M33" s="652"/>
      <c r="N33" s="653"/>
      <c r="O33" s="654"/>
      <c r="P33" s="655"/>
      <c r="Q33" s="243"/>
      <c r="R33" s="696"/>
      <c r="S33" s="696"/>
      <c r="T33" s="152"/>
      <c r="U33" s="696"/>
    </row>
    <row r="34" spans="1:23" s="241" customFormat="1" ht="15">
      <c r="A34" s="243"/>
      <c r="B34" s="628"/>
      <c r="C34" s="246" t="s">
        <v>756</v>
      </c>
      <c r="D34" s="632"/>
      <c r="E34" s="632"/>
      <c r="F34" s="632"/>
      <c r="G34" s="632"/>
      <c r="H34" s="632"/>
      <c r="I34" s="632"/>
      <c r="J34" s="632"/>
      <c r="K34" s="632"/>
      <c r="L34" s="632"/>
      <c r="M34" s="812"/>
      <c r="N34" s="632"/>
      <c r="O34" s="646"/>
      <c r="P34" s="828">
        <f>SUM(P31:P33)</f>
        <v>0</v>
      </c>
      <c r="Q34" s="243"/>
      <c r="R34" s="696"/>
      <c r="S34" s="696"/>
      <c r="T34" s="152"/>
      <c r="U34" s="696"/>
    </row>
    <row r="35" spans="1:23" s="241" customFormat="1" ht="15.75" thickBot="1">
      <c r="A35" s="243"/>
      <c r="B35" s="243"/>
      <c r="C35" s="243"/>
      <c r="D35" s="632"/>
      <c r="E35" s="632"/>
      <c r="F35" s="632"/>
      <c r="G35" s="632"/>
      <c r="H35" s="632"/>
      <c r="I35" s="632"/>
      <c r="J35" s="243"/>
      <c r="K35" s="243"/>
      <c r="L35" s="243"/>
      <c r="M35" s="813"/>
      <c r="N35" s="243"/>
      <c r="O35" s="243"/>
      <c r="P35" s="691"/>
      <c r="Q35" s="243"/>
      <c r="R35" s="696"/>
      <c r="S35" s="696"/>
      <c r="T35" s="152"/>
      <c r="U35" s="696"/>
    </row>
    <row r="36" spans="1:23" s="241" customFormat="1" ht="15">
      <c r="A36" s="243"/>
      <c r="B36" s="239"/>
      <c r="C36" s="243"/>
      <c r="D36" s="633" t="s">
        <v>740</v>
      </c>
      <c r="E36" s="634"/>
      <c r="F36" s="634"/>
      <c r="G36" s="634"/>
      <c r="H36" s="635"/>
      <c r="I36" s="633" t="s">
        <v>741</v>
      </c>
      <c r="J36" s="657"/>
      <c r="K36" s="657"/>
      <c r="L36" s="657"/>
      <c r="M36" s="814"/>
      <c r="N36" s="657"/>
      <c r="O36" s="657"/>
      <c r="P36" s="658"/>
      <c r="Q36" s="243"/>
      <c r="R36" s="696"/>
      <c r="S36" s="696"/>
      <c r="T36" s="152"/>
      <c r="U36" s="696"/>
    </row>
    <row r="37" spans="1:23" s="241" customFormat="1" ht="60">
      <c r="A37" s="243"/>
      <c r="B37" s="242" t="s">
        <v>742</v>
      </c>
      <c r="C37" s="244" t="s">
        <v>743</v>
      </c>
      <c r="D37" s="636" t="s">
        <v>744</v>
      </c>
      <c r="E37" s="245" t="s">
        <v>745</v>
      </c>
      <c r="F37" s="245" t="s">
        <v>746</v>
      </c>
      <c r="G37" s="245" t="s">
        <v>747</v>
      </c>
      <c r="H37" s="637" t="s">
        <v>748</v>
      </c>
      <c r="I37" s="636" t="s">
        <v>961</v>
      </c>
      <c r="J37" s="245" t="s">
        <v>749</v>
      </c>
      <c r="K37" s="245" t="s">
        <v>963</v>
      </c>
      <c r="L37" s="644" t="s">
        <v>962</v>
      </c>
      <c r="M37" s="815" t="s">
        <v>750</v>
      </c>
      <c r="N37" s="244" t="s">
        <v>751</v>
      </c>
      <c r="O37" s="242" t="s">
        <v>752</v>
      </c>
      <c r="P37" s="637" t="s">
        <v>753</v>
      </c>
      <c r="Q37" s="243"/>
      <c r="R37" s="696"/>
      <c r="S37" s="696"/>
      <c r="T37" s="776"/>
      <c r="U37" s="696"/>
    </row>
    <row r="38" spans="1:23" s="241" customFormat="1" ht="15">
      <c r="A38" s="243"/>
      <c r="B38" s="605" t="s">
        <v>959</v>
      </c>
      <c r="C38" s="631" t="s">
        <v>935</v>
      </c>
      <c r="D38" s="638" t="s">
        <v>936</v>
      </c>
      <c r="E38" s="606" t="s">
        <v>937</v>
      </c>
      <c r="F38" s="607">
        <v>200</v>
      </c>
      <c r="G38" s="607">
        <v>112</v>
      </c>
      <c r="H38" s="639">
        <f>G38*F38</f>
        <v>22400</v>
      </c>
      <c r="I38" s="647">
        <f>400*2</f>
        <v>800</v>
      </c>
      <c r="J38" s="608" t="s">
        <v>754</v>
      </c>
      <c r="K38" s="611">
        <f>'Inputs and eligible population'!F78</f>
        <v>0.5</v>
      </c>
      <c r="L38" s="699">
        <f>I38*365</f>
        <v>292000</v>
      </c>
      <c r="M38" s="811">
        <f>L38/H38</f>
        <v>13.035714285714286</v>
      </c>
      <c r="N38" s="609">
        <f>'Inputs and eligible population'!I72</f>
        <v>1816.05</v>
      </c>
      <c r="O38" s="610">
        <f>'Inputs and eligible population'!J72</f>
        <v>0.2</v>
      </c>
      <c r="P38" s="648">
        <f>M38*N38*(100%+O38)</f>
        <v>28408.210714285717</v>
      </c>
      <c r="Q38" s="243"/>
      <c r="R38" s="696"/>
      <c r="S38" s="696"/>
      <c r="T38" s="152"/>
      <c r="U38" s="696"/>
    </row>
    <row r="39" spans="1:23" s="241" customFormat="1" ht="15">
      <c r="A39" s="243"/>
      <c r="B39" s="605"/>
      <c r="C39" s="631" t="s">
        <v>755</v>
      </c>
      <c r="D39" s="638"/>
      <c r="E39" s="606"/>
      <c r="F39" s="607"/>
      <c r="G39" s="607"/>
      <c r="H39" s="639"/>
      <c r="I39" s="647"/>
      <c r="J39" s="608"/>
      <c r="K39" s="611"/>
      <c r="L39" s="645"/>
      <c r="M39" s="645"/>
      <c r="N39" s="609"/>
      <c r="O39" s="610"/>
      <c r="P39" s="648"/>
      <c r="Q39" s="243"/>
      <c r="R39" s="696"/>
      <c r="S39" s="696"/>
      <c r="T39" s="152"/>
      <c r="U39" s="696"/>
    </row>
    <row r="40" spans="1:23" s="241" customFormat="1" ht="15">
      <c r="A40" s="243"/>
      <c r="B40" s="628"/>
      <c r="C40" s="246" t="s">
        <v>756</v>
      </c>
      <c r="D40" s="632"/>
      <c r="E40" s="632"/>
      <c r="F40" s="632"/>
      <c r="G40" s="632"/>
      <c r="H40" s="632"/>
      <c r="I40" s="632"/>
      <c r="J40" s="632"/>
      <c r="K40" s="656"/>
      <c r="L40" s="656"/>
      <c r="M40" s="656"/>
      <c r="N40" s="632"/>
      <c r="O40" s="646"/>
      <c r="P40" s="828">
        <f>SUM(P38:P39)</f>
        <v>28408.210714285717</v>
      </c>
      <c r="Q40" s="243"/>
      <c r="R40" s="696"/>
      <c r="S40" s="696"/>
      <c r="T40" s="152"/>
      <c r="U40" s="696"/>
    </row>
    <row r="41" spans="1:23" s="241" customFormat="1" ht="15">
      <c r="A41" s="243"/>
      <c r="B41" s="243"/>
      <c r="C41" s="243"/>
      <c r="D41" s="243"/>
      <c r="E41" s="243"/>
      <c r="F41" s="243"/>
      <c r="G41" s="243"/>
      <c r="H41" s="243"/>
      <c r="I41" s="243"/>
      <c r="J41" s="243"/>
      <c r="K41" s="243"/>
      <c r="L41" s="243"/>
      <c r="M41" s="243"/>
      <c r="N41" s="588"/>
      <c r="O41" s="588"/>
      <c r="P41" s="588"/>
      <c r="Q41" s="243"/>
      <c r="R41" s="696"/>
      <c r="S41" s="691"/>
      <c r="T41" s="696"/>
      <c r="U41" s="696"/>
      <c r="W41" s="3"/>
    </row>
    <row r="42" spans="1:23" s="241" customFormat="1" ht="15">
      <c r="A42" s="243"/>
      <c r="B42" s="243"/>
      <c r="C42" s="243"/>
      <c r="D42" s="243"/>
      <c r="E42" s="243"/>
      <c r="F42" s="243"/>
      <c r="G42" s="243"/>
      <c r="H42" s="243"/>
      <c r="I42" s="243"/>
      <c r="J42" s="243"/>
      <c r="K42" s="243"/>
      <c r="L42" s="243"/>
      <c r="M42" s="243"/>
      <c r="N42" s="588"/>
      <c r="O42" s="588"/>
      <c r="P42" s="588"/>
      <c r="Q42" s="243"/>
      <c r="R42" s="696"/>
      <c r="S42" s="701"/>
      <c r="T42" s="696"/>
      <c r="U42" s="696"/>
      <c r="W42" s="3"/>
    </row>
    <row r="43" spans="1:23" s="241" customFormat="1" ht="15">
      <c r="A43" s="243"/>
      <c r="B43" s="632"/>
      <c r="C43" s="632"/>
      <c r="D43" s="243"/>
      <c r="E43" s="243"/>
      <c r="F43" s="243"/>
      <c r="G43" s="243"/>
      <c r="H43" s="243"/>
      <c r="I43" s="243"/>
      <c r="J43" s="243"/>
      <c r="K43" s="243"/>
      <c r="L43" s="243"/>
      <c r="M43" s="243"/>
      <c r="N43" s="588"/>
      <c r="O43" s="588"/>
      <c r="P43" s="588"/>
      <c r="Q43" s="243"/>
      <c r="R43" s="243"/>
      <c r="S43" s="447"/>
      <c r="T43" s="696"/>
      <c r="U43" s="696"/>
      <c r="W43" s="3"/>
    </row>
    <row r="44" spans="1:23" s="4" customFormat="1" ht="15">
      <c r="A44" s="5"/>
      <c r="B44" s="242" t="s">
        <v>757</v>
      </c>
      <c r="C44" s="244" t="s">
        <v>758</v>
      </c>
      <c r="D44" s="247" t="s">
        <v>759</v>
      </c>
      <c r="E44" s="420"/>
      <c r="F44" s="421"/>
      <c r="G44" s="422"/>
      <c r="H44" s="421"/>
      <c r="I44" s="422"/>
      <c r="J44" s="421"/>
      <c r="K44" s="422"/>
      <c r="L44" s="422"/>
      <c r="M44" s="742"/>
      <c r="N44" s="424" t="s">
        <v>760</v>
      </c>
      <c r="O44" s="177"/>
      <c r="P44" s="177"/>
      <c r="Q44" s="177"/>
      <c r="R44" s="178"/>
      <c r="S44" s="447"/>
      <c r="T44" s="428"/>
      <c r="U44" s="428"/>
      <c r="W44" s="3"/>
    </row>
    <row r="45" spans="1:23" s="4" customFormat="1" ht="15">
      <c r="A45" s="5"/>
      <c r="B45" s="605" t="s">
        <v>940</v>
      </c>
      <c r="C45" s="613" t="s">
        <v>941</v>
      </c>
      <c r="D45" s="614" t="s">
        <v>942</v>
      </c>
      <c r="E45" s="615"/>
      <c r="F45" s="616"/>
      <c r="G45" s="617"/>
      <c r="H45" s="617"/>
      <c r="I45" s="617"/>
      <c r="J45" s="617"/>
      <c r="K45" s="616"/>
      <c r="L45" s="616"/>
      <c r="M45" s="618"/>
      <c r="N45" s="619">
        <v>134</v>
      </c>
      <c r="O45" s="177"/>
      <c r="P45" s="177"/>
      <c r="Q45" s="177"/>
      <c r="R45" s="178"/>
      <c r="S45" s="448" t="s">
        <v>762</v>
      </c>
      <c r="T45" s="428"/>
      <c r="U45" s="428"/>
      <c r="W45" s="3"/>
    </row>
    <row r="46" spans="1:23" s="4" customFormat="1" ht="15">
      <c r="A46" s="5"/>
      <c r="B46" s="671" t="s">
        <v>761</v>
      </c>
      <c r="C46" s="175"/>
      <c r="D46" s="175"/>
      <c r="E46" s="111"/>
      <c r="F46" s="176"/>
      <c r="G46" s="177"/>
      <c r="H46" s="5"/>
      <c r="I46" s="5"/>
      <c r="J46" s="178"/>
      <c r="K46" s="177"/>
      <c r="L46" s="177"/>
      <c r="M46" s="177"/>
      <c r="N46" s="177"/>
      <c r="O46" s="177"/>
      <c r="P46" s="177"/>
      <c r="Q46" s="177"/>
      <c r="R46" s="178"/>
      <c r="S46" s="448" t="s">
        <v>763</v>
      </c>
      <c r="T46" s="428"/>
      <c r="U46" s="428"/>
      <c r="W46" s="3"/>
    </row>
    <row r="47" spans="1:23" s="4" customFormat="1" ht="15">
      <c r="A47" s="5"/>
      <c r="B47" s="191"/>
      <c r="C47" s="175"/>
      <c r="D47" s="175"/>
      <c r="E47" s="111"/>
      <c r="F47" s="176"/>
      <c r="G47" s="177"/>
      <c r="H47" s="5"/>
      <c r="I47" s="5"/>
      <c r="J47" s="178"/>
      <c r="K47" s="177"/>
      <c r="L47" s="177"/>
      <c r="M47" s="177"/>
      <c r="N47" s="177"/>
      <c r="O47" s="177"/>
      <c r="P47" s="177"/>
      <c r="Q47" s="177"/>
      <c r="R47" s="178"/>
      <c r="S47" s="448" t="s">
        <v>764</v>
      </c>
      <c r="T47" s="428"/>
      <c r="U47" s="428"/>
      <c r="W47" s="3"/>
    </row>
    <row r="48" spans="1:23" s="4" customFormat="1" ht="15">
      <c r="A48" s="5"/>
      <c r="B48" s="175"/>
      <c r="C48" s="175"/>
      <c r="D48" s="175"/>
      <c r="E48" s="111"/>
      <c r="F48" s="176"/>
      <c r="G48" s="177"/>
      <c r="H48" s="5"/>
      <c r="I48" s="5"/>
      <c r="J48" s="178"/>
      <c r="K48" s="177"/>
      <c r="L48" s="177"/>
      <c r="M48" s="177"/>
      <c r="N48" s="177"/>
      <c r="O48" s="177"/>
      <c r="P48" s="177"/>
      <c r="Q48" s="177"/>
      <c r="R48" s="178"/>
      <c r="S48" s="448" t="s">
        <v>765</v>
      </c>
      <c r="T48" s="428"/>
      <c r="U48" s="428"/>
      <c r="W48" s="3"/>
    </row>
    <row r="49" spans="1:27" s="4" customFormat="1" ht="15">
      <c r="A49" s="5"/>
      <c r="B49" s="175"/>
      <c r="C49" s="175"/>
      <c r="D49" s="175"/>
      <c r="E49" s="111"/>
      <c r="F49" s="176"/>
      <c r="G49" s="177"/>
      <c r="H49" s="5"/>
      <c r="I49" s="5"/>
      <c r="J49" s="178"/>
      <c r="K49" s="177"/>
      <c r="L49" s="177"/>
      <c r="M49" s="177"/>
      <c r="N49" s="177"/>
      <c r="O49" s="177"/>
      <c r="P49" s="177"/>
      <c r="Q49" s="177"/>
      <c r="R49" s="178"/>
      <c r="S49" s="448" t="s">
        <v>766</v>
      </c>
      <c r="T49" s="428"/>
      <c r="U49" s="428"/>
      <c r="W49" s="3"/>
    </row>
    <row r="50" spans="1:27" s="4" customFormat="1" ht="15">
      <c r="A50" s="5"/>
      <c r="B50" s="191"/>
      <c r="C50" s="5"/>
      <c r="D50" s="175"/>
      <c r="E50" s="111"/>
      <c r="F50" s="176"/>
      <c r="G50" s="177"/>
      <c r="H50" s="5"/>
      <c r="I50" s="5"/>
      <c r="J50" s="178"/>
      <c r="K50" s="177"/>
      <c r="L50" s="177"/>
      <c r="M50" s="177"/>
      <c r="N50" s="177"/>
      <c r="O50" s="177"/>
      <c r="P50" s="177"/>
      <c r="Q50" s="177"/>
      <c r="R50" s="178"/>
      <c r="S50" s="448" t="s">
        <v>767</v>
      </c>
      <c r="T50" s="428"/>
      <c r="U50" s="428"/>
      <c r="W50" s="3"/>
    </row>
    <row r="51" spans="1:27" s="4" customFormat="1" ht="15">
      <c r="A51" s="5"/>
      <c r="B51" s="423" t="s">
        <v>772</v>
      </c>
      <c r="C51" s="175"/>
      <c r="D51" s="175"/>
      <c r="E51" s="111"/>
      <c r="F51" s="176"/>
      <c r="G51" s="177"/>
      <c r="H51" s="5"/>
      <c r="I51" s="5"/>
      <c r="J51" s="178"/>
      <c r="K51" s="177"/>
      <c r="L51" s="177"/>
      <c r="M51" s="177"/>
      <c r="N51" s="177"/>
      <c r="O51" s="177"/>
      <c r="P51" s="177"/>
      <c r="Q51" s="177"/>
      <c r="R51" s="178"/>
      <c r="S51" s="448"/>
      <c r="T51" s="428"/>
      <c r="U51" s="428"/>
      <c r="W51" s="3"/>
    </row>
    <row r="52" spans="1:27" s="4" customFormat="1" ht="15">
      <c r="A52" s="178"/>
      <c r="B52" s="423" t="s">
        <v>953</v>
      </c>
      <c r="C52" s="175"/>
      <c r="D52" s="175"/>
      <c r="E52" s="111"/>
      <c r="F52" s="176"/>
      <c r="G52" s="177"/>
      <c r="H52" s="5"/>
      <c r="I52" s="5"/>
      <c r="J52" s="178"/>
      <c r="K52" s="177"/>
      <c r="L52" s="177"/>
      <c r="M52" s="177"/>
      <c r="N52" s="177"/>
      <c r="O52" s="177"/>
      <c r="P52" s="178"/>
      <c r="Q52" s="177"/>
      <c r="R52" s="177"/>
      <c r="S52" s="448"/>
      <c r="T52" s="428"/>
      <c r="U52" s="428"/>
      <c r="W52" s="3"/>
    </row>
    <row r="53" spans="1:27" s="4" customFormat="1" ht="15">
      <c r="A53" s="178"/>
      <c r="B53" s="242" t="s">
        <v>757</v>
      </c>
      <c r="C53" s="244" t="s">
        <v>758</v>
      </c>
      <c r="D53" s="247" t="s">
        <v>759</v>
      </c>
      <c r="E53" s="419"/>
      <c r="F53" s="420"/>
      <c r="G53" s="421"/>
      <c r="H53" s="422"/>
      <c r="I53" s="421"/>
      <c r="J53" s="422"/>
      <c r="K53" s="421"/>
      <c r="L53" s="422"/>
      <c r="M53" s="421"/>
      <c r="N53" s="424" t="s">
        <v>760</v>
      </c>
      <c r="O53" s="177"/>
      <c r="P53" s="178"/>
      <c r="Q53" s="177"/>
      <c r="R53" s="177"/>
      <c r="S53" s="448" t="s">
        <v>769</v>
      </c>
      <c r="T53" s="428"/>
      <c r="U53" s="428"/>
      <c r="W53" s="3"/>
    </row>
    <row r="54" spans="1:27" s="4" customFormat="1" ht="15">
      <c r="A54" s="178"/>
      <c r="B54" s="196" t="s">
        <v>774</v>
      </c>
      <c r="C54" s="620" t="s">
        <v>954</v>
      </c>
      <c r="D54" s="614" t="s">
        <v>955</v>
      </c>
      <c r="E54" s="621"/>
      <c r="F54" s="615"/>
      <c r="G54" s="616"/>
      <c r="H54" s="617"/>
      <c r="I54" s="617"/>
      <c r="J54" s="617"/>
      <c r="K54" s="617"/>
      <c r="L54" s="616"/>
      <c r="M54" s="618"/>
      <c r="N54" s="619">
        <v>304</v>
      </c>
      <c r="O54" s="177"/>
      <c r="P54" s="178"/>
      <c r="Q54" s="177"/>
      <c r="R54" s="177"/>
      <c r="S54" s="448" t="s">
        <v>770</v>
      </c>
      <c r="T54" s="428"/>
      <c r="U54" s="428"/>
      <c r="W54" s="3"/>
    </row>
    <row r="55" spans="1:27" s="4" customFormat="1" ht="15">
      <c r="A55" s="5"/>
      <c r="B55" s="666"/>
      <c r="C55" s="5"/>
      <c r="D55" s="175"/>
      <c r="E55" s="111"/>
      <c r="F55" s="176"/>
      <c r="G55" s="177"/>
      <c r="H55" s="5"/>
      <c r="I55" s="5"/>
      <c r="J55" s="178"/>
      <c r="K55" s="177"/>
      <c r="L55" s="177"/>
      <c r="M55" s="177"/>
      <c r="N55" s="177"/>
      <c r="O55" s="177"/>
      <c r="P55" s="177"/>
      <c r="Q55" s="177"/>
      <c r="R55" s="178"/>
      <c r="S55" s="448" t="s">
        <v>771</v>
      </c>
      <c r="T55" s="428"/>
      <c r="U55" s="428"/>
      <c r="W55" s="3"/>
    </row>
    <row r="56" spans="1:27" s="4" customFormat="1" ht="15">
      <c r="A56" s="5"/>
      <c r="B56" s="191"/>
      <c r="C56" s="5"/>
      <c r="D56" s="175"/>
      <c r="E56" s="111"/>
      <c r="F56" s="176"/>
      <c r="G56" s="177"/>
      <c r="H56" s="5"/>
      <c r="I56" s="5"/>
      <c r="J56" s="178"/>
      <c r="K56" s="177"/>
      <c r="L56" s="177"/>
      <c r="M56" s="177"/>
      <c r="N56" s="177"/>
      <c r="O56" s="177"/>
      <c r="P56" s="177"/>
      <c r="Q56" s="177"/>
      <c r="R56" s="178"/>
      <c r="S56" s="448" t="s">
        <v>773</v>
      </c>
      <c r="T56" s="428"/>
      <c r="U56" s="428"/>
      <c r="W56" s="3"/>
    </row>
    <row r="57" spans="1:27" s="4" customFormat="1" ht="15">
      <c r="A57" s="5"/>
      <c r="B57" s="423" t="s">
        <v>956</v>
      </c>
      <c r="C57" s="175"/>
      <c r="D57" s="175"/>
      <c r="E57" s="111"/>
      <c r="F57" s="176"/>
      <c r="G57" s="177"/>
      <c r="H57" s="5"/>
      <c r="I57" s="5"/>
      <c r="J57" s="178"/>
      <c r="K57" s="177"/>
      <c r="L57" s="177"/>
      <c r="M57" s="177"/>
      <c r="N57" s="177"/>
      <c r="O57" s="177"/>
      <c r="P57" s="178"/>
      <c r="Q57" s="177"/>
      <c r="R57" s="177"/>
      <c r="S57" s="448" t="s">
        <v>964</v>
      </c>
      <c r="T57" s="428"/>
      <c r="U57" s="428"/>
      <c r="W57" s="3"/>
    </row>
    <row r="58" spans="1:27" s="4" customFormat="1" ht="15">
      <c r="A58" s="5"/>
      <c r="B58" s="242" t="s">
        <v>757</v>
      </c>
      <c r="C58" s="242" t="s">
        <v>758</v>
      </c>
      <c r="D58" s="424" t="s">
        <v>759</v>
      </c>
      <c r="E58" s="741"/>
      <c r="F58" s="420"/>
      <c r="G58" s="421"/>
      <c r="H58" s="422"/>
      <c r="I58" s="421"/>
      <c r="J58" s="422"/>
      <c r="K58" s="421"/>
      <c r="L58" s="422"/>
      <c r="M58" s="742"/>
      <c r="N58" s="424" t="s">
        <v>760</v>
      </c>
      <c r="O58" s="177"/>
      <c r="P58" s="178"/>
      <c r="Q58" s="177"/>
      <c r="R58" s="177"/>
      <c r="S58" s="448" t="s">
        <v>775</v>
      </c>
      <c r="T58" s="428"/>
      <c r="U58" s="428"/>
      <c r="W58" s="3"/>
    </row>
    <row r="59" spans="1:27" s="4" customFormat="1" ht="15">
      <c r="A59" s="5"/>
      <c r="B59" s="196" t="s">
        <v>774</v>
      </c>
      <c r="C59" s="620" t="s">
        <v>957</v>
      </c>
      <c r="D59" s="737" t="s">
        <v>1020</v>
      </c>
      <c r="E59" s="738"/>
      <c r="F59" s="739"/>
      <c r="G59" s="740"/>
      <c r="H59" s="743"/>
      <c r="I59" s="617"/>
      <c r="J59" s="617"/>
      <c r="K59" s="617"/>
      <c r="L59" s="616"/>
      <c r="M59" s="618"/>
      <c r="N59" s="619">
        <v>141</v>
      </c>
      <c r="O59" s="177"/>
      <c r="P59" s="178"/>
      <c r="Q59" s="177"/>
      <c r="R59" s="177"/>
      <c r="S59" s="448"/>
      <c r="T59" s="723"/>
      <c r="U59" s="723"/>
      <c r="V59" s="710"/>
      <c r="W59" s="710"/>
      <c r="X59" s="710"/>
      <c r="Y59" s="710"/>
      <c r="Z59" s="711"/>
      <c r="AA59" s="712"/>
    </row>
    <row r="60" spans="1:27" s="4" customFormat="1" ht="15">
      <c r="A60" s="5"/>
      <c r="B60" s="696"/>
      <c r="C60" s="724"/>
      <c r="D60" s="725"/>
      <c r="E60" s="726"/>
      <c r="F60" s="727"/>
      <c r="G60" s="728"/>
      <c r="H60" s="729"/>
      <c r="I60" s="729"/>
      <c r="J60" s="729"/>
      <c r="K60" s="729"/>
      <c r="L60" s="728"/>
      <c r="M60" s="728"/>
      <c r="N60" s="730"/>
      <c r="O60" s="177"/>
      <c r="P60" s="178"/>
      <c r="Q60" s="177"/>
      <c r="R60" s="177"/>
      <c r="S60" s="448"/>
      <c r="T60" s="723"/>
      <c r="U60" s="723"/>
      <c r="V60" s="710"/>
      <c r="W60" s="710"/>
      <c r="X60" s="710"/>
      <c r="Y60" s="710"/>
      <c r="Z60" s="711"/>
      <c r="AA60" s="712"/>
    </row>
    <row r="61" spans="1:27" s="4" customFormat="1" ht="19.7" customHeight="1">
      <c r="A61" s="5"/>
      <c r="B61" s="696"/>
      <c r="C61" s="724"/>
      <c r="D61" s="725"/>
      <c r="E61" s="726"/>
      <c r="F61" s="727"/>
      <c r="G61" s="728"/>
      <c r="H61" s="729"/>
      <c r="I61" s="729"/>
      <c r="J61" s="729"/>
      <c r="K61" s="729"/>
      <c r="L61" s="728"/>
      <c r="M61" s="728"/>
      <c r="N61" s="730"/>
      <c r="O61" s="177"/>
      <c r="P61" s="178"/>
      <c r="Q61" s="177"/>
      <c r="R61" s="177"/>
      <c r="S61" s="448"/>
      <c r="T61" s="723"/>
      <c r="U61" s="723"/>
      <c r="V61" s="710"/>
      <c r="W61" s="710"/>
      <c r="X61" s="710"/>
      <c r="Y61" s="710"/>
      <c r="Z61" s="711"/>
      <c r="AA61" s="712"/>
    </row>
    <row r="62" spans="1:27" s="4" customFormat="1" ht="18.399999999999999" customHeight="1">
      <c r="A62" s="5"/>
      <c r="B62" s="242" t="s">
        <v>757</v>
      </c>
      <c r="C62" s="242" t="s">
        <v>758</v>
      </c>
      <c r="D62" s="424" t="s">
        <v>759</v>
      </c>
      <c r="E62" s="741"/>
      <c r="F62" s="420"/>
      <c r="G62" s="421"/>
      <c r="H62" s="422"/>
      <c r="I62" s="421"/>
      <c r="J62" s="422"/>
      <c r="K62" s="421"/>
      <c r="L62" s="422"/>
      <c r="M62" s="742"/>
      <c r="N62" s="424" t="s">
        <v>760</v>
      </c>
      <c r="O62" s="177"/>
      <c r="P62" s="177"/>
      <c r="Q62" s="177"/>
      <c r="R62" s="178"/>
      <c r="S62" s="448" t="s">
        <v>776</v>
      </c>
      <c r="T62" s="723"/>
      <c r="U62" s="723"/>
      <c r="V62" s="710"/>
      <c r="W62" s="710"/>
      <c r="X62" s="710"/>
      <c r="Y62" s="710"/>
      <c r="AA62" s="712"/>
    </row>
    <row r="63" spans="1:27" s="4" customFormat="1" ht="15">
      <c r="A63" s="5"/>
      <c r="B63" s="196" t="s">
        <v>774</v>
      </c>
      <c r="C63" s="620" t="s">
        <v>957</v>
      </c>
      <c r="D63" s="737" t="s">
        <v>1021</v>
      </c>
      <c r="E63" s="738"/>
      <c r="F63" s="739"/>
      <c r="G63" s="740"/>
      <c r="H63" s="743"/>
      <c r="I63" s="617"/>
      <c r="J63" s="617"/>
      <c r="K63" s="617"/>
      <c r="L63" s="616"/>
      <c r="M63" s="618"/>
      <c r="N63" s="619">
        <v>129</v>
      </c>
      <c r="O63" s="177"/>
      <c r="P63" s="178"/>
      <c r="Q63" s="177"/>
      <c r="R63" s="177"/>
      <c r="S63" s="448" t="s">
        <v>777</v>
      </c>
      <c r="T63" s="723"/>
      <c r="U63" s="723"/>
      <c r="V63" s="710"/>
      <c r="W63" s="710"/>
      <c r="X63" s="710"/>
      <c r="Y63" s="710"/>
      <c r="AA63" s="712"/>
    </row>
    <row r="64" spans="1:27" s="4" customFormat="1" ht="15">
      <c r="A64" s="5"/>
      <c r="B64" s="191"/>
      <c r="C64" s="5"/>
      <c r="D64" s="175"/>
      <c r="E64" s="111"/>
      <c r="F64" s="176"/>
      <c r="G64" s="177"/>
      <c r="H64" s="5"/>
      <c r="I64" s="5"/>
      <c r="J64" s="178"/>
      <c r="K64" s="177"/>
      <c r="L64" s="177"/>
      <c r="M64" s="177"/>
      <c r="N64" s="177"/>
      <c r="O64" s="177"/>
      <c r="P64" s="178"/>
      <c r="Q64" s="177"/>
      <c r="R64" s="177"/>
      <c r="S64" s="448" t="s">
        <v>778</v>
      </c>
      <c r="T64" s="428"/>
      <c r="U64" s="428"/>
      <c r="W64" s="3"/>
    </row>
    <row r="65" spans="1:31" s="4" customFormat="1" ht="15">
      <c r="A65" s="5"/>
      <c r="B65" s="423" t="s">
        <v>1016</v>
      </c>
      <c r="C65" s="175"/>
      <c r="D65" s="175"/>
      <c r="E65" s="111"/>
      <c r="F65" s="176"/>
      <c r="G65" s="177"/>
      <c r="H65" s="5"/>
      <c r="I65" s="5"/>
      <c r="J65" s="178"/>
      <c r="K65" s="177"/>
      <c r="L65" s="177"/>
      <c r="M65" s="177"/>
      <c r="N65" s="177"/>
      <c r="O65" s="177"/>
      <c r="P65" s="178"/>
      <c r="Q65" s="177"/>
      <c r="R65" s="177"/>
      <c r="S65" s="448" t="s">
        <v>779</v>
      </c>
      <c r="T65" s="428"/>
      <c r="U65" s="428"/>
      <c r="W65" s="3"/>
    </row>
    <row r="66" spans="1:31" s="4" customFormat="1" ht="15">
      <c r="A66" s="5"/>
      <c r="B66" s="242" t="s">
        <v>757</v>
      </c>
      <c r="C66" s="244" t="s">
        <v>758</v>
      </c>
      <c r="D66" s="247" t="s">
        <v>759</v>
      </c>
      <c r="E66" s="419"/>
      <c r="F66" s="420"/>
      <c r="G66" s="421"/>
      <c r="H66" s="422"/>
      <c r="I66" s="421"/>
      <c r="J66" s="422"/>
      <c r="K66" s="421"/>
      <c r="L66" s="422"/>
      <c r="M66" s="421"/>
      <c r="N66" s="424" t="s">
        <v>760</v>
      </c>
      <c r="O66" s="177"/>
      <c r="P66" s="178"/>
      <c r="Q66" s="177"/>
      <c r="R66" s="177"/>
      <c r="S66" s="448" t="s">
        <v>780</v>
      </c>
      <c r="T66" s="723"/>
      <c r="U66" s="723"/>
      <c r="V66" s="710"/>
      <c r="W66" s="710"/>
      <c r="X66" s="710"/>
      <c r="Y66" s="710"/>
      <c r="Z66" s="711"/>
      <c r="AA66" s="712"/>
    </row>
    <row r="67" spans="1:31" s="4" customFormat="1" ht="15">
      <c r="A67" s="5"/>
      <c r="B67" s="196" t="s">
        <v>774</v>
      </c>
      <c r="C67" s="620" t="s">
        <v>1017</v>
      </c>
      <c r="D67" s="614" t="s">
        <v>1018</v>
      </c>
      <c r="E67" s="621"/>
      <c r="F67" s="615"/>
      <c r="G67" s="616"/>
      <c r="H67" s="617"/>
      <c r="I67" s="617"/>
      <c r="J67" s="617"/>
      <c r="K67" s="617"/>
      <c r="L67" s="616"/>
      <c r="M67" s="618"/>
      <c r="N67" s="619">
        <v>99</v>
      </c>
      <c r="O67" s="177"/>
      <c r="P67" s="178"/>
      <c r="Q67" s="177"/>
      <c r="R67" s="177"/>
      <c r="S67" s="448" t="s">
        <v>781</v>
      </c>
      <c r="T67" s="723"/>
      <c r="U67" s="723"/>
      <c r="V67" s="710"/>
      <c r="W67" s="710"/>
      <c r="X67" s="710"/>
      <c r="Y67" s="710"/>
      <c r="Z67" s="711"/>
      <c r="AA67" s="712"/>
    </row>
    <row r="68" spans="1:31" s="4" customFormat="1" ht="15">
      <c r="A68" s="5"/>
      <c r="B68" s="694"/>
      <c r="C68" s="5"/>
      <c r="D68" s="175"/>
      <c r="E68" s="111"/>
      <c r="F68" s="176"/>
      <c r="G68" s="177"/>
      <c r="H68" s="5"/>
      <c r="I68" s="5"/>
      <c r="J68" s="178"/>
      <c r="K68" s="177"/>
      <c r="L68" s="177"/>
      <c r="M68" s="177"/>
      <c r="N68" s="177"/>
      <c r="O68" s="177"/>
      <c r="P68" s="178"/>
      <c r="Q68" s="177"/>
      <c r="R68" s="177"/>
      <c r="S68" s="448" t="s">
        <v>782</v>
      </c>
      <c r="T68" s="723"/>
      <c r="U68" s="723"/>
      <c r="V68" s="710"/>
      <c r="W68" s="710"/>
      <c r="X68" s="710"/>
      <c r="Y68" s="710"/>
      <c r="Z68" s="711"/>
      <c r="AA68" s="712"/>
    </row>
    <row r="69" spans="1:31" s="4" customFormat="1" ht="15">
      <c r="A69" s="5"/>
      <c r="B69" s="423" t="s">
        <v>1023</v>
      </c>
      <c r="C69" s="175"/>
      <c r="D69" s="175"/>
      <c r="E69" s="111"/>
      <c r="F69" s="176"/>
      <c r="G69" s="177"/>
      <c r="H69" s="5"/>
      <c r="I69" s="5"/>
      <c r="J69" s="178"/>
      <c r="K69" s="177"/>
      <c r="L69" s="177"/>
      <c r="M69" s="177"/>
      <c r="N69" s="177"/>
      <c r="O69" s="177"/>
      <c r="P69" s="177"/>
      <c r="Q69" s="177"/>
      <c r="R69" s="178"/>
      <c r="S69" s="448" t="s">
        <v>766</v>
      </c>
      <c r="T69" s="428"/>
      <c r="U69" s="428"/>
      <c r="W69" s="3"/>
    </row>
    <row r="70" spans="1:31" s="4" customFormat="1" ht="15">
      <c r="A70" s="5"/>
      <c r="B70" s="242" t="s">
        <v>757</v>
      </c>
      <c r="C70" s="244" t="s">
        <v>758</v>
      </c>
      <c r="D70" s="247" t="s">
        <v>759</v>
      </c>
      <c r="E70" s="419"/>
      <c r="F70" s="420"/>
      <c r="G70" s="421"/>
      <c r="H70" s="422"/>
      <c r="I70" s="421"/>
      <c r="J70" s="422"/>
      <c r="K70" s="421"/>
      <c r="L70" s="422"/>
      <c r="M70" s="421"/>
      <c r="N70" s="424" t="s">
        <v>760</v>
      </c>
      <c r="O70" s="177"/>
      <c r="P70" s="177"/>
      <c r="Q70" s="177"/>
      <c r="R70" s="178"/>
      <c r="S70" s="448" t="s">
        <v>783</v>
      </c>
      <c r="T70" s="723"/>
      <c r="U70" s="723"/>
      <c r="V70" s="710"/>
      <c r="W70" s="710"/>
      <c r="X70" s="710"/>
      <c r="Y70" s="710"/>
      <c r="Z70" s="711"/>
      <c r="AA70" s="712"/>
    </row>
    <row r="71" spans="1:31" s="4" customFormat="1" ht="15">
      <c r="A71" s="5"/>
      <c r="B71" s="196" t="s">
        <v>774</v>
      </c>
      <c r="C71" s="620" t="s">
        <v>1024</v>
      </c>
      <c r="D71" s="614" t="s">
        <v>1025</v>
      </c>
      <c r="E71" s="621"/>
      <c r="F71" s="615"/>
      <c r="G71" s="616"/>
      <c r="H71" s="617"/>
      <c r="I71" s="617"/>
      <c r="J71" s="617"/>
      <c r="K71" s="617"/>
      <c r="L71" s="616"/>
      <c r="M71" s="618"/>
      <c r="N71" s="619">
        <v>4.7</v>
      </c>
      <c r="O71" s="177"/>
      <c r="P71" s="177"/>
      <c r="Q71" s="177"/>
      <c r="R71" s="178"/>
      <c r="S71" s="448" t="s">
        <v>784</v>
      </c>
      <c r="T71" s="723"/>
      <c r="U71" s="723"/>
      <c r="V71" s="710"/>
      <c r="W71" s="710"/>
      <c r="X71" s="710"/>
      <c r="Y71" s="710"/>
      <c r="Z71" s="711"/>
      <c r="AA71" s="712"/>
    </row>
    <row r="72" spans="1:31" s="4" customFormat="1" ht="15">
      <c r="A72" s="5"/>
      <c r="B72" s="243"/>
      <c r="C72" s="724"/>
      <c r="D72" s="725"/>
      <c r="E72" s="726"/>
      <c r="F72" s="727"/>
      <c r="G72" s="728"/>
      <c r="H72" s="729"/>
      <c r="I72" s="729"/>
      <c r="J72" s="729"/>
      <c r="K72" s="729"/>
      <c r="L72" s="728"/>
      <c r="M72" s="728"/>
      <c r="N72" s="730"/>
      <c r="O72" s="177"/>
      <c r="P72" s="177"/>
      <c r="Q72" s="177"/>
      <c r="R72" s="178"/>
      <c r="S72" s="448"/>
      <c r="T72" s="723"/>
      <c r="U72" s="723"/>
      <c r="V72" s="710"/>
      <c r="W72" s="710"/>
      <c r="X72" s="710"/>
      <c r="Y72" s="710"/>
      <c r="Z72" s="711"/>
      <c r="AA72" s="712"/>
    </row>
    <row r="73" spans="1:31" s="241" customFormat="1" ht="15">
      <c r="A73" s="5"/>
      <c r="B73" s="423" t="s">
        <v>1012</v>
      </c>
      <c r="C73" s="175"/>
      <c r="D73" s="175"/>
      <c r="E73" s="111"/>
      <c r="F73" s="176"/>
      <c r="G73" s="177"/>
      <c r="H73" s="5"/>
      <c r="I73" s="5"/>
      <c r="J73" s="178"/>
      <c r="K73" s="177"/>
      <c r="L73" s="177"/>
      <c r="M73" s="177"/>
      <c r="N73" s="177"/>
      <c r="O73" s="177"/>
      <c r="P73" s="177"/>
      <c r="Q73" s="177"/>
      <c r="R73" s="178"/>
      <c r="S73" s="447"/>
      <c r="T73" s="723"/>
      <c r="U73" s="723"/>
      <c r="V73" s="710"/>
      <c r="W73" s="710"/>
      <c r="X73" s="710"/>
      <c r="Y73" s="710"/>
      <c r="Z73" s="711"/>
      <c r="AA73" s="712"/>
      <c r="AB73" s="4"/>
      <c r="AC73" s="4"/>
      <c r="AD73" s="4"/>
      <c r="AE73" s="4"/>
    </row>
    <row r="74" spans="1:31" s="4" customFormat="1" ht="15">
      <c r="A74" s="5"/>
      <c r="B74" s="242" t="s">
        <v>757</v>
      </c>
      <c r="C74" s="244" t="s">
        <v>758</v>
      </c>
      <c r="D74" s="247" t="s">
        <v>759</v>
      </c>
      <c r="E74" s="419"/>
      <c r="F74" s="420"/>
      <c r="G74" s="421"/>
      <c r="H74" s="422"/>
      <c r="I74" s="421"/>
      <c r="J74" s="422"/>
      <c r="K74" s="421"/>
      <c r="L74" s="422"/>
      <c r="M74" s="421"/>
      <c r="N74" s="424" t="s">
        <v>760</v>
      </c>
      <c r="O74" s="177"/>
      <c r="P74" s="177"/>
      <c r="Q74" s="177"/>
      <c r="R74" s="178"/>
      <c r="S74" s="447"/>
      <c r="T74" s="723"/>
      <c r="U74" s="723"/>
      <c r="V74" s="710"/>
      <c r="W74" s="710"/>
      <c r="X74" s="710"/>
      <c r="Y74" s="710"/>
      <c r="Z74" s="711"/>
      <c r="AA74" s="712"/>
    </row>
    <row r="75" spans="1:31" s="4" customFormat="1" ht="15">
      <c r="A75" s="5"/>
      <c r="B75" s="196" t="s">
        <v>774</v>
      </c>
      <c r="C75" s="620" t="s">
        <v>1013</v>
      </c>
      <c r="D75" s="614" t="s">
        <v>1014</v>
      </c>
      <c r="E75" s="621"/>
      <c r="F75" s="615"/>
      <c r="G75" s="616"/>
      <c r="H75" s="617"/>
      <c r="I75" s="617"/>
      <c r="J75" s="617"/>
      <c r="K75" s="617"/>
      <c r="L75" s="616"/>
      <c r="M75" s="618"/>
      <c r="N75" s="619">
        <v>135</v>
      </c>
      <c r="O75" s="177"/>
      <c r="P75" s="177"/>
      <c r="Q75" s="177"/>
      <c r="R75" s="178"/>
      <c r="S75" s="447"/>
      <c r="T75" s="723"/>
      <c r="U75" s="723"/>
      <c r="V75" s="710"/>
      <c r="W75" s="710"/>
      <c r="X75" s="710"/>
      <c r="Y75" s="710"/>
      <c r="Z75" s="711"/>
      <c r="AA75" s="712"/>
    </row>
    <row r="76" spans="1:31" s="4" customFormat="1" ht="15">
      <c r="A76" s="5"/>
      <c r="B76" s="666" t="s">
        <v>768</v>
      </c>
      <c r="C76" s="5"/>
      <c r="D76" s="175"/>
      <c r="E76" s="111"/>
      <c r="F76" s="176"/>
      <c r="G76" s="177"/>
      <c r="H76" s="5"/>
      <c r="I76" s="5"/>
      <c r="J76" s="178"/>
      <c r="K76" s="177"/>
      <c r="L76" s="177"/>
      <c r="M76" s="177"/>
      <c r="N76" s="177"/>
      <c r="O76" s="177"/>
      <c r="P76" s="177"/>
      <c r="Q76" s="177"/>
      <c r="R76" s="178"/>
      <c r="S76" s="447"/>
      <c r="T76" s="723"/>
      <c r="U76" s="723"/>
      <c r="V76" s="710"/>
      <c r="W76" s="710"/>
      <c r="X76" s="710"/>
      <c r="Y76" s="710"/>
      <c r="Z76" s="711"/>
      <c r="AA76" s="712"/>
    </row>
    <row r="77" spans="1:31" s="4" customFormat="1" ht="15">
      <c r="A77" s="5"/>
      <c r="B77" s="191"/>
      <c r="C77" s="5"/>
      <c r="D77" s="175"/>
      <c r="E77" s="111"/>
      <c r="F77" s="176"/>
      <c r="G77" s="177"/>
      <c r="H77" s="5"/>
      <c r="I77" s="5"/>
      <c r="J77" s="178"/>
      <c r="K77" s="177"/>
      <c r="L77" s="177"/>
      <c r="M77" s="177"/>
      <c r="N77" s="177"/>
      <c r="O77" s="177"/>
      <c r="P77" s="177"/>
      <c r="Q77" s="177"/>
      <c r="R77" s="178"/>
      <c r="S77" s="449"/>
      <c r="T77" s="428"/>
      <c r="U77" s="428"/>
      <c r="W77" s="3"/>
    </row>
    <row r="78" spans="1:31" s="241" customFormat="1" ht="15">
      <c r="A78" s="5"/>
      <c r="B78" s="423" t="s">
        <v>1026</v>
      </c>
      <c r="C78" s="175"/>
      <c r="D78" s="175"/>
      <c r="E78" s="111"/>
      <c r="F78" s="176"/>
      <c r="G78" s="177"/>
      <c r="H78" s="5"/>
      <c r="I78" s="5"/>
      <c r="J78" s="178"/>
      <c r="K78" s="177"/>
      <c r="L78" s="177"/>
      <c r="M78" s="177"/>
      <c r="N78" s="177"/>
      <c r="O78" s="177"/>
      <c r="P78" s="177"/>
      <c r="Q78" s="177"/>
      <c r="R78" s="178"/>
      <c r="S78" s="428"/>
      <c r="T78" s="723"/>
      <c r="U78" s="723"/>
      <c r="V78" s="710"/>
      <c r="W78" s="710"/>
      <c r="X78" s="710"/>
      <c r="Y78" s="710"/>
      <c r="Z78" s="711"/>
      <c r="AA78" s="712"/>
      <c r="AB78" s="4"/>
      <c r="AC78" s="4"/>
      <c r="AD78" s="4"/>
      <c r="AE78" s="4"/>
    </row>
    <row r="79" spans="1:31" s="4" customFormat="1" ht="15">
      <c r="A79" s="5"/>
      <c r="B79" s="242" t="s">
        <v>757</v>
      </c>
      <c r="C79" s="242" t="s">
        <v>1028</v>
      </c>
      <c r="D79" s="720"/>
      <c r="E79" s="721"/>
      <c r="F79" s="722"/>
      <c r="G79" s="723"/>
      <c r="H79" s="428"/>
      <c r="I79" s="723"/>
      <c r="J79" s="428"/>
      <c r="K79" s="723"/>
      <c r="L79" s="428"/>
      <c r="M79" s="723"/>
      <c r="N79" s="720"/>
      <c r="O79" s="177"/>
      <c r="P79" s="177"/>
      <c r="Q79" s="177"/>
      <c r="R79" s="178"/>
      <c r="S79" s="428"/>
      <c r="T79" s="723"/>
      <c r="U79" s="723"/>
      <c r="V79" s="710"/>
      <c r="W79" s="710"/>
      <c r="X79" s="710"/>
      <c r="Y79" s="710"/>
      <c r="Z79" s="711"/>
      <c r="AA79" s="712"/>
    </row>
    <row r="80" spans="1:31" s="4" customFormat="1" ht="15">
      <c r="A80" s="5"/>
      <c r="B80" s="196" t="s">
        <v>774</v>
      </c>
      <c r="C80" s="744">
        <v>34</v>
      </c>
      <c r="D80" s="725"/>
      <c r="E80" s="726"/>
      <c r="F80" s="727"/>
      <c r="G80" s="728"/>
      <c r="H80" s="729"/>
      <c r="I80" s="729"/>
      <c r="J80" s="729"/>
      <c r="K80" s="729"/>
      <c r="L80" s="728"/>
      <c r="M80" s="728"/>
      <c r="N80" s="730"/>
      <c r="O80" s="177"/>
      <c r="P80" s="177"/>
      <c r="Q80" s="177"/>
      <c r="R80" s="178"/>
      <c r="S80" s="428"/>
      <c r="T80" s="723"/>
      <c r="U80" s="723"/>
      <c r="V80" s="710"/>
      <c r="W80" s="710"/>
      <c r="X80" s="710"/>
      <c r="Y80" s="710"/>
      <c r="Z80" s="711"/>
      <c r="AA80" s="712"/>
    </row>
    <row r="81" spans="1:24" s="4" customFormat="1" ht="15">
      <c r="A81" s="5"/>
      <c r="B81" s="192"/>
      <c r="C81" s="5"/>
      <c r="D81" s="175"/>
      <c r="E81" s="111"/>
      <c r="F81" s="176"/>
      <c r="G81" s="177"/>
      <c r="H81" s="5"/>
      <c r="I81" s="5"/>
      <c r="J81" s="178"/>
      <c r="K81" s="177"/>
      <c r="L81" s="177"/>
      <c r="M81" s="177"/>
      <c r="N81" s="177"/>
      <c r="O81" s="177"/>
      <c r="P81" s="177"/>
      <c r="Q81" s="177"/>
      <c r="R81" s="178"/>
      <c r="S81" s="428"/>
      <c r="T81" s="428"/>
      <c r="U81" s="428"/>
      <c r="W81" s="3"/>
    </row>
    <row r="82" spans="1:24" s="4" customFormat="1" ht="15">
      <c r="A82" s="5"/>
      <c r="B82" s="192" t="s">
        <v>1033</v>
      </c>
      <c r="C82" s="5"/>
      <c r="D82" s="175"/>
      <c r="E82" s="111"/>
      <c r="F82" s="176"/>
      <c r="G82" s="177"/>
      <c r="H82" s="5"/>
      <c r="I82" s="5"/>
      <c r="J82" s="178"/>
      <c r="K82" s="177"/>
      <c r="L82" s="177"/>
      <c r="M82" s="177"/>
      <c r="N82" s="177"/>
      <c r="O82" s="177"/>
      <c r="P82" s="177"/>
      <c r="Q82" s="177"/>
      <c r="R82" s="178"/>
      <c r="S82" s="428"/>
      <c r="T82" s="428"/>
      <c r="U82" s="428"/>
      <c r="W82" s="3"/>
    </row>
    <row r="83" spans="1:24" s="4" customFormat="1" ht="15">
      <c r="A83" s="5"/>
      <c r="B83" s="732" t="s">
        <v>1031</v>
      </c>
      <c r="C83"/>
      <c r="D83" s="175"/>
      <c r="E83" s="111"/>
      <c r="F83" s="176"/>
      <c r="G83" s="177"/>
      <c r="H83" s="5"/>
      <c r="I83" s="5"/>
      <c r="J83" s="178"/>
      <c r="K83" s="177"/>
      <c r="L83" s="177"/>
      <c r="M83" s="177"/>
      <c r="N83" s="177"/>
      <c r="O83" s="177"/>
      <c r="P83" s="177"/>
      <c r="Q83" s="177"/>
      <c r="R83" s="178"/>
      <c r="S83" s="428"/>
      <c r="T83" s="428"/>
      <c r="U83" s="428"/>
      <c r="W83" s="3"/>
    </row>
    <row r="84" spans="1:24" s="4" customFormat="1" ht="15">
      <c r="A84" s="5"/>
      <c r="B84" s="732" t="s">
        <v>1034</v>
      </c>
      <c r="C84"/>
      <c r="D84" s="175"/>
      <c r="E84" s="111"/>
      <c r="F84" s="176"/>
      <c r="G84" s="177"/>
      <c r="H84" s="5"/>
      <c r="I84" s="5"/>
      <c r="J84" s="178"/>
      <c r="K84" s="177"/>
      <c r="L84" s="177"/>
      <c r="M84" s="177"/>
      <c r="N84" s="177"/>
      <c r="O84" s="177"/>
      <c r="P84" s="177"/>
      <c r="Q84" s="177"/>
      <c r="R84" s="178"/>
      <c r="S84" s="428"/>
      <c r="T84" s="428"/>
      <c r="U84" s="428"/>
      <c r="W84" s="3"/>
    </row>
    <row r="85" spans="1:24" s="4" customFormat="1" ht="15">
      <c r="A85" s="5"/>
      <c r="B85" s="192"/>
      <c r="C85"/>
      <c r="D85" s="175"/>
      <c r="E85" s="111"/>
      <c r="F85" s="176"/>
      <c r="G85" s="177"/>
      <c r="H85" s="5"/>
      <c r="I85" s="5"/>
      <c r="J85" s="178"/>
      <c r="K85" s="177"/>
      <c r="L85" s="177"/>
      <c r="M85" s="177"/>
      <c r="N85" s="177"/>
      <c r="O85" s="177"/>
      <c r="P85" s="177"/>
      <c r="Q85" s="177"/>
      <c r="R85" s="178"/>
      <c r="S85" s="428"/>
      <c r="T85" s="428"/>
      <c r="U85" s="428"/>
      <c r="W85" s="3"/>
    </row>
    <row r="86" spans="1:24" s="4" customFormat="1" ht="15">
      <c r="A86" s="5"/>
      <c r="B86" s="239" t="s">
        <v>785</v>
      </c>
      <c r="C86" s="5"/>
      <c r="D86" s="5"/>
      <c r="E86" s="5"/>
      <c r="F86" s="5"/>
      <c r="G86" s="5"/>
      <c r="H86" s="5"/>
      <c r="I86" s="5"/>
      <c r="J86" s="5"/>
      <c r="K86" s="5"/>
      <c r="L86" s="5"/>
      <c r="M86" s="5"/>
      <c r="N86" s="5"/>
      <c r="O86" s="5"/>
      <c r="P86" s="5"/>
      <c r="Q86" s="177"/>
      <c r="R86" s="714"/>
      <c r="S86" s="428"/>
      <c r="T86" s="428"/>
      <c r="U86" s="428"/>
      <c r="W86" s="3"/>
    </row>
    <row r="87" spans="1:24" s="4" customFormat="1" ht="15">
      <c r="A87" s="5"/>
      <c r="B87" t="s">
        <v>789</v>
      </c>
      <c r="C87" s="5"/>
      <c r="D87" s="5"/>
      <c r="E87" s="5"/>
      <c r="F87" s="5"/>
      <c r="G87" s="5"/>
      <c r="H87" s="5"/>
      <c r="I87" s="426"/>
      <c r="J87" s="422"/>
      <c r="K87" s="429" t="s">
        <v>50</v>
      </c>
      <c r="L87" s="422"/>
      <c r="M87" s="427"/>
      <c r="N87" s="177"/>
      <c r="O87" s="426"/>
      <c r="P87" s="422"/>
      <c r="Q87" s="430" t="s">
        <v>55</v>
      </c>
      <c r="R87" s="430"/>
      <c r="S87" s="427"/>
      <c r="T87" s="715"/>
      <c r="U87" s="428"/>
      <c r="X87" s="3"/>
    </row>
    <row r="88" spans="1:24" s="4" customFormat="1" ht="135">
      <c r="A88" s="5"/>
      <c r="B88" s="245" t="s">
        <v>786</v>
      </c>
      <c r="C88" s="245" t="s">
        <v>1124</v>
      </c>
      <c r="D88" s="245" t="s">
        <v>1088</v>
      </c>
      <c r="E88" s="245" t="s">
        <v>1125</v>
      </c>
      <c r="F88" s="245" t="s">
        <v>971</v>
      </c>
      <c r="G88" s="245" t="s">
        <v>972</v>
      </c>
      <c r="H88" s="5"/>
      <c r="I88" s="245" t="s">
        <v>787</v>
      </c>
      <c r="J88" s="245" t="s">
        <v>969</v>
      </c>
      <c r="K88" s="245" t="s">
        <v>1125</v>
      </c>
      <c r="L88" s="245" t="s">
        <v>971</v>
      </c>
      <c r="M88" s="245" t="s">
        <v>972</v>
      </c>
      <c r="N88" s="177"/>
      <c r="O88" s="245" t="s">
        <v>788</v>
      </c>
      <c r="P88" s="245" t="s">
        <v>969</v>
      </c>
      <c r="Q88" s="245" t="s">
        <v>1125</v>
      </c>
      <c r="R88" s="245" t="s">
        <v>971</v>
      </c>
      <c r="S88" s="245" t="s">
        <v>972</v>
      </c>
      <c r="T88" s="715"/>
      <c r="U88" s="428"/>
      <c r="X88" s="3"/>
    </row>
    <row r="89" spans="1:24" s="4" customFormat="1" ht="15">
      <c r="A89" s="5"/>
      <c r="B89" s="622" t="s">
        <v>973</v>
      </c>
      <c r="C89" s="623">
        <v>2.1999999999999999E-2</v>
      </c>
      <c r="D89" s="623">
        <v>6.0999999999999999E-2</v>
      </c>
      <c r="E89" s="623">
        <v>0.215</v>
      </c>
      <c r="F89" s="623">
        <v>8.4291187739463605E-2</v>
      </c>
      <c r="G89" s="623">
        <v>5.7971014492753624E-2</v>
      </c>
      <c r="H89" s="5"/>
      <c r="I89" s="425">
        <v>3407.28</v>
      </c>
      <c r="J89" s="624">
        <f>D89*$I89</f>
        <v>207.84408000000002</v>
      </c>
      <c r="K89" s="624">
        <f>E89*$I89</f>
        <v>732.5652</v>
      </c>
      <c r="L89" s="624">
        <f>F89*$I89</f>
        <v>287.20367816091959</v>
      </c>
      <c r="M89" s="619">
        <f>G89*$I89</f>
        <v>197.52347826086958</v>
      </c>
      <c r="N89" s="177"/>
      <c r="O89" s="625">
        <f t="shared" ref="O89:O109" si="0">0.8*I89</f>
        <v>2725.8240000000005</v>
      </c>
      <c r="P89" s="624">
        <f t="shared" ref="P89:P109" si="1">D89*$O89</f>
        <v>166.27526400000002</v>
      </c>
      <c r="Q89" s="624">
        <f t="shared" ref="Q89:Q109" si="2">E89*$O89</f>
        <v>586.05216000000007</v>
      </c>
      <c r="R89" s="624">
        <f t="shared" ref="R89:R109" si="3">F89*$O89</f>
        <v>229.76294252873569</v>
      </c>
      <c r="S89" s="619">
        <f t="shared" ref="S89:S109" si="4">G89*$O89</f>
        <v>158.01878260869569</v>
      </c>
      <c r="T89" s="715"/>
      <c r="U89" s="428"/>
      <c r="X89" s="3"/>
    </row>
    <row r="90" spans="1:24" s="4" customFormat="1" ht="15">
      <c r="A90" s="5"/>
      <c r="B90" s="622" t="s">
        <v>974</v>
      </c>
      <c r="C90" s="623">
        <v>0</v>
      </c>
      <c r="D90" s="623">
        <v>0</v>
      </c>
      <c r="E90" s="623">
        <v>0.12616822429906541</v>
      </c>
      <c r="F90" s="623">
        <v>3.4482758620689655E-2</v>
      </c>
      <c r="G90" s="623">
        <v>0.19323671497584541</v>
      </c>
      <c r="H90" s="5"/>
      <c r="I90" s="425">
        <v>1646.8726410578199</v>
      </c>
      <c r="J90" s="624">
        <f t="shared" ref="J90:J109" si="5">D90*$I90</f>
        <v>0</v>
      </c>
      <c r="K90" s="624">
        <f t="shared" ref="K90:K109" si="6">E90*$I90</f>
        <v>207.78299676897726</v>
      </c>
      <c r="L90" s="624">
        <f t="shared" ref="L90:L109" si="7">F90*$I90</f>
        <v>56.788711760614483</v>
      </c>
      <c r="M90" s="619">
        <f t="shared" ref="M90:M109" si="8">G90*$I90</f>
        <v>318.23625914160772</v>
      </c>
      <c r="N90" s="177"/>
      <c r="O90" s="625">
        <f t="shared" si="0"/>
        <v>1317.4981128462559</v>
      </c>
      <c r="P90" s="624">
        <f t="shared" si="1"/>
        <v>0</v>
      </c>
      <c r="Q90" s="624">
        <f t="shared" si="2"/>
        <v>166.22639741518179</v>
      </c>
      <c r="R90" s="624">
        <f t="shared" si="3"/>
        <v>45.430969408491585</v>
      </c>
      <c r="S90" s="619">
        <f t="shared" si="4"/>
        <v>254.58900731328617</v>
      </c>
      <c r="T90" s="715"/>
      <c r="U90" s="428"/>
      <c r="X90" s="3"/>
    </row>
    <row r="91" spans="1:24" s="4" customFormat="1" ht="15">
      <c r="A91" s="5"/>
      <c r="B91" s="622" t="s">
        <v>975</v>
      </c>
      <c r="C91" s="623">
        <v>0.14499999999999999</v>
      </c>
      <c r="D91" s="623">
        <v>6.0999999999999999E-2</v>
      </c>
      <c r="E91" s="623">
        <v>8.8785046728971959E-2</v>
      </c>
      <c r="F91" s="623">
        <v>0.42911877394636017</v>
      </c>
      <c r="G91" s="623">
        <v>9.1787439613526575E-2</v>
      </c>
      <c r="H91" s="5"/>
      <c r="I91" s="425">
        <v>2300.4913762649899</v>
      </c>
      <c r="J91" s="624">
        <f t="shared" si="5"/>
        <v>140.32997395216438</v>
      </c>
      <c r="K91" s="624">
        <f t="shared" si="6"/>
        <v>204.24923434128414</v>
      </c>
      <c r="L91" s="624">
        <f t="shared" si="7"/>
        <v>987.18403885700718</v>
      </c>
      <c r="M91" s="619">
        <f t="shared" si="8"/>
        <v>211.15621328036141</v>
      </c>
      <c r="N91" s="177"/>
      <c r="O91" s="625">
        <f t="shared" si="0"/>
        <v>1840.393101011992</v>
      </c>
      <c r="P91" s="624">
        <f t="shared" si="1"/>
        <v>112.26397916173151</v>
      </c>
      <c r="Q91" s="624">
        <f t="shared" si="2"/>
        <v>163.39938747302733</v>
      </c>
      <c r="R91" s="624">
        <f t="shared" si="3"/>
        <v>789.74723108560579</v>
      </c>
      <c r="S91" s="619">
        <f t="shared" si="4"/>
        <v>168.92497062428913</v>
      </c>
      <c r="T91" s="428"/>
      <c r="U91" s="428"/>
      <c r="X91" s="3"/>
    </row>
    <row r="92" spans="1:24" s="4" customFormat="1" ht="15">
      <c r="A92" s="5"/>
      <c r="B92" s="622" t="s">
        <v>976</v>
      </c>
      <c r="C92" s="623">
        <v>3.4000000000000002E-2</v>
      </c>
      <c r="D92" s="623">
        <v>4.4999999999999998E-2</v>
      </c>
      <c r="E92" s="623">
        <v>0</v>
      </c>
      <c r="F92" s="623">
        <v>0</v>
      </c>
      <c r="G92" s="623">
        <v>0</v>
      </c>
      <c r="H92" s="5"/>
      <c r="I92" s="425">
        <v>1649.1108672540799</v>
      </c>
      <c r="J92" s="624">
        <f t="shared" si="5"/>
        <v>74.20998902643359</v>
      </c>
      <c r="K92" s="624">
        <f t="shared" si="6"/>
        <v>0</v>
      </c>
      <c r="L92" s="624">
        <f t="shared" si="7"/>
        <v>0</v>
      </c>
      <c r="M92" s="619">
        <f t="shared" si="8"/>
        <v>0</v>
      </c>
      <c r="N92" s="177"/>
      <c r="O92" s="625">
        <f t="shared" si="0"/>
        <v>1319.2886938032641</v>
      </c>
      <c r="P92" s="624">
        <f t="shared" si="1"/>
        <v>59.36799122114688</v>
      </c>
      <c r="Q92" s="624">
        <f t="shared" si="2"/>
        <v>0</v>
      </c>
      <c r="R92" s="624">
        <f t="shared" si="3"/>
        <v>0</v>
      </c>
      <c r="S92" s="619">
        <f t="shared" si="4"/>
        <v>0</v>
      </c>
      <c r="T92" s="152"/>
      <c r="U92" s="428"/>
      <c r="X92" s="3"/>
    </row>
    <row r="93" spans="1:24" s="4" customFormat="1" ht="15">
      <c r="A93" s="5"/>
      <c r="B93" s="622" t="s">
        <v>977</v>
      </c>
      <c r="C93" s="623"/>
      <c r="D93" s="623"/>
      <c r="E93" s="623">
        <v>9.8130841121495324E-2</v>
      </c>
      <c r="F93" s="623">
        <v>0.11877394636015326</v>
      </c>
      <c r="G93" s="623">
        <v>5.8000000000000003E-2</v>
      </c>
      <c r="H93" s="5"/>
      <c r="I93" s="425">
        <v>3042.95047870793</v>
      </c>
      <c r="J93" s="624">
        <f t="shared" si="5"/>
        <v>0</v>
      </c>
      <c r="K93" s="624">
        <f t="shared" si="6"/>
        <v>298.60728996666603</v>
      </c>
      <c r="L93" s="624">
        <f t="shared" si="7"/>
        <v>361.42323693465835</v>
      </c>
      <c r="M93" s="619">
        <f t="shared" si="8"/>
        <v>176.49112776505996</v>
      </c>
      <c r="N93" s="177"/>
      <c r="O93" s="625">
        <f t="shared" si="0"/>
        <v>2434.3603829663439</v>
      </c>
      <c r="P93" s="624">
        <f t="shared" si="1"/>
        <v>0</v>
      </c>
      <c r="Q93" s="624">
        <f t="shared" si="2"/>
        <v>238.88583197333281</v>
      </c>
      <c r="R93" s="624">
        <f t="shared" si="3"/>
        <v>289.13858954772667</v>
      </c>
      <c r="S93" s="619">
        <f t="shared" si="4"/>
        <v>141.19290221204795</v>
      </c>
      <c r="T93" s="152"/>
      <c r="U93" s="428"/>
      <c r="X93" s="3"/>
    </row>
    <row r="94" spans="1:24" s="4" customFormat="1" ht="15">
      <c r="A94" s="5"/>
      <c r="B94" s="622" t="s">
        <v>978</v>
      </c>
      <c r="C94" s="623">
        <v>3.0000000000000001E-3</v>
      </c>
      <c r="D94" s="623">
        <v>1.4999999999999999E-2</v>
      </c>
      <c r="E94" s="623">
        <v>3.2710280373831772E-2</v>
      </c>
      <c r="F94" s="623">
        <v>0</v>
      </c>
      <c r="G94" s="623">
        <v>9.7000000000000003E-3</v>
      </c>
      <c r="H94" s="5"/>
      <c r="I94" s="425">
        <v>1789.0053793796999</v>
      </c>
      <c r="J94" s="624">
        <f t="shared" si="5"/>
        <v>26.835080690695499</v>
      </c>
      <c r="K94" s="624">
        <f t="shared" si="6"/>
        <v>58.518867549803261</v>
      </c>
      <c r="L94" s="624">
        <f t="shared" si="7"/>
        <v>0</v>
      </c>
      <c r="M94" s="619">
        <f t="shared" si="8"/>
        <v>17.353352179983091</v>
      </c>
      <c r="N94" s="177"/>
      <c r="O94" s="625">
        <f t="shared" si="0"/>
        <v>1431.20430350376</v>
      </c>
      <c r="P94" s="624">
        <f t="shared" si="1"/>
        <v>21.468064552556399</v>
      </c>
      <c r="Q94" s="624">
        <f t="shared" si="2"/>
        <v>46.815094039842613</v>
      </c>
      <c r="R94" s="624">
        <f t="shared" si="3"/>
        <v>0</v>
      </c>
      <c r="S94" s="619">
        <f t="shared" si="4"/>
        <v>13.882681743986472</v>
      </c>
      <c r="T94" s="715"/>
      <c r="U94" s="428"/>
      <c r="X94" s="3"/>
    </row>
    <row r="95" spans="1:24" s="4" customFormat="1" ht="15">
      <c r="A95" s="5"/>
      <c r="B95" s="622" t="s">
        <v>979</v>
      </c>
      <c r="C95" s="623"/>
      <c r="D95" s="623"/>
      <c r="E95" s="623">
        <v>3.2710280373831772E-2</v>
      </c>
      <c r="F95" s="623">
        <v>0</v>
      </c>
      <c r="G95" s="623">
        <v>0</v>
      </c>
      <c r="H95" s="5"/>
      <c r="I95" s="425">
        <v>500</v>
      </c>
      <c r="J95" s="624">
        <f t="shared" si="5"/>
        <v>0</v>
      </c>
      <c r="K95" s="624">
        <f t="shared" si="6"/>
        <v>16.355140186915886</v>
      </c>
      <c r="L95" s="624">
        <f t="shared" si="7"/>
        <v>0</v>
      </c>
      <c r="M95" s="619">
        <f t="shared" si="8"/>
        <v>0</v>
      </c>
      <c r="N95" s="177"/>
      <c r="O95" s="625">
        <f t="shared" si="0"/>
        <v>400</v>
      </c>
      <c r="P95" s="624">
        <f t="shared" si="1"/>
        <v>0</v>
      </c>
      <c r="Q95" s="624">
        <f t="shared" si="2"/>
        <v>13.084112149532709</v>
      </c>
      <c r="R95" s="624">
        <f t="shared" si="3"/>
        <v>0</v>
      </c>
      <c r="S95" s="619">
        <f t="shared" si="4"/>
        <v>0</v>
      </c>
      <c r="T95" s="715"/>
      <c r="U95" s="428"/>
      <c r="X95" s="3"/>
    </row>
    <row r="96" spans="1:24" s="4" customFormat="1" ht="15">
      <c r="A96" s="5"/>
      <c r="B96" s="622" t="s">
        <v>980</v>
      </c>
      <c r="C96" s="623"/>
      <c r="D96" s="623"/>
      <c r="E96" s="623">
        <v>4.2056074766355138E-2</v>
      </c>
      <c r="F96" s="623">
        <v>1.5299999999999999E-2</v>
      </c>
      <c r="G96" s="623">
        <v>0</v>
      </c>
      <c r="H96" s="5"/>
      <c r="I96" s="425">
        <v>1367.9130279816</v>
      </c>
      <c r="J96" s="624">
        <f t="shared" si="5"/>
        <v>0</v>
      </c>
      <c r="K96" s="624">
        <f t="shared" si="6"/>
        <v>57.529052578665414</v>
      </c>
      <c r="L96" s="624">
        <f t="shared" si="7"/>
        <v>20.92906932811848</v>
      </c>
      <c r="M96" s="619">
        <f t="shared" si="8"/>
        <v>0</v>
      </c>
      <c r="N96" s="177"/>
      <c r="O96" s="625">
        <f t="shared" si="0"/>
        <v>1094.3304223852799</v>
      </c>
      <c r="P96" s="624">
        <f t="shared" si="1"/>
        <v>0</v>
      </c>
      <c r="Q96" s="624">
        <f t="shared" si="2"/>
        <v>46.023242062932333</v>
      </c>
      <c r="R96" s="624">
        <f t="shared" si="3"/>
        <v>16.743255462494783</v>
      </c>
      <c r="S96" s="619">
        <f t="shared" si="4"/>
        <v>0</v>
      </c>
      <c r="T96" s="715"/>
      <c r="U96" s="428"/>
      <c r="X96" s="3"/>
    </row>
    <row r="97" spans="1:24" s="4" customFormat="1" ht="15">
      <c r="A97" s="5"/>
      <c r="B97" s="622" t="s">
        <v>981</v>
      </c>
      <c r="C97" s="623">
        <v>0</v>
      </c>
      <c r="D97" s="623">
        <v>1.4999999999999999E-2</v>
      </c>
      <c r="E97" s="623">
        <v>7.0099999999999996E-2</v>
      </c>
      <c r="F97" s="623">
        <v>5.7500000000000002E-2</v>
      </c>
      <c r="G97" s="623">
        <v>1.9300000000000001E-2</v>
      </c>
      <c r="H97" s="5"/>
      <c r="I97" s="425">
        <v>3042.95047870793</v>
      </c>
      <c r="J97" s="624">
        <f t="shared" si="5"/>
        <v>45.644257180618951</v>
      </c>
      <c r="K97" s="624">
        <f t="shared" si="6"/>
        <v>213.31082855742588</v>
      </c>
      <c r="L97" s="624">
        <f t="shared" si="7"/>
        <v>174.96965252570598</v>
      </c>
      <c r="M97" s="619">
        <f t="shared" si="8"/>
        <v>58.728944239063054</v>
      </c>
      <c r="N97" s="177"/>
      <c r="O97" s="625">
        <f t="shared" si="0"/>
        <v>2434.3603829663439</v>
      </c>
      <c r="P97" s="624">
        <f t="shared" si="1"/>
        <v>36.515405744495155</v>
      </c>
      <c r="Q97" s="624">
        <f t="shared" si="2"/>
        <v>170.64866284594069</v>
      </c>
      <c r="R97" s="624">
        <f t="shared" si="3"/>
        <v>139.97572202056477</v>
      </c>
      <c r="S97" s="619">
        <f t="shared" si="4"/>
        <v>46.983155391250442</v>
      </c>
      <c r="T97" s="152"/>
      <c r="U97" s="428"/>
      <c r="X97" s="3"/>
    </row>
    <row r="98" spans="1:24" s="4" customFormat="1" ht="15">
      <c r="A98" s="5"/>
      <c r="B98" s="622" t="s">
        <v>982</v>
      </c>
      <c r="C98" s="623">
        <v>3.0000000000000001E-3</v>
      </c>
      <c r="D98" s="623">
        <v>0</v>
      </c>
      <c r="E98" s="623">
        <v>0</v>
      </c>
      <c r="F98" s="623">
        <v>0</v>
      </c>
      <c r="G98" s="623">
        <v>4.8300000000000003E-2</v>
      </c>
      <c r="H98" s="5"/>
      <c r="I98" s="425">
        <v>1646.8726410578199</v>
      </c>
      <c r="J98" s="624">
        <f t="shared" si="5"/>
        <v>0</v>
      </c>
      <c r="K98" s="624">
        <f t="shared" si="6"/>
        <v>0</v>
      </c>
      <c r="L98" s="624">
        <f t="shared" si="7"/>
        <v>0</v>
      </c>
      <c r="M98" s="619">
        <f t="shared" si="8"/>
        <v>79.543948563092712</v>
      </c>
      <c r="N98" s="177"/>
      <c r="O98" s="625">
        <f t="shared" si="0"/>
        <v>1317.4981128462559</v>
      </c>
      <c r="P98" s="624">
        <f t="shared" si="1"/>
        <v>0</v>
      </c>
      <c r="Q98" s="624">
        <f t="shared" si="2"/>
        <v>0</v>
      </c>
      <c r="R98" s="624">
        <f t="shared" si="3"/>
        <v>0</v>
      </c>
      <c r="S98" s="619">
        <f t="shared" si="4"/>
        <v>63.635158850474163</v>
      </c>
      <c r="T98" s="152"/>
      <c r="U98" s="428"/>
      <c r="X98" s="3"/>
    </row>
    <row r="99" spans="1:24" s="4" customFormat="1" ht="15">
      <c r="A99" s="5"/>
      <c r="B99" s="622" t="s">
        <v>983</v>
      </c>
      <c r="C99" s="623"/>
      <c r="D99" s="623"/>
      <c r="E99" s="623">
        <v>3.2710280373831772E-2</v>
      </c>
      <c r="F99" s="623">
        <v>0</v>
      </c>
      <c r="G99" s="623">
        <v>0</v>
      </c>
      <c r="H99" s="5"/>
      <c r="I99" s="425">
        <v>1646.8726410578199</v>
      </c>
      <c r="J99" s="624">
        <f t="shared" si="5"/>
        <v>0</v>
      </c>
      <c r="K99" s="624">
        <f t="shared" si="6"/>
        <v>53.869665828994101</v>
      </c>
      <c r="L99" s="624">
        <f t="shared" si="7"/>
        <v>0</v>
      </c>
      <c r="M99" s="619">
        <f t="shared" si="8"/>
        <v>0</v>
      </c>
      <c r="N99" s="177"/>
      <c r="O99" s="625">
        <f t="shared" si="0"/>
        <v>1317.4981128462559</v>
      </c>
      <c r="P99" s="624">
        <f t="shared" si="1"/>
        <v>0</v>
      </c>
      <c r="Q99" s="624">
        <f t="shared" si="2"/>
        <v>43.095732663195285</v>
      </c>
      <c r="R99" s="624">
        <f t="shared" si="3"/>
        <v>0</v>
      </c>
      <c r="S99" s="619">
        <f t="shared" si="4"/>
        <v>0</v>
      </c>
      <c r="T99" s="715"/>
      <c r="U99" s="428"/>
      <c r="X99" s="3"/>
    </row>
    <row r="100" spans="1:24" s="4" customFormat="1" ht="15">
      <c r="A100" s="5"/>
      <c r="B100" s="622" t="s">
        <v>984</v>
      </c>
      <c r="C100" s="623">
        <v>0</v>
      </c>
      <c r="D100" s="623">
        <v>1.4999999999999999E-2</v>
      </c>
      <c r="E100" s="623">
        <v>0</v>
      </c>
      <c r="F100" s="623">
        <v>0</v>
      </c>
      <c r="G100" s="623">
        <v>4.7999999999999996E-3</v>
      </c>
      <c r="H100" s="5"/>
      <c r="I100" s="425">
        <v>3042.95047870793</v>
      </c>
      <c r="J100" s="624">
        <f t="shared" si="5"/>
        <v>45.644257180618951</v>
      </c>
      <c r="K100" s="624">
        <f t="shared" si="6"/>
        <v>0</v>
      </c>
      <c r="L100" s="624">
        <f t="shared" si="7"/>
        <v>0</v>
      </c>
      <c r="M100" s="619">
        <f t="shared" si="8"/>
        <v>14.606162297798063</v>
      </c>
      <c r="N100" s="177"/>
      <c r="O100" s="625">
        <f t="shared" si="0"/>
        <v>2434.3603829663439</v>
      </c>
      <c r="P100" s="624">
        <f t="shared" si="1"/>
        <v>36.515405744495155</v>
      </c>
      <c r="Q100" s="624">
        <f t="shared" si="2"/>
        <v>0</v>
      </c>
      <c r="R100" s="624">
        <f t="shared" si="3"/>
        <v>0</v>
      </c>
      <c r="S100" s="619">
        <f t="shared" si="4"/>
        <v>11.68492983823845</v>
      </c>
      <c r="T100" s="715"/>
      <c r="U100" s="428"/>
      <c r="X100" s="3"/>
    </row>
    <row r="101" spans="1:24" s="4" customFormat="1" ht="15">
      <c r="A101" s="5"/>
      <c r="B101" s="622" t="s">
        <v>985</v>
      </c>
      <c r="C101" s="623">
        <v>3.0000000000000001E-3</v>
      </c>
      <c r="D101" s="623">
        <v>0</v>
      </c>
      <c r="E101" s="623">
        <v>2.336448598130841E-2</v>
      </c>
      <c r="F101" s="623">
        <v>1.5299999999999999E-2</v>
      </c>
      <c r="G101" s="623">
        <v>4.3499999999999997E-2</v>
      </c>
      <c r="H101" s="5"/>
      <c r="I101" s="425">
        <v>1446.1927509279799</v>
      </c>
      <c r="J101" s="624">
        <f t="shared" si="5"/>
        <v>0</v>
      </c>
      <c r="K101" s="624">
        <f t="shared" si="6"/>
        <v>33.789550255326631</v>
      </c>
      <c r="L101" s="624">
        <f t="shared" si="7"/>
        <v>22.126749089198093</v>
      </c>
      <c r="M101" s="619">
        <f t="shared" si="8"/>
        <v>62.909384665367121</v>
      </c>
      <c r="N101" s="177"/>
      <c r="O101" s="625">
        <f t="shared" si="0"/>
        <v>1156.954200742384</v>
      </c>
      <c r="P101" s="624">
        <f t="shared" si="1"/>
        <v>0</v>
      </c>
      <c r="Q101" s="624">
        <f t="shared" si="2"/>
        <v>27.031640204261308</v>
      </c>
      <c r="R101" s="624">
        <f t="shared" si="3"/>
        <v>17.701399271358476</v>
      </c>
      <c r="S101" s="619">
        <f t="shared" si="4"/>
        <v>50.327507732293704</v>
      </c>
      <c r="T101" s="715"/>
      <c r="U101" s="5"/>
      <c r="X101" s="3"/>
    </row>
    <row r="102" spans="1:24" s="4" customFormat="1" ht="15">
      <c r="A102" s="5"/>
      <c r="B102" s="622" t="s">
        <v>986</v>
      </c>
      <c r="C102" s="623">
        <v>0</v>
      </c>
      <c r="D102" s="623">
        <v>0</v>
      </c>
      <c r="E102" s="623">
        <v>4.2056074766355138E-2</v>
      </c>
      <c r="F102" s="623">
        <v>0</v>
      </c>
      <c r="G102" s="623">
        <v>9.7000000000000003E-3</v>
      </c>
      <c r="H102" s="5"/>
      <c r="I102" s="425">
        <v>2096.0919460178702</v>
      </c>
      <c r="J102" s="624">
        <f t="shared" si="5"/>
        <v>0</v>
      </c>
      <c r="K102" s="624">
        <f t="shared" si="6"/>
        <v>88.153399598882388</v>
      </c>
      <c r="L102" s="624">
        <f t="shared" si="7"/>
        <v>0</v>
      </c>
      <c r="M102" s="619">
        <f t="shared" si="8"/>
        <v>20.33209187637334</v>
      </c>
      <c r="N102" s="177"/>
      <c r="O102" s="625">
        <f t="shared" si="0"/>
        <v>1676.8735568142963</v>
      </c>
      <c r="P102" s="624">
        <f t="shared" si="1"/>
        <v>0</v>
      </c>
      <c r="Q102" s="624">
        <f t="shared" si="2"/>
        <v>70.522719679105919</v>
      </c>
      <c r="R102" s="624">
        <f t="shared" si="3"/>
        <v>0</v>
      </c>
      <c r="S102" s="619">
        <f t="shared" si="4"/>
        <v>16.265673501098675</v>
      </c>
      <c r="T102" s="152"/>
      <c r="U102" s="5"/>
      <c r="X102" s="3"/>
    </row>
    <row r="103" spans="1:24" s="4" customFormat="1" ht="15">
      <c r="A103" s="5"/>
      <c r="B103" s="622" t="s">
        <v>987</v>
      </c>
      <c r="C103" s="623"/>
      <c r="D103" s="623"/>
      <c r="E103" s="623">
        <v>9.3457943925233638E-3</v>
      </c>
      <c r="F103" s="623">
        <v>0</v>
      </c>
      <c r="G103" s="623">
        <v>0</v>
      </c>
      <c r="H103" s="5"/>
      <c r="I103" s="425">
        <v>1708.9664199777201</v>
      </c>
      <c r="J103" s="624">
        <f t="shared" si="5"/>
        <v>0</v>
      </c>
      <c r="K103" s="624">
        <f t="shared" si="6"/>
        <v>15.971648784838504</v>
      </c>
      <c r="L103" s="624">
        <f t="shared" si="7"/>
        <v>0</v>
      </c>
      <c r="M103" s="619">
        <f t="shared" si="8"/>
        <v>0</v>
      </c>
      <c r="N103" s="177"/>
      <c r="O103" s="625">
        <f t="shared" si="0"/>
        <v>1367.1731359821761</v>
      </c>
      <c r="P103" s="624">
        <f t="shared" si="1"/>
        <v>0</v>
      </c>
      <c r="Q103" s="624">
        <f t="shared" si="2"/>
        <v>12.777319027870803</v>
      </c>
      <c r="R103" s="624">
        <f t="shared" si="3"/>
        <v>0</v>
      </c>
      <c r="S103" s="619">
        <f t="shared" si="4"/>
        <v>0</v>
      </c>
      <c r="T103" s="715"/>
      <c r="U103" s="5"/>
      <c r="X103" s="3"/>
    </row>
    <row r="104" spans="1:24" s="4" customFormat="1" ht="15">
      <c r="A104" s="5"/>
      <c r="B104" s="622" t="s">
        <v>988</v>
      </c>
      <c r="C104" s="623"/>
      <c r="D104" s="623"/>
      <c r="E104" s="623">
        <v>7.476635514018691E-2</v>
      </c>
      <c r="F104" s="623">
        <v>0</v>
      </c>
      <c r="G104" s="623">
        <v>0</v>
      </c>
      <c r="H104" s="5"/>
      <c r="I104" s="425">
        <v>4776.7544023333303</v>
      </c>
      <c r="J104" s="624">
        <f t="shared" si="5"/>
        <v>0</v>
      </c>
      <c r="K104" s="624">
        <f t="shared" si="6"/>
        <v>357.14051606230504</v>
      </c>
      <c r="L104" s="624">
        <f t="shared" si="7"/>
        <v>0</v>
      </c>
      <c r="M104" s="619">
        <f t="shared" si="8"/>
        <v>0</v>
      </c>
      <c r="N104" s="177"/>
      <c r="O104" s="625">
        <f t="shared" si="0"/>
        <v>3821.4035218666645</v>
      </c>
      <c r="P104" s="624">
        <f t="shared" si="1"/>
        <v>0</v>
      </c>
      <c r="Q104" s="624">
        <f t="shared" si="2"/>
        <v>285.71241284984404</v>
      </c>
      <c r="R104" s="624">
        <f t="shared" si="3"/>
        <v>0</v>
      </c>
      <c r="S104" s="619">
        <f t="shared" si="4"/>
        <v>0</v>
      </c>
      <c r="T104" s="715"/>
      <c r="U104" s="5"/>
      <c r="X104" s="3"/>
    </row>
    <row r="105" spans="1:24" s="4" customFormat="1" ht="15">
      <c r="A105" s="5"/>
      <c r="B105" s="622" t="s">
        <v>989</v>
      </c>
      <c r="C105" s="623"/>
      <c r="D105" s="623"/>
      <c r="E105" s="623">
        <v>0</v>
      </c>
      <c r="F105" s="623">
        <v>0</v>
      </c>
      <c r="G105" s="623">
        <v>0</v>
      </c>
      <c r="H105" s="5"/>
      <c r="I105" s="425">
        <v>2067.7607702733699</v>
      </c>
      <c r="J105" s="624">
        <f t="shared" si="5"/>
        <v>0</v>
      </c>
      <c r="K105" s="624">
        <f t="shared" si="6"/>
        <v>0</v>
      </c>
      <c r="L105" s="624">
        <f t="shared" si="7"/>
        <v>0</v>
      </c>
      <c r="M105" s="619">
        <f t="shared" si="8"/>
        <v>0</v>
      </c>
      <c r="N105" s="177"/>
      <c r="O105" s="625">
        <f t="shared" si="0"/>
        <v>1654.2086162186961</v>
      </c>
      <c r="P105" s="624">
        <f t="shared" si="1"/>
        <v>0</v>
      </c>
      <c r="Q105" s="624">
        <f t="shared" si="2"/>
        <v>0</v>
      </c>
      <c r="R105" s="624">
        <f t="shared" si="3"/>
        <v>0</v>
      </c>
      <c r="S105" s="619">
        <f t="shared" si="4"/>
        <v>0</v>
      </c>
      <c r="T105" s="715"/>
      <c r="U105" s="5"/>
      <c r="X105" s="3"/>
    </row>
    <row r="106" spans="1:24" s="4" customFormat="1" ht="15">
      <c r="A106" s="5"/>
      <c r="B106" s="622" t="s">
        <v>990</v>
      </c>
      <c r="C106" s="623"/>
      <c r="D106" s="623"/>
      <c r="E106" s="623">
        <v>0.10747663551401869</v>
      </c>
      <c r="F106" s="623">
        <v>0</v>
      </c>
      <c r="G106" s="623">
        <v>8.6999999999999994E-2</v>
      </c>
      <c r="H106" s="5"/>
      <c r="I106" s="425">
        <v>1708.9664199777201</v>
      </c>
      <c r="J106" s="624">
        <f t="shared" si="5"/>
        <v>0</v>
      </c>
      <c r="K106" s="624">
        <f t="shared" si="6"/>
        <v>183.6739610256428</v>
      </c>
      <c r="L106" s="624">
        <f t="shared" si="7"/>
        <v>0</v>
      </c>
      <c r="M106" s="619">
        <f t="shared" si="8"/>
        <v>148.68007853806165</v>
      </c>
      <c r="N106" s="177"/>
      <c r="O106" s="625">
        <f t="shared" si="0"/>
        <v>1367.1731359821761</v>
      </c>
      <c r="P106" s="624">
        <f t="shared" si="1"/>
        <v>0</v>
      </c>
      <c r="Q106" s="624">
        <f t="shared" si="2"/>
        <v>146.93916882051425</v>
      </c>
      <c r="R106" s="624">
        <f t="shared" si="3"/>
        <v>0</v>
      </c>
      <c r="S106" s="619">
        <f t="shared" si="4"/>
        <v>118.94406283044931</v>
      </c>
      <c r="T106" s="190"/>
      <c r="U106" s="5"/>
      <c r="X106" s="3"/>
    </row>
    <row r="107" spans="1:24" s="4" customFormat="1" ht="15">
      <c r="A107" s="5"/>
      <c r="B107" s="622" t="s">
        <v>991</v>
      </c>
      <c r="C107" s="623"/>
      <c r="D107" s="623"/>
      <c r="E107" s="623">
        <v>0</v>
      </c>
      <c r="F107" s="623">
        <v>0</v>
      </c>
      <c r="G107" s="623">
        <v>0</v>
      </c>
      <c r="H107" s="5"/>
      <c r="I107" s="425">
        <v>500</v>
      </c>
      <c r="J107" s="624">
        <f t="shared" si="5"/>
        <v>0</v>
      </c>
      <c r="K107" s="624">
        <f t="shared" si="6"/>
        <v>0</v>
      </c>
      <c r="L107" s="624">
        <f t="shared" si="7"/>
        <v>0</v>
      </c>
      <c r="M107" s="619">
        <f t="shared" si="8"/>
        <v>0</v>
      </c>
      <c r="N107" s="177"/>
      <c r="O107" s="625">
        <f t="shared" si="0"/>
        <v>400</v>
      </c>
      <c r="P107" s="624">
        <f t="shared" si="1"/>
        <v>0</v>
      </c>
      <c r="Q107" s="624">
        <f t="shared" si="2"/>
        <v>0</v>
      </c>
      <c r="R107" s="624">
        <f t="shared" si="3"/>
        <v>0</v>
      </c>
      <c r="S107" s="619">
        <f t="shared" si="4"/>
        <v>0</v>
      </c>
      <c r="T107" s="152"/>
      <c r="U107" s="5"/>
      <c r="X107" s="3"/>
    </row>
    <row r="108" spans="1:24" s="4" customFormat="1" ht="15">
      <c r="A108" s="5"/>
      <c r="B108" s="622" t="s">
        <v>992</v>
      </c>
      <c r="C108" s="623"/>
      <c r="D108" s="623"/>
      <c r="E108" s="623">
        <v>0</v>
      </c>
      <c r="F108" s="623">
        <v>0</v>
      </c>
      <c r="G108" s="623">
        <v>0</v>
      </c>
      <c r="H108" s="5"/>
      <c r="I108" s="425">
        <v>1789.0053793796999</v>
      </c>
      <c r="J108" s="624">
        <f t="shared" si="5"/>
        <v>0</v>
      </c>
      <c r="K108" s="624">
        <f t="shared" si="6"/>
        <v>0</v>
      </c>
      <c r="L108" s="624">
        <f t="shared" si="7"/>
        <v>0</v>
      </c>
      <c r="M108" s="619">
        <f t="shared" si="8"/>
        <v>0</v>
      </c>
      <c r="N108" s="177"/>
      <c r="O108" s="625">
        <f t="shared" si="0"/>
        <v>1431.20430350376</v>
      </c>
      <c r="P108" s="624">
        <f t="shared" si="1"/>
        <v>0</v>
      </c>
      <c r="Q108" s="624">
        <f t="shared" si="2"/>
        <v>0</v>
      </c>
      <c r="R108" s="624">
        <f t="shared" si="3"/>
        <v>0</v>
      </c>
      <c r="S108" s="619">
        <f t="shared" si="4"/>
        <v>0</v>
      </c>
      <c r="T108" s="152"/>
      <c r="U108" s="5"/>
      <c r="X108" s="3"/>
    </row>
    <row r="109" spans="1:24" s="4" customFormat="1" ht="15">
      <c r="A109" s="5"/>
      <c r="B109" s="622" t="s">
        <v>993</v>
      </c>
      <c r="C109" s="623"/>
      <c r="D109" s="623"/>
      <c r="E109" s="623">
        <v>0</v>
      </c>
      <c r="F109" s="623">
        <v>0</v>
      </c>
      <c r="G109" s="623">
        <v>0</v>
      </c>
      <c r="H109" s="5"/>
      <c r="I109" s="425">
        <v>5779.960422625295</v>
      </c>
      <c r="J109" s="624">
        <f t="shared" si="5"/>
        <v>0</v>
      </c>
      <c r="K109" s="624">
        <f t="shared" si="6"/>
        <v>0</v>
      </c>
      <c r="L109" s="624">
        <f t="shared" si="7"/>
        <v>0</v>
      </c>
      <c r="M109" s="619">
        <f t="shared" si="8"/>
        <v>0</v>
      </c>
      <c r="N109" s="177"/>
      <c r="O109" s="625">
        <f t="shared" si="0"/>
        <v>4623.968338100236</v>
      </c>
      <c r="P109" s="624">
        <f t="shared" si="1"/>
        <v>0</v>
      </c>
      <c r="Q109" s="624">
        <f t="shared" si="2"/>
        <v>0</v>
      </c>
      <c r="R109" s="624">
        <f t="shared" si="3"/>
        <v>0</v>
      </c>
      <c r="S109" s="619">
        <f t="shared" si="4"/>
        <v>0</v>
      </c>
      <c r="T109" s="152"/>
      <c r="U109" s="5"/>
      <c r="X109" s="3"/>
    </row>
    <row r="110" spans="1:24" s="4" customFormat="1" ht="15">
      <c r="A110" s="5"/>
      <c r="B110" s="5"/>
      <c r="C110" s="5"/>
      <c r="D110" s="339">
        <f t="shared" ref="D110:G110" si="9">SUM(D89:D95)</f>
        <v>0.182</v>
      </c>
      <c r="E110" s="339"/>
      <c r="F110" s="339">
        <f t="shared" si="9"/>
        <v>0.66666666666666663</v>
      </c>
      <c r="G110" s="339">
        <f t="shared" si="9"/>
        <v>0.41069516908212561</v>
      </c>
      <c r="H110" s="5"/>
      <c r="I110" s="428"/>
      <c r="J110" s="409">
        <f>SUM(J89:J95)</f>
        <v>449.21912366929354</v>
      </c>
      <c r="K110" s="409">
        <f>SUM(K89:K95)</f>
        <v>1518.0787288136464</v>
      </c>
      <c r="L110" s="409">
        <f>SUM(L89:L95)</f>
        <v>1692.5996657131996</v>
      </c>
      <c r="M110" s="410">
        <f>SUM(M89:M95)</f>
        <v>920.76043062788165</v>
      </c>
      <c r="N110" s="177"/>
      <c r="O110" s="5"/>
      <c r="P110" s="409">
        <f>SUM(P89:P95)</f>
        <v>359.37529893543478</v>
      </c>
      <c r="Q110" s="409">
        <f>SUM(Q89:Q95)</f>
        <v>1214.4629830509173</v>
      </c>
      <c r="R110" s="409">
        <f>SUM(R89:R95)</f>
        <v>1354.0797325705598</v>
      </c>
      <c r="S110" s="410">
        <f>SUM(S89:S95)</f>
        <v>736.6083445023055</v>
      </c>
      <c r="T110" s="152"/>
      <c r="U110" s="5"/>
      <c r="X110" s="3"/>
    </row>
    <row r="111" spans="1:24" s="4" customFormat="1" ht="15">
      <c r="A111" s="5"/>
      <c r="B111" s="5"/>
      <c r="C111" s="5"/>
      <c r="D111" s="778"/>
      <c r="E111" s="778"/>
      <c r="F111" s="778"/>
      <c r="G111" s="778"/>
      <c r="H111" s="5"/>
      <c r="I111" s="428"/>
      <c r="J111" s="779"/>
      <c r="K111" s="779"/>
      <c r="L111" s="779"/>
      <c r="M111" s="779"/>
      <c r="N111" s="177"/>
      <c r="O111" s="5"/>
      <c r="P111" s="779"/>
      <c r="Q111" s="779"/>
      <c r="R111" s="779"/>
      <c r="S111" s="779"/>
      <c r="T111" s="152"/>
      <c r="U111" s="5"/>
      <c r="X111" s="3"/>
    </row>
    <row r="112" spans="1:24" s="4" customFormat="1" ht="15">
      <c r="A112" s="190"/>
      <c r="B112" s="780" t="s">
        <v>1090</v>
      </c>
      <c r="C112" s="334" t="s">
        <v>1089</v>
      </c>
      <c r="D112" s="5"/>
      <c r="E112" s="5"/>
      <c r="F112" s="5"/>
      <c r="G112" s="5"/>
      <c r="H112" s="5"/>
      <c r="I112" s="5"/>
      <c r="J112" s="5"/>
      <c r="K112" s="5"/>
      <c r="L112" s="5"/>
      <c r="M112" s="5"/>
      <c r="N112" s="5"/>
      <c r="O112" s="5"/>
      <c r="P112" s="5"/>
      <c r="Q112" s="5"/>
      <c r="R112" s="5"/>
      <c r="S112" s="152"/>
      <c r="T112" s="5"/>
      <c r="U112" s="428"/>
      <c r="W112" s="3"/>
    </row>
    <row r="113" spans="1:23" s="4" customFormat="1" ht="15">
      <c r="A113" s="190"/>
      <c r="B113" s="780" t="s">
        <v>1121</v>
      </c>
      <c r="C113" s="334"/>
      <c r="D113" s="5"/>
      <c r="E113" s="5"/>
      <c r="F113" s="5"/>
      <c r="G113" s="5"/>
      <c r="H113" s="5"/>
      <c r="I113" s="5"/>
      <c r="J113" s="5"/>
      <c r="K113" s="5"/>
      <c r="L113" s="5"/>
      <c r="M113" s="5"/>
      <c r="N113" s="5"/>
      <c r="O113" s="5"/>
      <c r="P113" s="5"/>
      <c r="Q113" s="5"/>
      <c r="R113" s="5"/>
      <c r="S113" s="152"/>
      <c r="T113" s="5"/>
      <c r="U113" s="428"/>
      <c r="W113" s="3"/>
    </row>
    <row r="114" spans="1:23" s="4" customFormat="1" ht="15">
      <c r="A114" s="152"/>
      <c r="B114" t="s">
        <v>1122</v>
      </c>
      <c r="C114" s="5"/>
      <c r="D114" s="5"/>
      <c r="E114" s="5"/>
      <c r="F114" s="5"/>
      <c r="G114" s="5"/>
      <c r="H114" s="5"/>
      <c r="I114" s="5"/>
      <c r="J114" s="5"/>
      <c r="K114" s="5"/>
      <c r="L114" s="5"/>
      <c r="M114" s="5"/>
      <c r="N114" s="5"/>
      <c r="O114" s="5"/>
      <c r="P114" s="5"/>
      <c r="Q114" s="5"/>
      <c r="R114" s="5"/>
      <c r="S114" s="152"/>
      <c r="T114" s="428"/>
      <c r="U114" s="428"/>
      <c r="W114" s="3"/>
    </row>
    <row r="115" spans="1:23" s="4" customFormat="1" ht="14.25">
      <c r="A115" s="152"/>
      <c r="B115" s="190"/>
      <c r="C115" s="314"/>
      <c r="D115" s="314"/>
      <c r="E115" s="314"/>
      <c r="F115" s="314"/>
      <c r="G115" s="314"/>
      <c r="H115" s="314"/>
      <c r="I115" s="190"/>
      <c r="J115" s="190"/>
      <c r="K115" s="190"/>
      <c r="L115" s="190"/>
      <c r="M115" s="190"/>
      <c r="N115" s="190"/>
      <c r="O115" s="190"/>
      <c r="P115" s="190"/>
      <c r="Q115" s="190"/>
      <c r="R115" s="190"/>
      <c r="S115" s="152"/>
      <c r="T115" s="428"/>
      <c r="U115" s="428"/>
      <c r="W115" s="3"/>
    </row>
    <row r="116" spans="1:23" s="4" customFormat="1" ht="14.25">
      <c r="A116" s="3"/>
      <c r="B116" s="3"/>
      <c r="C116" s="3"/>
      <c r="D116" s="3"/>
      <c r="E116" s="3"/>
      <c r="F116" s="3"/>
      <c r="G116" s="3"/>
      <c r="H116" s="3"/>
      <c r="I116" s="3"/>
      <c r="J116" s="3"/>
      <c r="K116" s="3"/>
      <c r="L116" s="3"/>
      <c r="M116" s="3"/>
      <c r="N116" s="3"/>
      <c r="O116" s="3"/>
      <c r="P116" s="3"/>
      <c r="Q116" s="3"/>
      <c r="R116" s="3"/>
      <c r="S116" s="3"/>
      <c r="W116" s="3"/>
    </row>
    <row r="117" spans="1:23" s="4" customFormat="1" ht="14.25">
      <c r="A117" s="3"/>
      <c r="B117" s="3"/>
      <c r="C117" s="3"/>
      <c r="D117" s="3"/>
      <c r="E117" s="3"/>
      <c r="F117" s="3"/>
      <c r="G117" s="3"/>
      <c r="H117" s="3"/>
      <c r="I117" s="3"/>
      <c r="J117" s="3"/>
      <c r="K117" s="3"/>
      <c r="L117" s="3"/>
      <c r="M117" s="3"/>
      <c r="N117" s="3"/>
      <c r="O117" s="3"/>
      <c r="P117" s="3"/>
      <c r="Q117" s="3"/>
      <c r="R117" s="3"/>
      <c r="S117" s="3"/>
      <c r="W117" s="3"/>
    </row>
    <row r="118" spans="1:23" s="4" customFormat="1" ht="14.25">
      <c r="A118" s="3"/>
      <c r="B118" s="3"/>
      <c r="C118" s="3"/>
      <c r="D118" s="3"/>
      <c r="E118" s="3"/>
      <c r="F118" s="3"/>
      <c r="G118" s="3"/>
      <c r="H118" s="3"/>
      <c r="I118" s="3"/>
      <c r="J118" s="3"/>
      <c r="K118" s="3"/>
      <c r="L118" s="3"/>
      <c r="M118" s="3"/>
      <c r="N118" s="3"/>
      <c r="O118" s="3"/>
      <c r="P118" s="3"/>
      <c r="Q118" s="3"/>
      <c r="R118" s="3"/>
      <c r="S118" s="3"/>
      <c r="W118" s="3"/>
    </row>
    <row r="119" spans="1:23" s="4" customFormat="1" ht="14.25">
      <c r="A119" s="3"/>
      <c r="B119" s="3"/>
      <c r="C119" s="3"/>
      <c r="D119" s="3"/>
      <c r="E119" s="3"/>
      <c r="F119" s="3"/>
      <c r="G119" s="3"/>
      <c r="H119" s="3"/>
      <c r="I119" s="3"/>
      <c r="J119" s="3"/>
      <c r="K119" s="3"/>
      <c r="L119" s="3"/>
      <c r="M119" s="3"/>
      <c r="N119" s="3"/>
      <c r="O119" s="3"/>
      <c r="P119" s="3"/>
      <c r="Q119" s="3"/>
      <c r="R119" s="3"/>
      <c r="S119" s="3"/>
      <c r="W119" s="3"/>
    </row>
  </sheetData>
  <sheetProtection algorithmName="SHA-512" hashValue="h9ppAy8lrTScjTWZMyd5Lwi2qsHMtBriTaVBq0lMJzh9cc3k1UATQgsHzeMnvXuRPkN8rmQWxJ+SW1oWvdVqaw==" saltValue="zdxP7Ba6YvYRfELDqmJLLA==" spinCount="100000" sheet="1" objects="1" scenarios="1"/>
  <protectedRanges>
    <protectedRange sqref="O89:O109 I89:I109 B89:G109" name="Range1"/>
  </protectedRanges>
  <hyperlinks>
    <hyperlink ref="B46" r:id="rId1" location="National-Tariff-Payment-System" xr:uid="{20EB959E-79F7-4539-9E86-3ADDF93D0860}"/>
    <hyperlink ref="B76" r:id="rId2" location="National-Tariff-Payment-System" xr:uid="{AB2CBFFE-3AD6-4F6E-9946-DBE217E0603D}"/>
    <hyperlink ref="C112" r:id="rId3" xr:uid="{13C35F70-0760-4A4C-9B70-A4493B71B75B}"/>
  </hyperlinks>
  <pageMargins left="0.70866141732283472" right="0.70866141732283472" top="0.74803149606299213" bottom="0.74803149606299213" header="0.31496062992125984" footer="0.31496062992125984"/>
  <pageSetup paperSize="9" scale="35" orientation="portrait" r:id="rId4"/>
  <ignoredErrors>
    <ignoredError sqref="H20 H10 H31" unlockedFormula="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8"/>
  <sheetViews>
    <sheetView showGridLines="0" zoomScale="80" zoomScaleNormal="80" zoomScaleSheetLayoutView="80" workbookViewId="0"/>
  </sheetViews>
  <sheetFormatPr defaultColWidth="8.85546875" defaultRowHeight="15"/>
  <cols>
    <col min="1" max="1" width="3.5703125" customWidth="1"/>
    <col min="2" max="2" width="65.2851562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c r="B1" s="512" t="str">
        <f>'Inputs and eligible population'!B1</f>
        <v>Selpercatinib for advanced thyroid cancer with RET alterations untreated with a targeted cancer drug in people 12 years and over</v>
      </c>
      <c r="C1" s="143"/>
      <c r="D1" s="140"/>
      <c r="E1" s="140"/>
      <c r="F1" s="140"/>
      <c r="G1" s="140"/>
      <c r="H1" s="140"/>
      <c r="I1" s="140"/>
      <c r="J1" s="140"/>
    </row>
    <row r="2" spans="2:10" ht="30" customHeight="1">
      <c r="B2" s="361" t="s">
        <v>16</v>
      </c>
      <c r="C2" s="140"/>
      <c r="E2" s="126" t="s">
        <v>738</v>
      </c>
      <c r="F2" s="126" t="s">
        <v>738</v>
      </c>
      <c r="G2" s="126" t="s">
        <v>738</v>
      </c>
      <c r="H2" s="126" t="s">
        <v>738</v>
      </c>
      <c r="I2" s="126" t="s">
        <v>738</v>
      </c>
      <c r="J2" s="140"/>
    </row>
    <row r="3" spans="2:10">
      <c r="B3" s="129" t="s">
        <v>738</v>
      </c>
      <c r="C3" s="129"/>
      <c r="D3" s="132" t="s">
        <v>738</v>
      </c>
      <c r="E3" s="132" t="s">
        <v>738</v>
      </c>
      <c r="F3" s="132" t="s">
        <v>738</v>
      </c>
      <c r="G3" s="132" t="s">
        <v>738</v>
      </c>
      <c r="H3" s="132" t="s">
        <v>738</v>
      </c>
      <c r="I3" s="132" t="s">
        <v>738</v>
      </c>
      <c r="J3" s="140"/>
    </row>
    <row r="4" spans="2:10" ht="45">
      <c r="B4" s="253" t="s">
        <v>790</v>
      </c>
      <c r="C4" s="234" t="s">
        <v>791</v>
      </c>
      <c r="D4" s="266" t="s">
        <v>674</v>
      </c>
      <c r="E4" s="266" t="s">
        <v>675</v>
      </c>
      <c r="F4" s="267" t="s">
        <v>792</v>
      </c>
      <c r="G4" s="267" t="s">
        <v>793</v>
      </c>
      <c r="H4" s="266" t="s">
        <v>794</v>
      </c>
      <c r="J4" s="140"/>
    </row>
    <row r="5" spans="2:10" s="147" customFormat="1">
      <c r="B5" s="166" t="s">
        <v>1035</v>
      </c>
      <c r="C5" s="127">
        <f>'Inputs and eligible population'!F47</f>
        <v>20.26174518060494</v>
      </c>
      <c r="D5" s="127">
        <f>'Inputs and eligible population'!G47</f>
        <v>20.457105026519521</v>
      </c>
      <c r="E5" s="127">
        <f>'Inputs and eligible population'!H47</f>
        <v>20.654348494454595</v>
      </c>
      <c r="F5" s="127">
        <f>'Inputs and eligible population'!I47</f>
        <v>20.853493745931015</v>
      </c>
      <c r="G5" s="127">
        <f>'Inputs and eligible population'!J47</f>
        <v>21.054559117579526</v>
      </c>
      <c r="H5" s="127">
        <f>'Inputs and eligible population'!K47</f>
        <v>21.257563122829136</v>
      </c>
      <c r="I5"/>
      <c r="J5" s="140"/>
    </row>
    <row r="6" spans="2:10" s="147" customFormat="1">
      <c r="B6" s="166" t="s">
        <v>1038</v>
      </c>
      <c r="C6" s="127">
        <f>'Inputs and eligible population'!F48</f>
        <v>7.7187600688018829</v>
      </c>
      <c r="D6" s="127">
        <f>'Inputs and eligible population'!G48</f>
        <v>7.793182867245533</v>
      </c>
      <c r="E6" s="127">
        <f>'Inputs and eligible population'!H48</f>
        <v>7.8683232359827038</v>
      </c>
      <c r="F6" s="127">
        <f>'Inputs and eligible population'!I48</f>
        <v>7.9441880936880072</v>
      </c>
      <c r="G6" s="127">
        <f>'Inputs and eligible population'!J48</f>
        <v>8.0207844257445835</v>
      </c>
      <c r="H6" s="127">
        <f>'Inputs and eligible population'!K48</f>
        <v>8.0981192848872912</v>
      </c>
      <c r="I6"/>
      <c r="J6" s="140"/>
    </row>
    <row r="7" spans="2:10" s="147" customFormat="1">
      <c r="B7" s="166" t="s">
        <v>1036</v>
      </c>
      <c r="C7" s="127">
        <f>SUM(C5:C6)</f>
        <v>27.980505249406825</v>
      </c>
      <c r="D7" s="127">
        <f t="shared" ref="D7:H7" si="0">SUM(D5:D6)</f>
        <v>28.250287893765055</v>
      </c>
      <c r="E7" s="127">
        <f t="shared" si="0"/>
        <v>28.522671730437299</v>
      </c>
      <c r="F7" s="127">
        <f t="shared" si="0"/>
        <v>28.797681839619024</v>
      </c>
      <c r="G7" s="127">
        <f t="shared" si="0"/>
        <v>29.075343543324109</v>
      </c>
      <c r="H7" s="127">
        <f t="shared" si="0"/>
        <v>29.355682407716429</v>
      </c>
      <c r="I7"/>
      <c r="J7" s="140"/>
    </row>
    <row r="8" spans="2:10">
      <c r="B8" s="255" t="s">
        <v>1037</v>
      </c>
      <c r="C8" s="493">
        <f>'Inputs and eligible population'!E78</f>
        <v>0</v>
      </c>
      <c r="D8" s="493">
        <f>'Inputs and eligible population'!F78</f>
        <v>0.5</v>
      </c>
      <c r="E8" s="493">
        <f>'Inputs and eligible population'!G78</f>
        <v>0.95</v>
      </c>
      <c r="F8" s="493">
        <f>'Inputs and eligible population'!H78</f>
        <v>0.95</v>
      </c>
      <c r="G8" s="493">
        <f>'Inputs and eligible population'!I78</f>
        <v>0.95</v>
      </c>
      <c r="H8" s="493">
        <f>'Inputs and eligible population'!J78</f>
        <v>0.95</v>
      </c>
      <c r="J8" s="140"/>
    </row>
    <row r="9" spans="2:10">
      <c r="B9" s="255" t="s">
        <v>1039</v>
      </c>
      <c r="C9" s="493">
        <f>'Inputs and eligible population'!E83</f>
        <v>0</v>
      </c>
      <c r="D9" s="493">
        <f>'Inputs and eligible population'!F83</f>
        <v>0.5</v>
      </c>
      <c r="E9" s="493">
        <f>'Inputs and eligible population'!G83</f>
        <v>0.95</v>
      </c>
      <c r="F9" s="493">
        <f>'Inputs and eligible population'!H83</f>
        <v>0.95</v>
      </c>
      <c r="G9" s="493">
        <f>'Inputs and eligible population'!I83</f>
        <v>0.95</v>
      </c>
      <c r="H9" s="493">
        <f>'Inputs and eligible population'!J83</f>
        <v>0.95</v>
      </c>
      <c r="J9" s="140"/>
    </row>
    <row r="10" spans="2:10">
      <c r="B10" s="166" t="s">
        <v>1040</v>
      </c>
      <c r="C10" s="127">
        <f>'Financial impact (cash)'!D13+'Financial impact (cash)'!D14</f>
        <v>0</v>
      </c>
      <c r="D10" s="127">
        <f>'Financial impact (cash)'!E13+'Financial impact (cash)'!E14</f>
        <v>14.125143946882528</v>
      </c>
      <c r="E10" s="127">
        <f>'Financial impact (cash)'!F13+'Financial impact (cash)'!F14</f>
        <v>27.096538143915435</v>
      </c>
      <c r="F10" s="127">
        <f>'Financial impact (cash)'!G13+'Financial impact (cash)'!G14</f>
        <v>27.35779774763807</v>
      </c>
      <c r="G10" s="127">
        <f>'Financial impact (cash)'!H13+'Financial impact (cash)'!H14</f>
        <v>27.621576366157903</v>
      </c>
      <c r="H10" s="127">
        <f>'Financial impact (cash)'!I13+'Financial impact (cash)'!I14</f>
        <v>27.887898287330604</v>
      </c>
      <c r="J10" s="132"/>
    </row>
    <row r="11" spans="2:10" ht="14.45" customHeight="1">
      <c r="B11" s="240"/>
      <c r="C11" s="240"/>
      <c r="D11" s="132"/>
      <c r="E11" s="132"/>
      <c r="F11" s="132"/>
      <c r="G11" s="132"/>
      <c r="H11" s="132"/>
      <c r="J11" s="132"/>
    </row>
    <row r="12" spans="2:10" ht="45">
      <c r="B12" s="260" t="s">
        <v>796</v>
      </c>
      <c r="C12" s="234" t="s">
        <v>791</v>
      </c>
      <c r="D12" s="266" t="s">
        <v>674</v>
      </c>
      <c r="E12" s="266" t="s">
        <v>675</v>
      </c>
      <c r="F12" s="267" t="s">
        <v>792</v>
      </c>
      <c r="G12" s="267" t="s">
        <v>793</v>
      </c>
      <c r="H12" s="266" t="s">
        <v>794</v>
      </c>
      <c r="J12" s="132"/>
    </row>
    <row r="13" spans="2:10">
      <c r="B13" s="326" t="s">
        <v>927</v>
      </c>
      <c r="C13" s="127">
        <f>C10</f>
        <v>0</v>
      </c>
      <c r="D13" s="127">
        <f t="shared" ref="D13:H13" si="1">D10</f>
        <v>14.125143946882528</v>
      </c>
      <c r="E13" s="127">
        <f t="shared" si="1"/>
        <v>27.096538143915435</v>
      </c>
      <c r="F13" s="127">
        <f t="shared" si="1"/>
        <v>27.35779774763807</v>
      </c>
      <c r="G13" s="127">
        <f t="shared" si="1"/>
        <v>27.621576366157903</v>
      </c>
      <c r="H13" s="127">
        <f t="shared" si="1"/>
        <v>27.887898287330604</v>
      </c>
      <c r="J13" s="132"/>
    </row>
    <row r="14" spans="2:10">
      <c r="B14" s="326" t="s">
        <v>958</v>
      </c>
      <c r="C14" s="127">
        <f>'Financial impact (cash)'!D15</f>
        <v>20.26174518060494</v>
      </c>
      <c r="D14" s="127">
        <f>'Financial impact (cash)'!E15</f>
        <v>10.228552513259761</v>
      </c>
      <c r="E14" s="127">
        <f>'Financial impact (cash)'!F15</f>
        <v>1.0327174247227298</v>
      </c>
      <c r="F14" s="127">
        <f>'Financial impact (cash)'!G15</f>
        <v>1.0426746872965509</v>
      </c>
      <c r="G14" s="127">
        <f>'Financial impact (cash)'!H15</f>
        <v>1.0527279558789764</v>
      </c>
      <c r="H14" s="127">
        <f>'Financial impact (cash)'!I15</f>
        <v>1.0628781561414569</v>
      </c>
      <c r="J14" s="132"/>
    </row>
    <row r="15" spans="2:10">
      <c r="B15" s="326" t="s">
        <v>934</v>
      </c>
      <c r="C15" s="127">
        <f>'Financial impact (cash)'!D16</f>
        <v>7.1398530636417421</v>
      </c>
      <c r="D15" s="127">
        <f>'Financial impact (cash)'!E16</f>
        <v>3.5848641189329453</v>
      </c>
      <c r="E15" s="127">
        <f>'Financial impact (cash)'!F16</f>
        <v>0.36390994966420004</v>
      </c>
      <c r="F15" s="127">
        <f>'Financial impact (cash)'!G16</f>
        <v>0.36741869933307031</v>
      </c>
      <c r="G15" s="127">
        <f>'Financial impact (cash)'!H16</f>
        <v>0.37096127969068698</v>
      </c>
      <c r="H15" s="127">
        <f>'Financial impact (cash)'!I16</f>
        <v>0.37453801692603722</v>
      </c>
      <c r="J15" s="132"/>
    </row>
    <row r="16" spans="2:10">
      <c r="B16" s="326" t="s">
        <v>935</v>
      </c>
      <c r="C16" s="127">
        <f>'Financial impact (cash)'!D17</f>
        <v>0.57890700516014115</v>
      </c>
      <c r="D16" s="127">
        <f>'Financial impact (cash)'!E17</f>
        <v>0.29224435752170747</v>
      </c>
      <c r="E16" s="127">
        <f>'Financial impact (cash)'!F17</f>
        <v>2.9506212134935136E-2</v>
      </c>
      <c r="F16" s="127">
        <f>'Financial impact (cash)'!G17</f>
        <v>5.958141070266005E-2</v>
      </c>
      <c r="G16" s="127">
        <f>'Financial impact (cash)'!H17</f>
        <v>6.0155883193084375E-2</v>
      </c>
      <c r="H16" s="127">
        <f>'Financial impact (cash)'!I17</f>
        <v>6.0735894636654679E-2</v>
      </c>
      <c r="J16" s="132"/>
    </row>
    <row r="17" spans="1:10">
      <c r="B17" s="261"/>
      <c r="C17" s="179">
        <f t="shared" ref="C17:H17" si="2">SUM(C13:C16)</f>
        <v>27.980505249406821</v>
      </c>
      <c r="D17" s="179">
        <f t="shared" si="2"/>
        <v>28.23080493659694</v>
      </c>
      <c r="E17" s="179">
        <f t="shared" si="2"/>
        <v>28.522671730437303</v>
      </c>
      <c r="F17" s="179">
        <f t="shared" si="2"/>
        <v>28.827472544970348</v>
      </c>
      <c r="G17" s="179">
        <f t="shared" si="2"/>
        <v>29.105421484920647</v>
      </c>
      <c r="H17" s="179">
        <f t="shared" si="2"/>
        <v>29.386050355034754</v>
      </c>
      <c r="J17" s="132"/>
    </row>
    <row r="18" spans="1:10" ht="15.75" thickBot="1">
      <c r="B18" s="470"/>
      <c r="C18" s="470"/>
      <c r="D18" s="471"/>
      <c r="E18" s="471"/>
      <c r="F18" s="471"/>
      <c r="G18" s="471"/>
      <c r="H18" s="471"/>
      <c r="I18" s="472"/>
      <c r="J18" s="132"/>
    </row>
    <row r="19" spans="1:10">
      <c r="B19" s="263"/>
      <c r="C19" s="263"/>
      <c r="D19" s="315"/>
      <c r="E19" s="315"/>
      <c r="F19" s="315"/>
      <c r="G19" s="315"/>
      <c r="H19" s="315"/>
      <c r="I19" s="132"/>
      <c r="J19" s="132"/>
    </row>
    <row r="20" spans="1:10" ht="45">
      <c r="B20" s="256" t="s">
        <v>797</v>
      </c>
      <c r="C20" s="234" t="s">
        <v>791</v>
      </c>
      <c r="D20" s="266" t="s">
        <v>674</v>
      </c>
      <c r="E20" s="266" t="s">
        <v>675</v>
      </c>
      <c r="F20" s="267" t="s">
        <v>792</v>
      </c>
      <c r="G20" s="267" t="s">
        <v>793</v>
      </c>
      <c r="H20" s="266" t="s">
        <v>794</v>
      </c>
      <c r="I20" s="132"/>
      <c r="J20" s="132"/>
    </row>
    <row r="21" spans="1:10">
      <c r="B21" s="288" t="s">
        <v>798</v>
      </c>
      <c r="C21" s="672" t="s">
        <v>799</v>
      </c>
      <c r="D21" s="672" t="s">
        <v>799</v>
      </c>
      <c r="E21" s="672" t="s">
        <v>799</v>
      </c>
      <c r="F21" s="672" t="s">
        <v>799</v>
      </c>
      <c r="G21" s="672" t="s">
        <v>799</v>
      </c>
      <c r="H21" s="672" t="s">
        <v>799</v>
      </c>
      <c r="I21" s="132"/>
      <c r="J21" s="132"/>
    </row>
    <row r="22" spans="1:10">
      <c r="B22" s="262" t="s">
        <v>800</v>
      </c>
      <c r="C22" s="248">
        <f>'Financial impact (cash)'!D51</f>
        <v>0</v>
      </c>
      <c r="D22" s="248">
        <f>'Financial impact (cash)'!E51</f>
        <v>0</v>
      </c>
      <c r="E22" s="248">
        <f>'Financial impact (cash)'!F51</f>
        <v>0</v>
      </c>
      <c r="F22" s="248">
        <f>'Financial impact (cash)'!G51</f>
        <v>0</v>
      </c>
      <c r="G22" s="248">
        <f>'Financial impact (cash)'!H51</f>
        <v>0</v>
      </c>
      <c r="H22" s="248">
        <f>'Financial impact (cash)'!I51</f>
        <v>0</v>
      </c>
      <c r="I22" s="132"/>
      <c r="J22" s="132"/>
    </row>
    <row r="23" spans="1:10">
      <c r="C23" s="77"/>
      <c r="D23" s="193">
        <f>D22-$C$22</f>
        <v>0</v>
      </c>
      <c r="E23" s="193">
        <f>E22-$C$22</f>
        <v>0</v>
      </c>
      <c r="F23" s="193">
        <f>F22-$C$22</f>
        <v>0</v>
      </c>
      <c r="G23" s="193">
        <f>G22-$C$22</f>
        <v>0</v>
      </c>
      <c r="H23" s="193">
        <f>H22-$C$22</f>
        <v>0</v>
      </c>
      <c r="I23" s="431" t="s">
        <v>801</v>
      </c>
      <c r="J23" s="132"/>
    </row>
    <row r="24" spans="1:10">
      <c r="C24" s="87"/>
      <c r="D24" s="193">
        <f>D22-C22</f>
        <v>0</v>
      </c>
      <c r="E24" s="193">
        <f>E22-D22</f>
        <v>0</v>
      </c>
      <c r="F24" s="193">
        <f>F22-E22</f>
        <v>0</v>
      </c>
      <c r="G24" s="193">
        <f>G22-F22</f>
        <v>0</v>
      </c>
      <c r="H24" s="193">
        <f>H22-G22</f>
        <v>0</v>
      </c>
      <c r="I24" s="431" t="s">
        <v>802</v>
      </c>
      <c r="J24" s="132"/>
    </row>
    <row r="25" spans="1:10">
      <c r="B25" s="263"/>
      <c r="C25" s="263"/>
      <c r="D25" s="382"/>
      <c r="E25" s="382"/>
      <c r="F25" s="382"/>
      <c r="G25" s="382"/>
      <c r="H25" s="382"/>
      <c r="J25" s="132"/>
    </row>
    <row r="26" spans="1:10">
      <c r="B26" t="s">
        <v>803</v>
      </c>
      <c r="C26" s="263"/>
      <c r="D26" s="382"/>
      <c r="E26" s="382"/>
      <c r="F26" s="382"/>
      <c r="G26" s="382"/>
      <c r="H26" s="382"/>
      <c r="J26" s="132"/>
    </row>
    <row r="27" spans="1:10">
      <c r="B27" s="587" t="s">
        <v>50</v>
      </c>
      <c r="C27" s="263"/>
      <c r="D27" s="382"/>
      <c r="E27" s="382"/>
      <c r="F27" s="382"/>
      <c r="G27" s="382"/>
      <c r="H27" s="382"/>
      <c r="J27" s="132"/>
    </row>
    <row r="28" spans="1:10">
      <c r="B28" s="263"/>
      <c r="C28" s="263"/>
      <c r="D28" s="382"/>
      <c r="E28" s="382"/>
      <c r="F28" s="382"/>
      <c r="G28" s="382"/>
      <c r="H28" s="382"/>
      <c r="J28" s="132"/>
    </row>
    <row r="29" spans="1:10" ht="45">
      <c r="A29" s="382"/>
      <c r="B29" s="256" t="s">
        <v>804</v>
      </c>
      <c r="C29" s="234" t="s">
        <v>791</v>
      </c>
      <c r="D29" s="266" t="s">
        <v>674</v>
      </c>
      <c r="E29" s="266" t="s">
        <v>675</v>
      </c>
      <c r="F29" s="267" t="s">
        <v>792</v>
      </c>
      <c r="G29" s="267" t="s">
        <v>793</v>
      </c>
      <c r="H29" s="266" t="s">
        <v>794</v>
      </c>
      <c r="J29" s="132"/>
    </row>
    <row r="30" spans="1:10">
      <c r="A30" s="382"/>
      <c r="B30" s="288" t="s">
        <v>805</v>
      </c>
      <c r="C30" s="672" t="s">
        <v>799</v>
      </c>
      <c r="D30" s="672" t="s">
        <v>799</v>
      </c>
      <c r="E30" s="672" t="s">
        <v>799</v>
      </c>
      <c r="F30" s="672" t="s">
        <v>799</v>
      </c>
      <c r="G30" s="672" t="s">
        <v>799</v>
      </c>
      <c r="H30" s="672" t="s">
        <v>799</v>
      </c>
      <c r="J30" s="132"/>
    </row>
    <row r="31" spans="1:10">
      <c r="A31" s="382"/>
      <c r="B31" s="262" t="s">
        <v>806</v>
      </c>
      <c r="C31" s="248">
        <f>IF($B$27="national prices",'Capacity (national prices)'!L20,IF($B$27="local prices",'Capacity (local prices)'!L21,0))</f>
        <v>32.14404891122328</v>
      </c>
      <c r="D31" s="248">
        <f>IF($B$27="national prices",'Capacity (national prices)'!M20,IF($B$27="local prices",'Capacity (local prices)'!M21,0))</f>
        <v>22.179373764561262</v>
      </c>
      <c r="E31" s="248">
        <f>IF($B$27="national prices",'Capacity (national prices)'!N20,IF($B$27="local prices",'Capacity (local prices)'!N21,0))</f>
        <v>13.076432626097175</v>
      </c>
      <c r="F31" s="248">
        <f>IF($B$27="national prices",'Capacity (national prices)'!O20,IF($B$27="local prices",'Capacity (local prices)'!O21,0))</f>
        <v>13.223549896418374</v>
      </c>
      <c r="G31" s="248">
        <f>IF($B$27="national prices",'Capacity (national prices)'!P20,IF($B$27="local prices",'Capacity (local prices)'!P21,0))</f>
        <v>13.351048818509298</v>
      </c>
      <c r="H31" s="248">
        <f>IF($B$27="national prices",'Capacity (national prices)'!Q20,IF($B$27="local prices",'Capacity (local prices)'!Q21,0))</f>
        <v>13.479777060658877</v>
      </c>
      <c r="J31" s="132"/>
    </row>
    <row r="32" spans="1:10">
      <c r="A32" s="382"/>
      <c r="C32" s="77"/>
      <c r="D32" s="193">
        <f>D31-$C$31</f>
        <v>-9.9646751466620174</v>
      </c>
      <c r="E32" s="193">
        <f>E31-$C$31</f>
        <v>-19.067616285126107</v>
      </c>
      <c r="F32" s="193">
        <f>F31-$C$31</f>
        <v>-18.920499014804903</v>
      </c>
      <c r="G32" s="193">
        <f>G31-$C$31</f>
        <v>-18.793000092713982</v>
      </c>
      <c r="H32" s="193">
        <f>H31-$C$31</f>
        <v>-18.664271850564404</v>
      </c>
      <c r="I32" s="431" t="s">
        <v>801</v>
      </c>
      <c r="J32" s="132"/>
    </row>
    <row r="33" spans="1:10">
      <c r="A33" s="382"/>
      <c r="C33" s="87"/>
      <c r="D33" s="193">
        <f>D31-C31</f>
        <v>-9.9646751466620174</v>
      </c>
      <c r="E33" s="193">
        <f>E31-D31</f>
        <v>-9.1029411384640877</v>
      </c>
      <c r="F33" s="193">
        <f>F31-E31</f>
        <v>0.14711727032119981</v>
      </c>
      <c r="G33" s="193">
        <f>G31-F31</f>
        <v>0.12749892209092373</v>
      </c>
      <c r="H33" s="193">
        <f>H31-G31</f>
        <v>0.12872824214957923</v>
      </c>
      <c r="I33" s="431" t="s">
        <v>802</v>
      </c>
      <c r="J33" s="132"/>
    </row>
    <row r="34" spans="1:10">
      <c r="A34" s="382"/>
      <c r="B34" s="382"/>
      <c r="C34" s="382"/>
      <c r="D34" s="382"/>
      <c r="E34" s="382"/>
      <c r="F34" s="382"/>
      <c r="G34" s="382"/>
      <c r="H34" s="382"/>
      <c r="J34" s="132"/>
    </row>
    <row r="35" spans="1:10" ht="45">
      <c r="A35" s="382"/>
      <c r="B35" s="256" t="s">
        <v>807</v>
      </c>
      <c r="C35" s="234" t="s">
        <v>791</v>
      </c>
      <c r="D35" s="266" t="s">
        <v>674</v>
      </c>
      <c r="E35" s="266" t="s">
        <v>675</v>
      </c>
      <c r="F35" s="267" t="s">
        <v>792</v>
      </c>
      <c r="G35" s="267" t="s">
        <v>793</v>
      </c>
      <c r="H35" s="266" t="s">
        <v>794</v>
      </c>
      <c r="J35" s="132"/>
    </row>
    <row r="36" spans="1:10">
      <c r="B36" s="288"/>
      <c r="C36" s="672" t="s">
        <v>799</v>
      </c>
      <c r="D36" s="672" t="s">
        <v>799</v>
      </c>
      <c r="E36" s="672" t="s">
        <v>799</v>
      </c>
      <c r="F36" s="672" t="s">
        <v>799</v>
      </c>
      <c r="G36" s="672" t="s">
        <v>799</v>
      </c>
      <c r="H36" s="672" t="s">
        <v>799</v>
      </c>
      <c r="I36" s="132"/>
      <c r="J36" s="132"/>
    </row>
    <row r="37" spans="1:10">
      <c r="B37" s="466" t="s">
        <v>808</v>
      </c>
      <c r="C37" s="485">
        <f>C22+C31</f>
        <v>32.14404891122328</v>
      </c>
      <c r="D37" s="485">
        <f t="shared" ref="D37:H37" si="3">D22+D31</f>
        <v>22.179373764561262</v>
      </c>
      <c r="E37" s="485">
        <f t="shared" si="3"/>
        <v>13.076432626097175</v>
      </c>
      <c r="F37" s="485">
        <f t="shared" si="3"/>
        <v>13.223549896418374</v>
      </c>
      <c r="G37" s="485">
        <f t="shared" si="3"/>
        <v>13.351048818509298</v>
      </c>
      <c r="H37" s="485">
        <f t="shared" si="3"/>
        <v>13.479777060658877</v>
      </c>
      <c r="I37" s="132"/>
      <c r="J37" s="132"/>
    </row>
    <row r="38" spans="1:10">
      <c r="B38" s="465"/>
      <c r="C38" s="467"/>
      <c r="D38" s="468">
        <f>D37-$C$37</f>
        <v>-9.9646751466620174</v>
      </c>
      <c r="E38" s="468">
        <f t="shared" ref="E38:H38" si="4">E37-$C$37</f>
        <v>-19.067616285126107</v>
      </c>
      <c r="F38" s="468">
        <f t="shared" si="4"/>
        <v>-18.920499014804903</v>
      </c>
      <c r="G38" s="468">
        <f t="shared" si="4"/>
        <v>-18.793000092713982</v>
      </c>
      <c r="H38" s="468">
        <f t="shared" si="4"/>
        <v>-18.664271850564404</v>
      </c>
      <c r="I38" s="431" t="s">
        <v>801</v>
      </c>
      <c r="J38" s="132"/>
    </row>
    <row r="39" spans="1:10">
      <c r="B39" s="465"/>
      <c r="C39" s="467"/>
      <c r="D39" s="469">
        <f>D37-C37</f>
        <v>-9.9646751466620174</v>
      </c>
      <c r="E39" s="469">
        <f>E37-D37</f>
        <v>-9.1029411384640877</v>
      </c>
      <c r="F39" s="469">
        <f>F37-E37</f>
        <v>0.14711727032119981</v>
      </c>
      <c r="G39" s="469">
        <f>G37-F37</f>
        <v>0.12749892209092373</v>
      </c>
      <c r="H39" s="469">
        <f>H37-G37</f>
        <v>0.12872824214957923</v>
      </c>
      <c r="I39" s="431" t="s">
        <v>802</v>
      </c>
      <c r="J39" s="132"/>
    </row>
    <row r="40" spans="1:10" ht="15.75" thickBot="1">
      <c r="B40" s="470"/>
      <c r="C40" s="470"/>
      <c r="D40" s="471"/>
      <c r="E40" s="471"/>
      <c r="F40" s="471"/>
      <c r="G40" s="471"/>
      <c r="H40" s="471"/>
      <c r="I40" s="472"/>
      <c r="J40" s="132"/>
    </row>
    <row r="41" spans="1:10">
      <c r="B41" s="263"/>
      <c r="C41" s="263"/>
      <c r="D41" s="315"/>
      <c r="E41" s="315"/>
      <c r="F41" s="315"/>
      <c r="G41" s="315"/>
      <c r="H41" s="315"/>
      <c r="I41" s="132"/>
      <c r="J41" s="132"/>
    </row>
    <row r="42" spans="1:10" ht="45">
      <c r="B42" s="256" t="s">
        <v>809</v>
      </c>
      <c r="C42" s="458"/>
      <c r="D42" s="266" t="s">
        <v>674</v>
      </c>
      <c r="E42" s="266" t="s">
        <v>675</v>
      </c>
      <c r="F42" s="267" t="s">
        <v>792</v>
      </c>
      <c r="G42" s="267" t="s">
        <v>793</v>
      </c>
      <c r="H42" s="266" t="s">
        <v>794</v>
      </c>
      <c r="I42" s="132"/>
      <c r="J42" s="132"/>
    </row>
    <row r="43" spans="1:10">
      <c r="B43" s="461"/>
      <c r="C43" s="459"/>
      <c r="D43" s="460"/>
      <c r="E43" s="460"/>
      <c r="F43" s="460"/>
      <c r="G43" s="460"/>
      <c r="H43" s="460"/>
      <c r="I43" s="132"/>
      <c r="J43" s="132"/>
    </row>
    <row r="44" spans="1:10">
      <c r="B44" s="256" t="s">
        <v>810</v>
      </c>
      <c r="C44" s="254"/>
      <c r="D44" s="250"/>
      <c r="E44" s="250"/>
      <c r="F44" s="250"/>
      <c r="G44" s="250"/>
      <c r="H44" s="251"/>
      <c r="I44" s="132"/>
      <c r="J44" s="132"/>
    </row>
    <row r="45" spans="1:10">
      <c r="B45" s="585" t="s">
        <v>811</v>
      </c>
      <c r="C45" s="584"/>
      <c r="D45" s="586">
        <f>'Capacity (local prices)'!E32</f>
        <v>0.25029968719011819</v>
      </c>
      <c r="E45" s="586">
        <f>'Capacity (local prices)'!F32</f>
        <v>0.54216648103048115</v>
      </c>
      <c r="F45" s="586">
        <f>'Capacity (local prices)'!G32</f>
        <v>0.84696729556352679</v>
      </c>
      <c r="G45" s="586">
        <f>'Capacity (local prices)'!H32</f>
        <v>1.124916235513826</v>
      </c>
      <c r="H45" s="586">
        <f>'Capacity (local prices)'!I32</f>
        <v>1.4055451056279331</v>
      </c>
      <c r="I45" s="132"/>
      <c r="J45" s="132"/>
    </row>
    <row r="46" spans="1:10">
      <c r="B46" s="585" t="s">
        <v>812</v>
      </c>
      <c r="C46" s="584"/>
      <c r="D46" s="586">
        <f>'Capacity (local prices)'!E62</f>
        <v>0</v>
      </c>
      <c r="E46" s="586">
        <f>'Capacity (local prices)'!F62</f>
        <v>0</v>
      </c>
      <c r="F46" s="586">
        <f>'Capacity (local prices)'!G62</f>
        <v>0</v>
      </c>
      <c r="G46" s="586">
        <f>'Capacity (local prices)'!H62</f>
        <v>0</v>
      </c>
      <c r="H46" s="586">
        <f>'Capacity (local prices)'!I62</f>
        <v>0</v>
      </c>
      <c r="I46" s="132"/>
      <c r="J46" s="132"/>
    </row>
    <row r="47" spans="1:10">
      <c r="B47" s="258" t="s">
        <v>1186</v>
      </c>
      <c r="C47" s="259"/>
      <c r="D47" s="179">
        <f>'Capacity (local prices)'!E99</f>
        <v>0</v>
      </c>
      <c r="E47" s="179">
        <f>'Capacity (local prices)'!F99</f>
        <v>0</v>
      </c>
      <c r="F47" s="179">
        <f>'Capacity (local prices)'!G99</f>
        <v>0</v>
      </c>
      <c r="G47" s="179">
        <f>'Capacity (local prices)'!H99</f>
        <v>0</v>
      </c>
      <c r="H47" s="179">
        <f>'Capacity (local prices)'!I99</f>
        <v>0</v>
      </c>
      <c r="I47" s="132"/>
      <c r="J47" s="132"/>
    </row>
    <row r="48" spans="1:10">
      <c r="B48" s="258" t="s">
        <v>1187</v>
      </c>
      <c r="C48" s="259"/>
      <c r="D48" s="179">
        <f>'Capacity (local prices)'!E129</f>
        <v>0</v>
      </c>
      <c r="E48" s="179">
        <f>'Capacity (local prices)'!F129</f>
        <v>0</v>
      </c>
      <c r="F48" s="179">
        <f>'Capacity (local prices)'!G129</f>
        <v>0</v>
      </c>
      <c r="G48" s="179">
        <f>'Capacity (local prices)'!H129</f>
        <v>0</v>
      </c>
      <c r="H48" s="179">
        <f>'Capacity (local prices)'!I129</f>
        <v>0</v>
      </c>
      <c r="I48" s="132"/>
      <c r="J48" s="132"/>
    </row>
    <row r="49" spans="2:10">
      <c r="B49" s="879"/>
      <c r="C49" s="879"/>
      <c r="D49" s="880"/>
      <c r="E49" s="880"/>
      <c r="F49" s="880"/>
      <c r="G49" s="880"/>
      <c r="H49" s="880"/>
      <c r="I49" s="132"/>
      <c r="J49" s="132"/>
    </row>
    <row r="50" spans="2:10">
      <c r="B50" s="256" t="s">
        <v>1171</v>
      </c>
      <c r="C50" s="257"/>
      <c r="D50" s="250"/>
      <c r="E50" s="250"/>
      <c r="F50" s="250"/>
      <c r="G50" s="250"/>
      <c r="H50" s="251"/>
      <c r="I50" s="132"/>
      <c r="J50" s="132"/>
    </row>
    <row r="51" spans="2:10">
      <c r="B51" s="258" t="s">
        <v>1172</v>
      </c>
      <c r="C51" s="259"/>
      <c r="D51" s="179">
        <f>'Capacity (local prices)'!E93</f>
        <v>0</v>
      </c>
      <c r="E51" s="179">
        <f>'Capacity (local prices)'!F93</f>
        <v>0</v>
      </c>
      <c r="F51" s="179">
        <f>'Capacity (local prices)'!G93</f>
        <v>0</v>
      </c>
      <c r="G51" s="179">
        <f>'Capacity (local prices)'!H93</f>
        <v>0</v>
      </c>
      <c r="H51" s="179">
        <f>'Capacity (local prices)'!I93</f>
        <v>0</v>
      </c>
      <c r="I51" s="132"/>
      <c r="J51" s="132"/>
    </row>
    <row r="52" spans="2:10">
      <c r="I52" s="132"/>
      <c r="J52" s="132"/>
    </row>
    <row r="53" spans="2:10">
      <c r="B53" s="256" t="s">
        <v>813</v>
      </c>
      <c r="C53" s="257"/>
      <c r="D53" s="250"/>
      <c r="E53" s="250"/>
      <c r="F53" s="250"/>
      <c r="G53" s="250"/>
      <c r="H53" s="251"/>
      <c r="I53" s="132"/>
      <c r="J53" s="132"/>
    </row>
    <row r="54" spans="2:10">
      <c r="B54" s="322" t="s">
        <v>814</v>
      </c>
      <c r="C54" s="264"/>
      <c r="D54" s="360">
        <f>'Capacity (local prices)'!E160</f>
        <v>0</v>
      </c>
      <c r="E54" s="179">
        <f>'Capacity (local prices)'!F160</f>
        <v>0</v>
      </c>
      <c r="F54" s="179">
        <f>'Capacity (local prices)'!G160</f>
        <v>0</v>
      </c>
      <c r="G54" s="179">
        <f>'Capacity (local prices)'!H160</f>
        <v>0</v>
      </c>
      <c r="H54" s="179">
        <f>'Capacity (local prices)'!I160</f>
        <v>0</v>
      </c>
      <c r="I54" s="132"/>
      <c r="J54" s="132"/>
    </row>
    <row r="55" spans="2:10">
      <c r="I55" s="132"/>
      <c r="J55" s="132"/>
    </row>
    <row r="56" spans="2:10">
      <c r="B56" s="256" t="s">
        <v>815</v>
      </c>
      <c r="C56" s="257"/>
      <c r="D56" s="250"/>
      <c r="E56" s="250"/>
      <c r="F56" s="250"/>
      <c r="G56" s="250"/>
      <c r="H56" s="251"/>
      <c r="I56" s="132"/>
      <c r="J56" s="132"/>
    </row>
    <row r="57" spans="2:10">
      <c r="B57" s="322" t="s">
        <v>1174</v>
      </c>
      <c r="C57" s="259"/>
      <c r="D57" s="360">
        <f>'Capacity (local prices)'!E191</f>
        <v>0</v>
      </c>
      <c r="E57" s="360">
        <f>'Capacity (local prices)'!F191</f>
        <v>0</v>
      </c>
      <c r="F57" s="360">
        <f>'Capacity (local prices)'!G191</f>
        <v>0</v>
      </c>
      <c r="G57" s="360">
        <f>'Capacity (local prices)'!H191</f>
        <v>0</v>
      </c>
      <c r="H57" s="360">
        <f>'Capacity (local prices)'!I191</f>
        <v>0</v>
      </c>
      <c r="I57" s="132"/>
      <c r="J57" s="132"/>
    </row>
    <row r="58" spans="2:10">
      <c r="B58" s="322" t="s">
        <v>1175</v>
      </c>
      <c r="C58" s="259"/>
      <c r="D58" s="360">
        <f>'Capacity (local prices)'!E221</f>
        <v>0</v>
      </c>
      <c r="E58" s="360">
        <f>'Capacity (local prices)'!F221</f>
        <v>0</v>
      </c>
      <c r="F58" s="360">
        <f>'Capacity (local prices)'!G221</f>
        <v>0</v>
      </c>
      <c r="G58" s="360">
        <f>'Capacity (local prices)'!H221</f>
        <v>0</v>
      </c>
      <c r="H58" s="360">
        <f>'Capacity (local prices)'!I221</f>
        <v>0</v>
      </c>
      <c r="I58" s="132"/>
      <c r="J58" s="132"/>
    </row>
    <row r="59" spans="2:10">
      <c r="B59" s="322" t="s">
        <v>1176</v>
      </c>
      <c r="C59" s="259"/>
      <c r="D59" s="360">
        <f>'Capacity (local prices)'!E251</f>
        <v>0</v>
      </c>
      <c r="E59" s="360">
        <f>'Capacity (local prices)'!F251</f>
        <v>0</v>
      </c>
      <c r="F59" s="360">
        <f>'Capacity (local prices)'!G251</f>
        <v>0</v>
      </c>
      <c r="G59" s="360">
        <f>'Capacity (local prices)'!H251</f>
        <v>0</v>
      </c>
      <c r="H59" s="360">
        <f>'Capacity (local prices)'!I251</f>
        <v>0</v>
      </c>
      <c r="I59" s="132"/>
      <c r="J59" s="132"/>
    </row>
    <row r="60" spans="2:10">
      <c r="B60" s="322" t="s">
        <v>1177</v>
      </c>
      <c r="C60" s="259"/>
      <c r="D60" s="360">
        <f>'Capacity (local prices)'!E260</f>
        <v>0</v>
      </c>
      <c r="E60" s="360">
        <f>'Capacity (local prices)'!F260</f>
        <v>0</v>
      </c>
      <c r="F60" s="360">
        <f>'Capacity (local prices)'!G260</f>
        <v>0</v>
      </c>
      <c r="G60" s="360">
        <f>'Capacity (local prices)'!H260</f>
        <v>0</v>
      </c>
      <c r="H60" s="360">
        <f>'Capacity (local prices)'!I260</f>
        <v>0</v>
      </c>
      <c r="I60" s="132"/>
      <c r="J60" s="132"/>
    </row>
    <row r="61" spans="2:10">
      <c r="I61" s="132"/>
      <c r="J61" s="132"/>
    </row>
    <row r="62" spans="2:10">
      <c r="B62" s="256" t="s">
        <v>820</v>
      </c>
      <c r="C62" s="254"/>
      <c r="D62" s="250"/>
      <c r="E62" s="250"/>
      <c r="F62" s="250"/>
      <c r="G62" s="250"/>
      <c r="H62" s="251"/>
      <c r="I62" s="132"/>
      <c r="J62" s="132"/>
    </row>
    <row r="63" spans="2:10">
      <c r="B63" s="258" t="s">
        <v>821</v>
      </c>
      <c r="C63" s="259"/>
      <c r="D63" s="360">
        <f>'Capacity (local prices)'!E296</f>
        <v>-4.4297615811772495</v>
      </c>
      <c r="E63" s="179">
        <f>'Capacity (local prices)'!F296</f>
        <v>-8.4854009542625768</v>
      </c>
      <c r="F63" s="179">
        <f>'Capacity (local prices)'!G296</f>
        <v>-8.4619964430302907</v>
      </c>
      <c r="G63" s="179">
        <f>'Capacity (local prices)'!H296</f>
        <v>-8.4449887438065154</v>
      </c>
      <c r="H63" s="179">
        <f>'Capacity (local prices)'!I296</f>
        <v>-8.4278170596214217</v>
      </c>
      <c r="I63" s="132"/>
      <c r="J63" s="132"/>
    </row>
    <row r="64" spans="2:10">
      <c r="B64" s="263"/>
      <c r="C64" s="263"/>
      <c r="D64" s="249"/>
      <c r="E64" s="249"/>
      <c r="F64" s="249"/>
      <c r="G64" s="249"/>
      <c r="H64" s="249"/>
      <c r="I64" s="132"/>
      <c r="J64" s="132"/>
    </row>
    <row r="66" spans="4:14">
      <c r="D66" s="884"/>
      <c r="E66" s="885"/>
      <c r="F66" s="885"/>
      <c r="G66" s="885"/>
      <c r="H66" s="885"/>
      <c r="I66" s="885"/>
      <c r="J66" s="885"/>
      <c r="K66" s="885"/>
      <c r="L66" s="885"/>
      <c r="M66" s="885"/>
      <c r="N66" s="885"/>
    </row>
    <row r="67" spans="4:14">
      <c r="D67" s="885"/>
      <c r="E67" s="885"/>
      <c r="F67" s="885"/>
      <c r="G67" s="885"/>
      <c r="H67" s="885"/>
      <c r="I67" s="885"/>
      <c r="J67" s="885"/>
      <c r="K67" s="885"/>
      <c r="L67" s="885"/>
      <c r="M67" s="885"/>
      <c r="N67" s="885"/>
    </row>
    <row r="68" spans="4:14">
      <c r="D68" s="884"/>
      <c r="E68" s="885"/>
      <c r="F68" s="885"/>
      <c r="G68" s="885"/>
      <c r="H68" s="885"/>
      <c r="I68" s="885"/>
      <c r="J68" s="885"/>
      <c r="K68" s="885"/>
      <c r="L68" s="885"/>
      <c r="M68" s="885"/>
      <c r="N68" s="885"/>
    </row>
  </sheetData>
  <sheetProtection algorithmName="SHA-512" hashValue="PIEVF27kDXs9w/P44g40Hz19XLCxg6r8ylU/P4avQ0Gj6Jgl5dQ24aTTCuYMGDBl89dyvBZPr2cdn6XaJuc0aw==" saltValue="073xpX9KTuzp1fdn3ZZiMg==" spinCount="100000" sheet="1" objects="1" scenarios="1"/>
  <mergeCells count="2">
    <mergeCell ref="D66:N67"/>
    <mergeCell ref="D68:N68"/>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A1:AH58"/>
  <sheetViews>
    <sheetView showGridLines="0" zoomScale="80" zoomScaleNormal="80" zoomScaleSheetLayoutView="80" workbookViewId="0"/>
  </sheetViews>
  <sheetFormatPr defaultColWidth="8.85546875" defaultRowHeight="15"/>
  <cols>
    <col min="1" max="1" width="3.5703125" customWidth="1"/>
    <col min="2" max="2" width="97.28515625" style="1" customWidth="1"/>
    <col min="3" max="3" width="18.85546875" customWidth="1"/>
    <col min="4"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c r="B1" s="512" t="str">
        <f>'Inputs and eligible population'!B1</f>
        <v>Selpercatinib for advanced thyroid cancer with RET alterations untreated with a targeted cancer drug in people 12 years and over</v>
      </c>
      <c r="C1" s="126"/>
      <c r="D1" s="126"/>
      <c r="E1" s="126"/>
      <c r="F1" s="126"/>
      <c r="G1" s="126"/>
      <c r="H1" s="126"/>
      <c r="I1" s="126"/>
      <c r="J1" s="126"/>
      <c r="K1" s="126"/>
      <c r="L1" s="126"/>
      <c r="M1" s="126"/>
      <c r="N1" s="126"/>
      <c r="O1" s="126"/>
      <c r="P1" s="126"/>
      <c r="Q1" s="126"/>
      <c r="R1" s="126"/>
      <c r="S1" s="126"/>
      <c r="T1" s="126"/>
    </row>
    <row r="2" spans="2:34" ht="38.1" customHeight="1">
      <c r="B2" s="358" t="s">
        <v>822</v>
      </c>
      <c r="C2" s="126" t="s">
        <v>738</v>
      </c>
      <c r="D2" s="126" t="s">
        <v>738</v>
      </c>
      <c r="E2" s="126" t="s">
        <v>738</v>
      </c>
      <c r="F2" s="126" t="s">
        <v>738</v>
      </c>
      <c r="G2" s="126" t="s">
        <v>738</v>
      </c>
      <c r="H2" s="126"/>
      <c r="I2" s="126" t="s">
        <v>738</v>
      </c>
      <c r="J2" s="126" t="s">
        <v>738</v>
      </c>
      <c r="K2" s="132"/>
      <c r="L2" s="126"/>
      <c r="M2" s="126"/>
      <c r="N2" s="126"/>
      <c r="O2" s="126"/>
      <c r="P2" s="126"/>
      <c r="Q2" s="126"/>
      <c r="R2" s="126"/>
      <c r="S2" s="126"/>
      <c r="T2" s="126"/>
    </row>
    <row r="3" spans="2:34">
      <c r="B3" s="129" t="s">
        <v>738</v>
      </c>
      <c r="C3" s="132" t="s">
        <v>738</v>
      </c>
      <c r="D3" s="132" t="s">
        <v>738</v>
      </c>
      <c r="E3" s="132" t="s">
        <v>738</v>
      </c>
      <c r="F3" s="132" t="s">
        <v>738</v>
      </c>
      <c r="G3" s="132" t="s">
        <v>738</v>
      </c>
      <c r="H3" s="132" t="s">
        <v>738</v>
      </c>
      <c r="I3" s="132" t="s">
        <v>738</v>
      </c>
      <c r="J3" s="132" t="s">
        <v>738</v>
      </c>
      <c r="K3" s="132"/>
      <c r="L3" s="132"/>
      <c r="M3" s="132"/>
      <c r="N3" s="132"/>
      <c r="O3" s="132"/>
      <c r="P3" s="132"/>
      <c r="Q3" s="132"/>
      <c r="R3" s="132"/>
      <c r="S3" s="132"/>
      <c r="T3" s="132"/>
    </row>
    <row r="4" spans="2:34" s="238" customFormat="1">
      <c r="B4" s="243" t="s">
        <v>823</v>
      </c>
      <c r="F4" s="132"/>
      <c r="G4" s="132"/>
      <c r="H4" s="132"/>
      <c r="I4" s="132"/>
      <c r="J4" s="132" t="s">
        <v>738</v>
      </c>
      <c r="K4" s="132"/>
      <c r="L4" s="132"/>
      <c r="M4" s="132"/>
      <c r="N4" s="132"/>
      <c r="O4" s="132"/>
      <c r="P4" s="132"/>
      <c r="Q4" s="132"/>
      <c r="R4" s="132"/>
      <c r="S4" s="132"/>
      <c r="T4" s="132"/>
    </row>
    <row r="5" spans="2:34" s="238" customFormat="1">
      <c r="B5" s="243" t="s">
        <v>824</v>
      </c>
      <c r="F5" s="132"/>
      <c r="G5" s="132"/>
      <c r="H5" s="132"/>
      <c r="I5" s="132"/>
      <c r="J5" s="132"/>
      <c r="K5" s="132"/>
      <c r="L5" s="132"/>
      <c r="M5" s="132"/>
      <c r="N5" s="132"/>
      <c r="O5" s="132"/>
      <c r="P5" s="132"/>
      <c r="Q5" s="132"/>
      <c r="R5" s="132"/>
      <c r="S5" s="132"/>
      <c r="T5" s="132"/>
    </row>
    <row r="6" spans="2:34" s="238" customFormat="1">
      <c r="B6" s="243"/>
      <c r="C6" s="132" t="s">
        <v>738</v>
      </c>
      <c r="D6" s="132" t="s">
        <v>738</v>
      </c>
      <c r="E6" s="132"/>
      <c r="F6" s="132"/>
      <c r="G6" s="132"/>
      <c r="H6" s="132"/>
      <c r="I6" s="132" t="s">
        <v>738</v>
      </c>
      <c r="J6" s="132" t="s">
        <v>738</v>
      </c>
      <c r="K6" s="132"/>
      <c r="L6" s="132"/>
      <c r="M6" s="132"/>
      <c r="N6" s="132"/>
      <c r="O6" s="132"/>
      <c r="P6" s="132"/>
      <c r="Q6" s="132"/>
      <c r="R6" s="132"/>
      <c r="S6" s="132"/>
      <c r="T6" s="132"/>
    </row>
    <row r="7" spans="2:34" s="238" customFormat="1" ht="45">
      <c r="B7" s="253" t="s">
        <v>795</v>
      </c>
      <c r="C7" s="265"/>
      <c r="D7" s="392" t="s">
        <v>825</v>
      </c>
      <c r="E7" s="266" t="s">
        <v>674</v>
      </c>
      <c r="F7" s="266" t="s">
        <v>675</v>
      </c>
      <c r="G7" s="267" t="s">
        <v>792</v>
      </c>
      <c r="H7" s="267" t="s">
        <v>793</v>
      </c>
      <c r="I7" s="266" t="s">
        <v>794</v>
      </c>
      <c r="K7" s="132"/>
      <c r="L7" s="132"/>
      <c r="N7" s="132"/>
      <c r="O7" s="132"/>
      <c r="P7" s="132"/>
      <c r="Q7" s="132"/>
      <c r="R7" s="132"/>
      <c r="S7" s="132"/>
      <c r="T7" s="132"/>
    </row>
    <row r="8" spans="2:34" s="147" customFormat="1">
      <c r="B8" s="221" t="s">
        <v>795</v>
      </c>
      <c r="C8" s="180"/>
      <c r="D8" s="179">
        <f>'Inputs and eligible population'!F49</f>
        <v>27.980505249406825</v>
      </c>
      <c r="E8" s="179">
        <f>'Inputs and eligible population'!G49</f>
        <v>28.250287893765055</v>
      </c>
      <c r="F8" s="179">
        <f>'Inputs and eligible population'!H49</f>
        <v>28.522671730437303</v>
      </c>
      <c r="G8" s="179">
        <f>'Inputs and eligible population'!I49</f>
        <v>28.797681839619027</v>
      </c>
      <c r="H8" s="179">
        <f>'Inputs and eligible population'!J49</f>
        <v>29.075343543324113</v>
      </c>
      <c r="I8" s="179">
        <f>'Inputs and eligible population'!K49</f>
        <v>29.355682407716429</v>
      </c>
      <c r="K8" s="132"/>
      <c r="L8" s="132"/>
    </row>
    <row r="9" spans="2:34" s="238" customFormat="1">
      <c r="B9" s="240" t="s">
        <v>738</v>
      </c>
      <c r="C9" s="132" t="s">
        <v>738</v>
      </c>
      <c r="D9" s="132" t="s">
        <v>738</v>
      </c>
      <c r="E9" s="132" t="s">
        <v>738</v>
      </c>
      <c r="F9" s="132" t="s">
        <v>738</v>
      </c>
      <c r="G9" s="132" t="s">
        <v>738</v>
      </c>
      <c r="H9" s="132"/>
      <c r="I9" s="132"/>
      <c r="K9" s="132"/>
      <c r="L9" s="132"/>
      <c r="N9" s="132"/>
      <c r="O9" s="132"/>
      <c r="P9" s="132"/>
      <c r="Q9" s="132"/>
      <c r="R9" s="132"/>
      <c r="S9" s="132"/>
      <c r="T9" s="132"/>
      <c r="AD9" s="268"/>
      <c r="AE9" s="268"/>
      <c r="AF9" s="268"/>
      <c r="AG9" s="268"/>
      <c r="AH9" s="268"/>
    </row>
    <row r="10" spans="2:34" s="238" customFormat="1">
      <c r="B10" s="318" t="s">
        <v>798</v>
      </c>
      <c r="C10" s="319"/>
      <c r="D10" s="320"/>
      <c r="E10" s="320"/>
      <c r="F10" s="320"/>
      <c r="G10" s="320"/>
      <c r="H10" s="320"/>
      <c r="I10" s="321"/>
      <c r="K10" s="132"/>
      <c r="L10" s="132"/>
      <c r="N10" s="132"/>
      <c r="O10" s="132"/>
      <c r="P10" s="132"/>
      <c r="Q10" s="132"/>
      <c r="R10" s="132"/>
      <c r="S10" s="132"/>
      <c r="T10" s="132"/>
    </row>
    <row r="11" spans="2:34" s="238" customFormat="1">
      <c r="B11" s="240"/>
      <c r="C11" s="132"/>
      <c r="D11" s="132"/>
      <c r="E11" s="132"/>
      <c r="F11" s="132"/>
      <c r="G11" s="132"/>
      <c r="H11" s="132"/>
      <c r="I11" s="132"/>
      <c r="N11" s="132"/>
      <c r="O11" s="132"/>
      <c r="P11" s="132"/>
      <c r="Q11" s="132"/>
      <c r="R11" s="132"/>
      <c r="S11" s="132"/>
      <c r="T11" s="132"/>
      <c r="AD11" s="268"/>
      <c r="AE11" s="268"/>
      <c r="AF11" s="268"/>
      <c r="AG11" s="268"/>
      <c r="AH11" s="268"/>
    </row>
    <row r="12" spans="2:34" s="238" customFormat="1">
      <c r="B12" s="274" t="s">
        <v>1041</v>
      </c>
      <c r="C12" s="269"/>
      <c r="D12" s="181"/>
      <c r="E12" s="181"/>
      <c r="F12" s="181"/>
      <c r="G12" s="181"/>
      <c r="H12" s="181"/>
      <c r="I12" s="182"/>
      <c r="N12" s="132"/>
      <c r="O12" s="132"/>
      <c r="P12" s="132"/>
      <c r="Q12" s="132"/>
      <c r="R12" s="132"/>
      <c r="S12" s="132"/>
      <c r="T12" s="132"/>
    </row>
    <row r="13" spans="2:34" s="238" customFormat="1">
      <c r="B13" s="327" t="s">
        <v>1126</v>
      </c>
      <c r="C13" s="328"/>
      <c r="D13" s="270">
        <f>'Inputs and eligible population'!L78</f>
        <v>0</v>
      </c>
      <c r="E13" s="270">
        <f>'Inputs and eligible population'!M78</f>
        <v>10.228552513259761</v>
      </c>
      <c r="F13" s="270">
        <f>'Inputs and eligible population'!N78</f>
        <v>19.621631069731865</v>
      </c>
      <c r="G13" s="270">
        <f>'Inputs and eligible population'!O78</f>
        <v>19.810819058634465</v>
      </c>
      <c r="H13" s="270">
        <f>'Inputs and eligible population'!P78</f>
        <v>20.001831161700547</v>
      </c>
      <c r="I13" s="270">
        <f>'Inputs and eligible population'!Q78</f>
        <v>20.194684966687678</v>
      </c>
      <c r="N13" s="132"/>
      <c r="O13" s="132"/>
      <c r="P13" s="132"/>
      <c r="Q13" s="132"/>
      <c r="R13" s="132"/>
      <c r="S13" s="132"/>
      <c r="T13" s="132"/>
      <c r="V13" s="268"/>
      <c r="W13" s="268"/>
      <c r="X13" s="268"/>
      <c r="Y13" s="268"/>
      <c r="Z13" s="268"/>
      <c r="AA13" s="268"/>
      <c r="AC13" s="268"/>
      <c r="AD13" s="268"/>
      <c r="AE13" s="268"/>
      <c r="AF13" s="268"/>
      <c r="AG13" s="268"/>
      <c r="AH13" s="268"/>
    </row>
    <row r="14" spans="2:34" s="238" customFormat="1">
      <c r="B14" s="197" t="s">
        <v>930</v>
      </c>
      <c r="C14" s="328"/>
      <c r="D14" s="270">
        <f>'Inputs and eligible population'!L83</f>
        <v>0</v>
      </c>
      <c r="E14" s="270">
        <f>'Inputs and eligible population'!M83</f>
        <v>3.8965914336227665</v>
      </c>
      <c r="F14" s="270">
        <f>'Inputs and eligible population'!N83</f>
        <v>7.4749070741835686</v>
      </c>
      <c r="G14" s="270">
        <f>'Inputs and eligible population'!O83</f>
        <v>7.5469786890036064</v>
      </c>
      <c r="H14" s="270">
        <f>'Inputs and eligible population'!P83</f>
        <v>7.6197452044573541</v>
      </c>
      <c r="I14" s="270">
        <f>'Inputs and eligible population'!Q83</f>
        <v>7.6932133206429265</v>
      </c>
      <c r="N14" s="132"/>
      <c r="O14" s="132"/>
      <c r="P14" s="132"/>
      <c r="Q14" s="132"/>
      <c r="R14" s="132"/>
      <c r="S14" s="132"/>
      <c r="T14" s="132"/>
      <c r="V14" s="268"/>
      <c r="W14" s="268"/>
      <c r="X14" s="268"/>
      <c r="Y14" s="268"/>
      <c r="Z14" s="268"/>
      <c r="AA14" s="268"/>
      <c r="AC14" s="268"/>
      <c r="AD14" s="268"/>
      <c r="AE14" s="268"/>
      <c r="AF14" s="268"/>
      <c r="AG14" s="268"/>
      <c r="AH14" s="268"/>
    </row>
    <row r="15" spans="2:34" s="238" customFormat="1">
      <c r="B15" s="197" t="s">
        <v>958</v>
      </c>
      <c r="C15" s="328"/>
      <c r="D15" s="270">
        <f>'Inputs and eligible population'!L79</f>
        <v>20.26174518060494</v>
      </c>
      <c r="E15" s="270">
        <f>'Inputs and eligible population'!M79</f>
        <v>10.228552513259761</v>
      </c>
      <c r="F15" s="270">
        <f>'Inputs and eligible population'!N79</f>
        <v>1.0327174247227298</v>
      </c>
      <c r="G15" s="270">
        <f>'Inputs and eligible population'!O79</f>
        <v>1.0426746872965509</v>
      </c>
      <c r="H15" s="270">
        <f>'Inputs and eligible population'!P79</f>
        <v>1.0527279558789764</v>
      </c>
      <c r="I15" s="270">
        <f>'Inputs and eligible population'!Q79</f>
        <v>1.0628781561414569</v>
      </c>
      <c r="N15" s="132"/>
      <c r="O15" s="132"/>
      <c r="P15" s="132"/>
      <c r="Q15" s="132"/>
      <c r="R15" s="132"/>
      <c r="S15" s="132"/>
      <c r="T15" s="132"/>
      <c r="V15" s="268"/>
      <c r="W15" s="268"/>
      <c r="X15" s="268"/>
      <c r="Y15" s="268"/>
      <c r="Z15" s="268"/>
      <c r="AA15" s="268"/>
      <c r="AC15" s="268"/>
      <c r="AD15" s="268"/>
      <c r="AE15" s="268"/>
      <c r="AF15" s="268"/>
      <c r="AG15" s="268"/>
      <c r="AH15" s="268"/>
    </row>
    <row r="16" spans="2:34" s="238" customFormat="1">
      <c r="B16" s="197" t="s">
        <v>934</v>
      </c>
      <c r="C16" s="328"/>
      <c r="D16" s="270">
        <f>'Inputs and eligible population'!L84</f>
        <v>7.1398530636417421</v>
      </c>
      <c r="E16" s="270">
        <f>'Inputs and eligible population'!M84</f>
        <v>3.5848641189329453</v>
      </c>
      <c r="F16" s="270">
        <f>'Inputs and eligible population'!N84</f>
        <v>0.36390994966420004</v>
      </c>
      <c r="G16" s="270">
        <f>'Inputs and eligible population'!O84</f>
        <v>0.36741869933307031</v>
      </c>
      <c r="H16" s="270">
        <f>'Inputs and eligible population'!P84</f>
        <v>0.37096127969068698</v>
      </c>
      <c r="I16" s="270">
        <f>'Inputs and eligible population'!Q84</f>
        <v>0.37453801692603722</v>
      </c>
      <c r="N16" s="132"/>
      <c r="O16" s="132"/>
      <c r="P16" s="132"/>
      <c r="Q16" s="132"/>
      <c r="R16" s="132"/>
      <c r="S16" s="132"/>
      <c r="T16" s="132"/>
      <c r="V16" s="268"/>
      <c r="W16" s="268"/>
      <c r="X16" s="268"/>
      <c r="Y16" s="268"/>
      <c r="Z16" s="268"/>
      <c r="AA16" s="268"/>
      <c r="AC16" s="268"/>
      <c r="AD16" s="268"/>
      <c r="AE16" s="268"/>
      <c r="AF16" s="268"/>
      <c r="AG16" s="268"/>
      <c r="AH16" s="268"/>
    </row>
    <row r="17" spans="1:34" s="238" customFormat="1">
      <c r="B17" s="197" t="s">
        <v>935</v>
      </c>
      <c r="C17" s="329"/>
      <c r="D17" s="270">
        <f>'Inputs and eligible population'!L85</f>
        <v>0.57890700516014115</v>
      </c>
      <c r="E17" s="270">
        <f>'Inputs and eligible population'!M85</f>
        <v>0.29224435752170747</v>
      </c>
      <c r="F17" s="270">
        <f>'Inputs and eligible population'!N85</f>
        <v>2.9506212134935136E-2</v>
      </c>
      <c r="G17" s="270">
        <f>'Inputs and eligible population'!O85</f>
        <v>5.958141070266005E-2</v>
      </c>
      <c r="H17" s="270">
        <f>'Inputs and eligible population'!P85</f>
        <v>6.0155883193084375E-2</v>
      </c>
      <c r="I17" s="270">
        <f>'Inputs and eligible population'!Q85</f>
        <v>6.0735894636654679E-2</v>
      </c>
      <c r="N17" s="132"/>
      <c r="O17" s="132"/>
      <c r="P17" s="132"/>
      <c r="Q17" s="132"/>
      <c r="R17" s="132"/>
      <c r="S17" s="132"/>
      <c r="T17" s="132"/>
      <c r="V17" s="268"/>
      <c r="W17" s="268"/>
      <c r="X17" s="268"/>
      <c r="Y17" s="268"/>
      <c r="Z17" s="268"/>
      <c r="AA17" s="268"/>
      <c r="AC17" s="268"/>
      <c r="AD17" s="268"/>
      <c r="AE17" s="268"/>
      <c r="AF17" s="268"/>
      <c r="AG17" s="268"/>
      <c r="AH17" s="268"/>
    </row>
    <row r="18" spans="1:34" s="238" customFormat="1">
      <c r="B18" s="275"/>
      <c r="C18" s="183"/>
      <c r="D18" s="184">
        <f t="shared" ref="D18:I18" si="0">SUM(D13:D17)</f>
        <v>27.980505249406821</v>
      </c>
      <c r="E18" s="184">
        <f t="shared" si="0"/>
        <v>28.23080493659694</v>
      </c>
      <c r="F18" s="184">
        <f t="shared" si="0"/>
        <v>28.522671730437303</v>
      </c>
      <c r="G18" s="184">
        <f t="shared" si="0"/>
        <v>28.827472544970348</v>
      </c>
      <c r="H18" s="184">
        <f t="shared" si="0"/>
        <v>29.105421484920647</v>
      </c>
      <c r="I18" s="184">
        <f t="shared" si="0"/>
        <v>29.386050355034754</v>
      </c>
      <c r="N18" s="132"/>
      <c r="O18" s="132"/>
      <c r="P18" s="132"/>
      <c r="Q18" s="132"/>
      <c r="R18" s="132"/>
      <c r="S18" s="132"/>
      <c r="T18" s="132"/>
      <c r="V18" s="268"/>
      <c r="W18" s="268"/>
      <c r="X18" s="268"/>
      <c r="Y18" s="268"/>
      <c r="Z18" s="268"/>
      <c r="AA18" s="268"/>
      <c r="AC18" s="268"/>
      <c r="AD18" s="268"/>
      <c r="AE18" s="268"/>
      <c r="AF18" s="268"/>
      <c r="AG18" s="268"/>
      <c r="AH18" s="268"/>
    </row>
    <row r="19" spans="1:34" s="238" customFormat="1">
      <c r="A19" s="746"/>
      <c r="B19" s="750"/>
      <c r="C19" s="748"/>
      <c r="D19" s="751"/>
      <c r="E19" s="751"/>
      <c r="F19" s="751"/>
      <c r="G19" s="751"/>
      <c r="H19" s="751"/>
      <c r="I19" s="751"/>
      <c r="J19" s="746"/>
      <c r="N19" s="132"/>
      <c r="O19" s="132"/>
      <c r="P19" s="132"/>
      <c r="Q19" s="132"/>
      <c r="R19" s="132"/>
      <c r="S19" s="132"/>
      <c r="T19" s="132"/>
      <c r="V19" s="268"/>
      <c r="W19" s="268"/>
      <c r="X19" s="268"/>
      <c r="Y19" s="268"/>
      <c r="Z19" s="268"/>
      <c r="AA19" s="268"/>
      <c r="AC19" s="268"/>
      <c r="AD19" s="268"/>
      <c r="AE19" s="268"/>
      <c r="AF19" s="268"/>
      <c r="AG19" s="268"/>
      <c r="AH19" s="268"/>
    </row>
    <row r="20" spans="1:34" s="238" customFormat="1">
      <c r="B20" s="747"/>
      <c r="C20" s="748"/>
      <c r="D20" s="749"/>
      <c r="E20" s="749"/>
      <c r="F20" s="749"/>
      <c r="G20" s="749"/>
      <c r="H20" s="749"/>
      <c r="I20" s="749"/>
      <c r="N20" s="132"/>
      <c r="O20" s="132"/>
      <c r="P20" s="132"/>
      <c r="Q20" s="132"/>
      <c r="R20" s="132"/>
      <c r="S20" s="132"/>
      <c r="T20" s="132"/>
      <c r="V20" s="268"/>
      <c r="W20" s="268"/>
      <c r="X20" s="268"/>
      <c r="Y20" s="268"/>
      <c r="Z20" s="268"/>
      <c r="AA20" s="268"/>
      <c r="AC20" s="268"/>
      <c r="AD20" s="268"/>
      <c r="AE20" s="268"/>
      <c r="AF20" s="268"/>
      <c r="AG20" s="268"/>
      <c r="AH20" s="268"/>
    </row>
    <row r="21" spans="1:34" s="238" customFormat="1">
      <c r="B21" s="147" t="s">
        <v>1127</v>
      </c>
      <c r="C21" s="132"/>
      <c r="D21" s="132"/>
      <c r="E21" s="132"/>
      <c r="F21" s="132"/>
      <c r="G21" s="132"/>
      <c r="H21" s="132"/>
      <c r="I21" s="132"/>
      <c r="N21" s="132"/>
      <c r="O21" s="132"/>
      <c r="P21" s="132"/>
      <c r="Q21" s="132"/>
      <c r="R21" s="132"/>
      <c r="S21" s="132"/>
      <c r="T21" s="132"/>
      <c r="AD21" s="268"/>
      <c r="AE21" s="268"/>
      <c r="AF21" s="268"/>
      <c r="AG21" s="268"/>
      <c r="AH21" s="268"/>
    </row>
    <row r="22" spans="1:34" s="238" customFormat="1">
      <c r="B22" s="277" t="s">
        <v>1055</v>
      </c>
      <c r="C22" s="271" t="s">
        <v>826</v>
      </c>
      <c r="D22" s="672" t="s">
        <v>799</v>
      </c>
      <c r="E22" s="672" t="s">
        <v>799</v>
      </c>
      <c r="F22" s="672" t="s">
        <v>799</v>
      </c>
      <c r="G22" s="672" t="s">
        <v>799</v>
      </c>
      <c r="H22" s="672" t="s">
        <v>799</v>
      </c>
      <c r="I22" s="672" t="s">
        <v>799</v>
      </c>
      <c r="N22" s="132"/>
      <c r="O22" s="132"/>
      <c r="P22" s="132"/>
      <c r="Q22" s="132"/>
      <c r="R22" s="132"/>
      <c r="S22" s="132"/>
      <c r="T22" s="132"/>
      <c r="AD22" s="268"/>
      <c r="AE22" s="268"/>
      <c r="AF22" s="268"/>
      <c r="AG22" s="268"/>
      <c r="AH22" s="268"/>
    </row>
    <row r="23" spans="1:34" s="238" customFormat="1">
      <c r="B23" s="327" t="s">
        <v>1043</v>
      </c>
      <c r="C23" s="272">
        <f>IFERROR('Unit costs'!$P$13*'Inputs and eligible population'!E59/(365/'Inputs and eligible population'!D59),0)</f>
        <v>0</v>
      </c>
      <c r="D23" s="272">
        <f t="shared" ref="D23:I23" si="1">D13*$C23/1000</f>
        <v>0</v>
      </c>
      <c r="E23" s="272">
        <f>E13*$C23/1000</f>
        <v>0</v>
      </c>
      <c r="F23" s="272">
        <f>F13*$C23/1000</f>
        <v>0</v>
      </c>
      <c r="G23" s="272">
        <f>G13*$C23/1000</f>
        <v>0</v>
      </c>
      <c r="H23" s="272">
        <f t="shared" si="1"/>
        <v>0</v>
      </c>
      <c r="I23" s="272">
        <f t="shared" si="1"/>
        <v>0</v>
      </c>
      <c r="N23" s="132"/>
      <c r="O23" s="132"/>
      <c r="P23" s="132"/>
      <c r="Q23" s="132"/>
      <c r="R23" s="132"/>
      <c r="S23" s="132"/>
      <c r="T23" s="132"/>
      <c r="AD23" s="268"/>
      <c r="AE23" s="268"/>
      <c r="AF23" s="268"/>
      <c r="AG23" s="268"/>
      <c r="AH23" s="268"/>
    </row>
    <row r="24" spans="1:34" s="238" customFormat="1">
      <c r="B24" s="327" t="s">
        <v>1064</v>
      </c>
      <c r="C24" s="272">
        <f>IFERROR('Unit costs'!$P$13*'Inputs and eligible population'!F59/(365/'Inputs and eligible population'!D59),0)</f>
        <v>0</v>
      </c>
      <c r="D24" s="272">
        <f>D$13*$C24/1000</f>
        <v>0</v>
      </c>
      <c r="E24" s="272">
        <f>D$13*$C24/1000</f>
        <v>0</v>
      </c>
      <c r="F24" s="272">
        <f>E$13*$C24/1000</f>
        <v>0</v>
      </c>
      <c r="G24" s="272">
        <f t="shared" ref="G24:I24" si="2">F$13*$C24/1000</f>
        <v>0</v>
      </c>
      <c r="H24" s="272">
        <f t="shared" si="2"/>
        <v>0</v>
      </c>
      <c r="I24" s="272">
        <f t="shared" si="2"/>
        <v>0</v>
      </c>
      <c r="N24" s="132"/>
      <c r="O24" s="132"/>
      <c r="P24" s="132"/>
      <c r="Q24" s="132"/>
      <c r="R24" s="132"/>
      <c r="S24" s="132"/>
      <c r="T24" s="132"/>
      <c r="AD24" s="268"/>
      <c r="AE24" s="268"/>
      <c r="AF24" s="268"/>
      <c r="AG24" s="268"/>
      <c r="AH24" s="268"/>
    </row>
    <row r="25" spans="1:34" s="238" customFormat="1">
      <c r="B25" s="327" t="s">
        <v>1065</v>
      </c>
      <c r="C25" s="272">
        <f>'Unit costs'!$P$13*'Inputs and eligible population'!G$59/(365/'Inputs and eligible population'!D59)</f>
        <v>0</v>
      </c>
      <c r="D25" s="272">
        <f>D$13*$C25/1000</f>
        <v>0</v>
      </c>
      <c r="E25" s="272">
        <f>D$13*$C25/1000</f>
        <v>0</v>
      </c>
      <c r="F25" s="272">
        <f>D$13*$C25/1000</f>
        <v>0</v>
      </c>
      <c r="G25" s="272">
        <f>E$13*$C25/1000</f>
        <v>0</v>
      </c>
      <c r="H25" s="272">
        <f>F$13*$C25/1000</f>
        <v>0</v>
      </c>
      <c r="I25" s="272">
        <f>G$13*$C25/1000</f>
        <v>0</v>
      </c>
      <c r="N25" s="132"/>
      <c r="O25" s="132"/>
      <c r="P25" s="132"/>
      <c r="Q25" s="132"/>
      <c r="R25" s="132"/>
      <c r="S25" s="132"/>
      <c r="T25" s="132"/>
      <c r="AD25" s="268"/>
      <c r="AE25" s="268"/>
      <c r="AF25" s="268"/>
      <c r="AG25" s="268"/>
      <c r="AH25" s="268"/>
    </row>
    <row r="26" spans="1:34" s="238" customFormat="1">
      <c r="B26" s="327" t="s">
        <v>1066</v>
      </c>
      <c r="C26" s="272">
        <f>'Unit costs'!$P$13*'Inputs and eligible population'!H$59/(365/'Inputs and eligible population'!D59)</f>
        <v>0</v>
      </c>
      <c r="D26" s="272">
        <f>$D$13*$C26/1000</f>
        <v>0</v>
      </c>
      <c r="E26" s="272">
        <f t="shared" ref="E26:H27" si="3">$D$13*$C26/1000</f>
        <v>0</v>
      </c>
      <c r="F26" s="272">
        <f t="shared" si="3"/>
        <v>0</v>
      </c>
      <c r="G26" s="272">
        <f t="shared" si="3"/>
        <v>0</v>
      </c>
      <c r="H26" s="272">
        <f>E$13*$C26/1000</f>
        <v>0</v>
      </c>
      <c r="I26" s="272">
        <f>F$13*$C26/1000</f>
        <v>0</v>
      </c>
      <c r="N26" s="132"/>
      <c r="O26" s="132"/>
      <c r="P26" s="132"/>
      <c r="Q26" s="132"/>
      <c r="R26" s="132"/>
      <c r="S26" s="132"/>
      <c r="T26" s="132"/>
      <c r="AD26" s="268"/>
      <c r="AE26" s="268"/>
      <c r="AF26" s="268"/>
      <c r="AG26" s="268"/>
      <c r="AH26" s="268"/>
    </row>
    <row r="27" spans="1:34" s="238" customFormat="1">
      <c r="B27" s="327" t="s">
        <v>1044</v>
      </c>
      <c r="C27" s="272">
        <f>'Unit costs'!$P$13*'Inputs and eligible population'!I$59/(365/'Inputs and eligible population'!D59)</f>
        <v>0</v>
      </c>
      <c r="D27" s="272">
        <f>$D$13*$C27/1000</f>
        <v>0</v>
      </c>
      <c r="E27" s="272">
        <f t="shared" si="3"/>
        <v>0</v>
      </c>
      <c r="F27" s="272">
        <f t="shared" si="3"/>
        <v>0</v>
      </c>
      <c r="G27" s="272">
        <f t="shared" si="3"/>
        <v>0</v>
      </c>
      <c r="H27" s="272">
        <f t="shared" si="3"/>
        <v>0</v>
      </c>
      <c r="I27" s="272">
        <f>E$13*$C27/1000</f>
        <v>0</v>
      </c>
      <c r="N27" s="132"/>
      <c r="O27" s="132"/>
      <c r="P27" s="132"/>
      <c r="Q27" s="132"/>
      <c r="R27" s="132"/>
      <c r="S27" s="132"/>
      <c r="T27" s="132"/>
      <c r="AD27" s="268"/>
      <c r="AE27" s="268"/>
      <c r="AF27" s="268"/>
      <c r="AG27" s="268"/>
      <c r="AH27" s="268"/>
    </row>
    <row r="28" spans="1:34" s="238" customFormat="1">
      <c r="B28" s="197" t="s">
        <v>1050</v>
      </c>
      <c r="C28" s="272">
        <f>'Unit costs'!$P$23*'Inputs and eligible population'!E$61/(365/'Inputs and eligible population'!D61)</f>
        <v>0</v>
      </c>
      <c r="D28" s="272">
        <f>D$15*$C28/1000</f>
        <v>0</v>
      </c>
      <c r="E28" s="272">
        <f t="shared" ref="E28:I28" si="4">E$15*$C28/1000</f>
        <v>0</v>
      </c>
      <c r="F28" s="272">
        <f t="shared" si="4"/>
        <v>0</v>
      </c>
      <c r="G28" s="272">
        <f t="shared" si="4"/>
        <v>0</v>
      </c>
      <c r="H28" s="272">
        <f t="shared" si="4"/>
        <v>0</v>
      </c>
      <c r="I28" s="272">
        <f t="shared" si="4"/>
        <v>0</v>
      </c>
      <c r="N28" s="132"/>
      <c r="O28" s="132"/>
      <c r="P28" s="132"/>
      <c r="Q28" s="132"/>
      <c r="R28" s="132"/>
      <c r="S28" s="132"/>
      <c r="T28" s="132"/>
      <c r="AD28" s="268"/>
      <c r="AE28" s="268"/>
      <c r="AF28" s="268"/>
      <c r="AG28" s="268"/>
      <c r="AH28" s="268"/>
    </row>
    <row r="29" spans="1:34" s="238" customFormat="1">
      <c r="B29" s="197" t="s">
        <v>1051</v>
      </c>
      <c r="C29" s="272">
        <f>'Unit costs'!$P$23*'Inputs and eligible population'!F$61/(365/'Inputs and eligible population'!D61)</f>
        <v>0</v>
      </c>
      <c r="D29" s="272">
        <f t="shared" ref="D29:D32" si="5">D$15*$C29/1000</f>
        <v>0</v>
      </c>
      <c r="E29" s="272">
        <f>D$15*$C29/1000</f>
        <v>0</v>
      </c>
      <c r="F29" s="272">
        <f>E$15*$C29/1000</f>
        <v>0</v>
      </c>
      <c r="G29" s="272">
        <f>F$15*$C29/1000</f>
        <v>0</v>
      </c>
      <c r="H29" s="272">
        <f>G$15*$C29/1000</f>
        <v>0</v>
      </c>
      <c r="I29" s="272">
        <f>H$15*$C29/1000</f>
        <v>0</v>
      </c>
      <c r="N29" s="132"/>
      <c r="O29" s="132"/>
      <c r="P29" s="132"/>
      <c r="Q29" s="132"/>
      <c r="R29" s="132"/>
      <c r="S29" s="132"/>
      <c r="T29" s="132"/>
      <c r="AD29" s="268"/>
      <c r="AE29" s="268"/>
      <c r="AF29" s="268"/>
      <c r="AG29" s="268"/>
      <c r="AH29" s="268"/>
    </row>
    <row r="30" spans="1:34" s="238" customFormat="1">
      <c r="B30" s="197" t="s">
        <v>1052</v>
      </c>
      <c r="C30" s="272">
        <f>'Unit costs'!$P$23*'Inputs and eligible population'!G$61/(365/'Inputs and eligible population'!D61)</f>
        <v>0</v>
      </c>
      <c r="D30" s="272">
        <f t="shared" si="5"/>
        <v>0</v>
      </c>
      <c r="E30" s="272">
        <f>D$15*$C30/1000</f>
        <v>0</v>
      </c>
      <c r="F30" s="272">
        <f>D$15*$C30/1000</f>
        <v>0</v>
      </c>
      <c r="G30" s="272">
        <f>E$15*$C30/1000</f>
        <v>0</v>
      </c>
      <c r="H30" s="272">
        <f>F$15*$C30/1000</f>
        <v>0</v>
      </c>
      <c r="I30" s="272">
        <f>G$15*$C30/1000</f>
        <v>0</v>
      </c>
      <c r="N30" s="132"/>
      <c r="O30" s="132"/>
      <c r="P30" s="132"/>
      <c r="Q30" s="132"/>
      <c r="R30" s="132"/>
      <c r="S30" s="132"/>
      <c r="T30" s="132"/>
      <c r="AD30" s="268"/>
      <c r="AE30" s="268"/>
      <c r="AF30" s="268"/>
      <c r="AG30" s="268"/>
      <c r="AH30" s="268"/>
    </row>
    <row r="31" spans="1:34" s="238" customFormat="1">
      <c r="B31" s="197" t="s">
        <v>1053</v>
      </c>
      <c r="C31" s="272">
        <f>'Unit costs'!$P$23*'Inputs and eligible population'!H$61/(365/'Inputs and eligible population'!D61)</f>
        <v>0</v>
      </c>
      <c r="D31" s="272">
        <f t="shared" si="5"/>
        <v>0</v>
      </c>
      <c r="E31" s="272">
        <f>D$15*$C31/1000</f>
        <v>0</v>
      </c>
      <c r="F31" s="272">
        <f>D$15*$C31/1000</f>
        <v>0</v>
      </c>
      <c r="G31" s="272">
        <f>D$15*$C31/1000</f>
        <v>0</v>
      </c>
      <c r="H31" s="272">
        <f>E$15*$C31/1000</f>
        <v>0</v>
      </c>
      <c r="I31" s="272">
        <f>F$15*$C31/1000</f>
        <v>0</v>
      </c>
      <c r="N31" s="132"/>
      <c r="O31" s="132"/>
      <c r="P31" s="132"/>
      <c r="Q31" s="132"/>
      <c r="R31" s="132"/>
      <c r="S31" s="132"/>
      <c r="T31" s="132"/>
      <c r="AD31" s="268"/>
      <c r="AE31" s="268"/>
      <c r="AF31" s="268"/>
      <c r="AG31" s="268"/>
      <c r="AH31" s="268"/>
    </row>
    <row r="32" spans="1:34" s="238" customFormat="1">
      <c r="B32" s="752" t="s">
        <v>1054</v>
      </c>
      <c r="C32" s="272">
        <f>'Unit costs'!$P$23*'Inputs and eligible population'!I$61/(365/'Inputs and eligible population'!D61)</f>
        <v>0</v>
      </c>
      <c r="D32" s="272">
        <f t="shared" si="5"/>
        <v>0</v>
      </c>
      <c r="E32" s="272">
        <f>D$15*$C32/1000</f>
        <v>0</v>
      </c>
      <c r="F32" s="272">
        <f>D$15*$C32/1000</f>
        <v>0</v>
      </c>
      <c r="G32" s="272">
        <f>D$15*$C32/1000</f>
        <v>0</v>
      </c>
      <c r="H32" s="272">
        <f>D$15*$C32/1000</f>
        <v>0</v>
      </c>
      <c r="I32" s="272">
        <f>E$15*$C32/1000</f>
        <v>0</v>
      </c>
      <c r="N32" s="132"/>
      <c r="O32" s="132"/>
      <c r="P32" s="132"/>
      <c r="Q32" s="132"/>
      <c r="R32" s="132"/>
      <c r="S32" s="132"/>
      <c r="T32" s="132"/>
      <c r="AD32" s="268"/>
      <c r="AE32" s="268"/>
      <c r="AF32" s="268"/>
      <c r="AG32" s="268"/>
      <c r="AH32" s="268"/>
    </row>
    <row r="33" spans="2:34" s="238" customFormat="1">
      <c r="B33" s="755"/>
      <c r="C33" s="756"/>
      <c r="D33" s="756"/>
      <c r="E33" s="756"/>
      <c r="F33" s="756"/>
      <c r="G33" s="756"/>
      <c r="H33" s="756"/>
      <c r="I33" s="756"/>
      <c r="N33" s="132"/>
      <c r="O33" s="132"/>
      <c r="P33" s="132"/>
      <c r="Q33" s="132"/>
      <c r="R33" s="132"/>
      <c r="S33" s="132"/>
      <c r="T33" s="132"/>
      <c r="AD33" s="268"/>
      <c r="AE33" s="268"/>
      <c r="AF33" s="268"/>
      <c r="AG33" s="268"/>
      <c r="AH33" s="268"/>
    </row>
    <row r="34" spans="2:34" s="238" customFormat="1">
      <c r="B34" s="340" t="s">
        <v>1069</v>
      </c>
      <c r="C34" s="338"/>
      <c r="D34" s="338"/>
      <c r="E34" s="338"/>
      <c r="F34" s="338"/>
      <c r="G34" s="338"/>
      <c r="H34" s="338"/>
      <c r="I34" s="338"/>
      <c r="N34" s="132"/>
      <c r="O34" s="132"/>
      <c r="P34" s="132"/>
      <c r="Q34" s="132"/>
      <c r="R34" s="132"/>
      <c r="S34" s="132"/>
      <c r="T34" s="132"/>
      <c r="AD34" s="268"/>
      <c r="AE34" s="268"/>
      <c r="AF34" s="268"/>
      <c r="AG34" s="268"/>
      <c r="AH34" s="268"/>
    </row>
    <row r="35" spans="2:34" s="238" customFormat="1">
      <c r="B35" s="277" t="s">
        <v>1055</v>
      </c>
      <c r="C35" s="757" t="s">
        <v>826</v>
      </c>
      <c r="D35" s="672" t="s">
        <v>799</v>
      </c>
      <c r="E35" s="672" t="s">
        <v>799</v>
      </c>
      <c r="F35" s="672" t="s">
        <v>799</v>
      </c>
      <c r="G35" s="672" t="s">
        <v>799</v>
      </c>
      <c r="H35" s="672" t="s">
        <v>799</v>
      </c>
      <c r="I35" s="672" t="s">
        <v>799</v>
      </c>
      <c r="N35" s="132"/>
      <c r="O35" s="132"/>
      <c r="P35" s="132"/>
      <c r="Q35" s="132"/>
      <c r="R35" s="132"/>
      <c r="S35" s="132"/>
      <c r="T35" s="132"/>
      <c r="AD35" s="268"/>
      <c r="AE35" s="268"/>
      <c r="AF35" s="268"/>
      <c r="AG35" s="268"/>
      <c r="AH35" s="268"/>
    </row>
    <row r="36" spans="2:34" s="238" customFormat="1">
      <c r="B36" s="753" t="s">
        <v>1045</v>
      </c>
      <c r="C36" s="272">
        <f>'Unit costs'!$P$13*'Inputs and eligible population'!E$60/(365/'Inputs and eligible population'!D60)</f>
        <v>0</v>
      </c>
      <c r="D36" s="754">
        <f>D$14*$C36/1000</f>
        <v>0</v>
      </c>
      <c r="E36" s="754">
        <f t="shared" ref="E36:I36" si="6">E$14*$C36/1000</f>
        <v>0</v>
      </c>
      <c r="F36" s="754">
        <f t="shared" si="6"/>
        <v>0</v>
      </c>
      <c r="G36" s="754">
        <f t="shared" si="6"/>
        <v>0</v>
      </c>
      <c r="H36" s="754">
        <f t="shared" si="6"/>
        <v>0</v>
      </c>
      <c r="I36" s="754">
        <f t="shared" si="6"/>
        <v>0</v>
      </c>
      <c r="N36" s="132"/>
      <c r="O36" s="132"/>
      <c r="P36" s="132"/>
      <c r="Q36" s="132"/>
      <c r="R36" s="132"/>
      <c r="S36" s="132"/>
      <c r="T36" s="132"/>
      <c r="AD36" s="268"/>
      <c r="AE36" s="268"/>
      <c r="AF36" s="268"/>
      <c r="AG36" s="268"/>
      <c r="AH36" s="268"/>
    </row>
    <row r="37" spans="2:34" s="238" customFormat="1">
      <c r="B37" s="197" t="s">
        <v>1046</v>
      </c>
      <c r="C37" s="272">
        <f>'Unit costs'!$P$13*'Inputs and eligible population'!F$60/(365/'Inputs and eligible population'!D60)</f>
        <v>0</v>
      </c>
      <c r="D37" s="754">
        <f t="shared" ref="D37:D39" si="7">D$14*$C37/1000</f>
        <v>0</v>
      </c>
      <c r="E37" s="754">
        <f>D$14*$C37/1000</f>
        <v>0</v>
      </c>
      <c r="F37" s="754">
        <f>E$14*$C37/1000</f>
        <v>0</v>
      </c>
      <c r="G37" s="754">
        <f t="shared" ref="G37:I37" si="8">F$14*$C37/1000</f>
        <v>0</v>
      </c>
      <c r="H37" s="754">
        <f t="shared" si="8"/>
        <v>0</v>
      </c>
      <c r="I37" s="754">
        <f t="shared" si="8"/>
        <v>0</v>
      </c>
      <c r="N37" s="132"/>
      <c r="O37" s="132"/>
      <c r="P37" s="132"/>
      <c r="Q37" s="132"/>
      <c r="R37" s="132"/>
      <c r="S37" s="132"/>
      <c r="T37" s="132"/>
      <c r="AD37" s="268"/>
      <c r="AE37" s="268"/>
      <c r="AF37" s="268"/>
      <c r="AG37" s="268"/>
      <c r="AH37" s="268"/>
    </row>
    <row r="38" spans="2:34" s="238" customFormat="1">
      <c r="B38" s="197" t="s">
        <v>1047</v>
      </c>
      <c r="C38" s="272">
        <f>'Unit costs'!$P$13*'Inputs and eligible population'!G$60/(365/'Inputs and eligible population'!D60)</f>
        <v>0</v>
      </c>
      <c r="D38" s="754">
        <f t="shared" si="7"/>
        <v>0</v>
      </c>
      <c r="E38" s="754">
        <f>D$14*$C38/1000</f>
        <v>0</v>
      </c>
      <c r="F38" s="754">
        <f>D$14*$C38/1000</f>
        <v>0</v>
      </c>
      <c r="G38" s="754">
        <f>E$14*$C38/1000</f>
        <v>0</v>
      </c>
      <c r="H38" s="754">
        <f>F$14*$C38/1000</f>
        <v>0</v>
      </c>
      <c r="I38" s="754">
        <f>G$14*$C38/1000</f>
        <v>0</v>
      </c>
      <c r="N38" s="132"/>
      <c r="O38" s="132"/>
      <c r="P38" s="132"/>
      <c r="Q38" s="132"/>
      <c r="R38" s="132"/>
      <c r="S38" s="132"/>
      <c r="T38" s="132"/>
      <c r="AD38" s="268"/>
      <c r="AE38" s="268"/>
      <c r="AF38" s="268"/>
      <c r="AG38" s="268"/>
      <c r="AH38" s="268"/>
    </row>
    <row r="39" spans="2:34" s="238" customFormat="1">
      <c r="B39" s="197" t="s">
        <v>1048</v>
      </c>
      <c r="C39" s="272">
        <f>'Unit costs'!$P$13*'Inputs and eligible population'!H$60/(365/'Inputs and eligible population'!D60)</f>
        <v>0</v>
      </c>
      <c r="D39" s="754">
        <f t="shared" si="7"/>
        <v>0</v>
      </c>
      <c r="E39" s="754">
        <f>D$14*$C39/1000</f>
        <v>0</v>
      </c>
      <c r="F39" s="754">
        <f>D$14*$C39/1000</f>
        <v>0</v>
      </c>
      <c r="G39" s="754">
        <f>D$14*$C39/1000</f>
        <v>0</v>
      </c>
      <c r="H39" s="754">
        <f>E$14*$C39/1000</f>
        <v>0</v>
      </c>
      <c r="I39" s="754">
        <f>F$14*$C39/1000</f>
        <v>0</v>
      </c>
      <c r="N39" s="132"/>
      <c r="O39" s="132"/>
      <c r="P39" s="132"/>
      <c r="Q39" s="132"/>
      <c r="R39" s="132"/>
      <c r="S39" s="132"/>
      <c r="T39" s="132"/>
      <c r="AD39" s="268"/>
      <c r="AE39" s="268"/>
      <c r="AF39" s="268"/>
      <c r="AG39" s="268"/>
      <c r="AH39" s="268"/>
    </row>
    <row r="40" spans="2:34" s="238" customFormat="1">
      <c r="B40" s="197" t="s">
        <v>1049</v>
      </c>
      <c r="C40" s="272">
        <f>'Unit costs'!$P$13*'Inputs and eligible population'!I$60/(365/'Inputs and eligible population'!D60)</f>
        <v>0</v>
      </c>
      <c r="D40" s="754">
        <f t="shared" ref="D40" si="9">D$14*$C40/1000</f>
        <v>0</v>
      </c>
      <c r="E40" s="754">
        <f>D$14*$C40/1000</f>
        <v>0</v>
      </c>
      <c r="F40" s="754">
        <f>D$14*$C40/1000</f>
        <v>0</v>
      </c>
      <c r="G40" s="754">
        <f>D$14*$C40/1000</f>
        <v>0</v>
      </c>
      <c r="H40" s="754">
        <f>D$14*$C40/1000</f>
        <v>0</v>
      </c>
      <c r="I40" s="754">
        <f>E$14*$C40/1000</f>
        <v>0</v>
      </c>
      <c r="N40" s="132"/>
      <c r="O40" s="132"/>
      <c r="P40" s="132"/>
      <c r="Q40" s="132"/>
      <c r="R40" s="132"/>
      <c r="S40" s="132"/>
      <c r="T40" s="132"/>
      <c r="AD40" s="268"/>
      <c r="AE40" s="268"/>
      <c r="AF40" s="268"/>
      <c r="AG40" s="268"/>
      <c r="AH40" s="268"/>
    </row>
    <row r="41" spans="2:34" s="238" customFormat="1">
      <c r="B41" s="197" t="s">
        <v>1056</v>
      </c>
      <c r="C41" s="272">
        <f>'Unit costs'!$P$34*'Inputs and eligible population'!E$62/(365/'Inputs and eligible population'!D62)</f>
        <v>0</v>
      </c>
      <c r="D41" s="754">
        <f t="shared" ref="D41:I41" si="10">D$16*$C41/1000</f>
        <v>0</v>
      </c>
      <c r="E41" s="754">
        <f t="shared" si="10"/>
        <v>0</v>
      </c>
      <c r="F41" s="754">
        <f t="shared" si="10"/>
        <v>0</v>
      </c>
      <c r="G41" s="754">
        <f t="shared" si="10"/>
        <v>0</v>
      </c>
      <c r="H41" s="754">
        <f t="shared" si="10"/>
        <v>0</v>
      </c>
      <c r="I41" s="754">
        <f t="shared" si="10"/>
        <v>0</v>
      </c>
      <c r="N41" s="132"/>
      <c r="O41" s="132"/>
      <c r="P41" s="132"/>
      <c r="Q41" s="132"/>
      <c r="R41" s="132"/>
      <c r="S41" s="132"/>
      <c r="T41" s="132"/>
      <c r="AD41" s="268"/>
      <c r="AE41" s="268"/>
      <c r="AF41" s="268"/>
      <c r="AG41" s="268"/>
      <c r="AH41" s="268"/>
    </row>
    <row r="42" spans="2:34" s="238" customFormat="1">
      <c r="B42" s="197" t="s">
        <v>1057</v>
      </c>
      <c r="C42" s="272">
        <f>'Unit costs'!$P$34*'Inputs and eligible population'!F$62/(365/'Inputs and eligible population'!D62)</f>
        <v>0</v>
      </c>
      <c r="D42" s="754">
        <f>D$16*$C42/1000</f>
        <v>0</v>
      </c>
      <c r="E42" s="754">
        <f>D$16*$C42/1000</f>
        <v>0</v>
      </c>
      <c r="F42" s="754">
        <f>E$16*$C42/1000</f>
        <v>0</v>
      </c>
      <c r="G42" s="754">
        <f>F$16*$C42/1000</f>
        <v>0</v>
      </c>
      <c r="H42" s="754">
        <f>G$16*$C42/1000</f>
        <v>0</v>
      </c>
      <c r="I42" s="754">
        <f>H$16*$C42/1000</f>
        <v>0</v>
      </c>
      <c r="N42" s="132"/>
      <c r="O42" s="132"/>
      <c r="P42" s="132"/>
      <c r="Q42" s="132"/>
      <c r="R42" s="132"/>
      <c r="S42" s="132"/>
      <c r="T42" s="132"/>
      <c r="AD42" s="268"/>
      <c r="AE42" s="268"/>
      <c r="AF42" s="268"/>
      <c r="AG42" s="268"/>
      <c r="AH42" s="268"/>
    </row>
    <row r="43" spans="2:34" s="238" customFormat="1">
      <c r="B43" s="197" t="s">
        <v>1058</v>
      </c>
      <c r="C43" s="272">
        <f>'Unit costs'!$P$34*'Inputs and eligible population'!G$62/(365/'Inputs and eligible population'!D62)</f>
        <v>0</v>
      </c>
      <c r="D43" s="754">
        <f>D$16*$C43/1000</f>
        <v>0</v>
      </c>
      <c r="E43" s="754">
        <f>D$16*$C43/1000</f>
        <v>0</v>
      </c>
      <c r="F43" s="754">
        <f>D$16*$C43/1000</f>
        <v>0</v>
      </c>
      <c r="G43" s="754">
        <f>E$16*$C43/1000</f>
        <v>0</v>
      </c>
      <c r="H43" s="754">
        <f>F$16*$C43/1000</f>
        <v>0</v>
      </c>
      <c r="I43" s="754">
        <f>G$16*$C43/1000</f>
        <v>0</v>
      </c>
      <c r="N43" s="132"/>
      <c r="O43" s="132"/>
      <c r="P43" s="132"/>
      <c r="Q43" s="132"/>
      <c r="R43" s="132"/>
      <c r="S43" s="132"/>
      <c r="T43" s="132"/>
      <c r="AD43" s="268"/>
      <c r="AE43" s="268"/>
      <c r="AF43" s="268"/>
      <c r="AG43" s="268"/>
      <c r="AH43" s="268"/>
    </row>
    <row r="44" spans="2:34" s="238" customFormat="1">
      <c r="B44" s="197" t="s">
        <v>1059</v>
      </c>
      <c r="C44" s="272">
        <f>'Unit costs'!$P$34*'Inputs and eligible population'!H$62/(365/'Inputs and eligible population'!D62)</f>
        <v>0</v>
      </c>
      <c r="D44" s="754">
        <f>D$16*$C44/1000</f>
        <v>0</v>
      </c>
      <c r="E44" s="754">
        <f>D$16*$C44/1000</f>
        <v>0</v>
      </c>
      <c r="F44" s="754">
        <f>D$16*$C44/1000</f>
        <v>0</v>
      </c>
      <c r="G44" s="754">
        <f>D$16*$C44/1000</f>
        <v>0</v>
      </c>
      <c r="H44" s="754">
        <f>E$16*$C44/1000</f>
        <v>0</v>
      </c>
      <c r="I44" s="754">
        <f>F$16*$C44/1000</f>
        <v>0</v>
      </c>
      <c r="N44" s="132"/>
      <c r="O44" s="132"/>
      <c r="P44" s="132"/>
      <c r="Q44" s="132"/>
      <c r="R44" s="132"/>
      <c r="S44" s="132"/>
      <c r="T44" s="132"/>
      <c r="AD44" s="268"/>
      <c r="AE44" s="268"/>
      <c r="AF44" s="268"/>
      <c r="AG44" s="268"/>
      <c r="AH44" s="268"/>
    </row>
    <row r="45" spans="2:34" s="238" customFormat="1">
      <c r="B45" s="197" t="s">
        <v>1060</v>
      </c>
      <c r="C45" s="272">
        <f>'Unit costs'!$P$34*'Inputs and eligible population'!I$62/(365/'Inputs and eligible population'!D62)</f>
        <v>0</v>
      </c>
      <c r="D45" s="754">
        <f>D$16*$C45/1000</f>
        <v>0</v>
      </c>
      <c r="E45" s="754">
        <f>D$16*$C45/1000</f>
        <v>0</v>
      </c>
      <c r="F45" s="754">
        <f>D$16*$C45/1000</f>
        <v>0</v>
      </c>
      <c r="G45" s="754">
        <f>D$16*$C45/1000</f>
        <v>0</v>
      </c>
      <c r="H45" s="754">
        <f>D$16*$C45/1000</f>
        <v>0</v>
      </c>
      <c r="I45" s="754">
        <f>E$16*$C45/1000</f>
        <v>0</v>
      </c>
      <c r="N45" s="132"/>
      <c r="O45" s="132"/>
      <c r="P45" s="132"/>
      <c r="Q45" s="132"/>
      <c r="R45" s="132"/>
      <c r="S45" s="132"/>
      <c r="T45" s="132"/>
      <c r="AD45" s="268"/>
      <c r="AE45" s="268"/>
      <c r="AF45" s="268"/>
      <c r="AG45" s="268"/>
      <c r="AH45" s="268"/>
    </row>
    <row r="46" spans="2:34" s="238" customFormat="1">
      <c r="B46" s="197" t="s">
        <v>1061</v>
      </c>
      <c r="C46" s="272">
        <f>'Unit costs'!$P$40*'Inputs and eligible population'!E$63/(365/'Inputs and eligible population'!D63)</f>
        <v>0</v>
      </c>
      <c r="D46" s="754">
        <f t="shared" ref="D46:I46" si="11">D$17*$C46/1000</f>
        <v>0</v>
      </c>
      <c r="E46" s="754">
        <f t="shared" si="11"/>
        <v>0</v>
      </c>
      <c r="F46" s="754">
        <f t="shared" si="11"/>
        <v>0</v>
      </c>
      <c r="G46" s="754">
        <f t="shared" si="11"/>
        <v>0</v>
      </c>
      <c r="H46" s="754">
        <f t="shared" si="11"/>
        <v>0</v>
      </c>
      <c r="I46" s="754">
        <f t="shared" si="11"/>
        <v>0</v>
      </c>
      <c r="N46" s="132"/>
      <c r="O46" s="132"/>
      <c r="P46" s="132"/>
      <c r="Q46" s="132"/>
      <c r="R46" s="132"/>
      <c r="S46" s="132"/>
      <c r="T46" s="132"/>
      <c r="AD46" s="268"/>
      <c r="AE46" s="268"/>
      <c r="AF46" s="268"/>
      <c r="AG46" s="268"/>
      <c r="AH46" s="268"/>
    </row>
    <row r="47" spans="2:34" s="238" customFormat="1">
      <c r="B47" s="197" t="s">
        <v>1062</v>
      </c>
      <c r="C47" s="272">
        <f>'Unit costs'!$P$40*'Inputs and eligible population'!F$63/(365/'Inputs and eligible population'!D63)</f>
        <v>0</v>
      </c>
      <c r="D47" s="754">
        <f>D$17*$C47/1000</f>
        <v>0</v>
      </c>
      <c r="E47" s="754">
        <f>D$17*$C47/1000</f>
        <v>0</v>
      </c>
      <c r="F47" s="754">
        <f>E$17*$C47/1000</f>
        <v>0</v>
      </c>
      <c r="G47" s="754">
        <f>F$17*$C47/1000</f>
        <v>0</v>
      </c>
      <c r="H47" s="754">
        <f>G$17*$C47/1000</f>
        <v>0</v>
      </c>
      <c r="I47" s="754">
        <f>H$17*$C47/1000</f>
        <v>0</v>
      </c>
      <c r="N47" s="132"/>
      <c r="O47" s="132"/>
      <c r="P47" s="132"/>
      <c r="Q47" s="132"/>
      <c r="R47" s="132"/>
      <c r="S47" s="132"/>
      <c r="T47" s="132"/>
      <c r="AD47" s="268"/>
      <c r="AE47" s="268"/>
      <c r="AF47" s="268"/>
      <c r="AG47" s="268"/>
      <c r="AH47" s="268"/>
    </row>
    <row r="48" spans="2:34" s="238" customFormat="1">
      <c r="B48" s="197" t="s">
        <v>1063</v>
      </c>
      <c r="C48" s="272">
        <f>'Unit costs'!$P$40*'Inputs and eligible population'!G$63/(365/'Inputs and eligible population'!D63)</f>
        <v>0</v>
      </c>
      <c r="D48" s="754">
        <f>D$17*$C48/1000</f>
        <v>0</v>
      </c>
      <c r="E48" s="754">
        <f>D$17*$C48/1000</f>
        <v>0</v>
      </c>
      <c r="F48" s="754">
        <f>D$17*$C48/1000</f>
        <v>0</v>
      </c>
      <c r="G48" s="754">
        <f>E$17*$C48/1000</f>
        <v>0</v>
      </c>
      <c r="H48" s="754">
        <f>F$17*$C48/1000</f>
        <v>0</v>
      </c>
      <c r="I48" s="754">
        <f>G$17*$C48/1000</f>
        <v>0</v>
      </c>
      <c r="N48" s="132"/>
      <c r="O48" s="132"/>
      <c r="P48" s="132"/>
      <c r="Q48" s="132"/>
      <c r="R48" s="132"/>
      <c r="S48" s="132"/>
      <c r="T48" s="132"/>
      <c r="AD48" s="268"/>
      <c r="AE48" s="268"/>
      <c r="AF48" s="268"/>
      <c r="AG48" s="268"/>
      <c r="AH48" s="268"/>
    </row>
    <row r="49" spans="2:34" s="238" customFormat="1">
      <c r="B49" s="197" t="s">
        <v>1067</v>
      </c>
      <c r="C49" s="272">
        <f>'Unit costs'!$P$40*'Inputs and eligible population'!H$63/(365/'Inputs and eligible population'!D63)</f>
        <v>0</v>
      </c>
      <c r="D49" s="754">
        <f>D$17*$C49/1000</f>
        <v>0</v>
      </c>
      <c r="E49" s="754">
        <f>D$17*$C49/1000</f>
        <v>0</v>
      </c>
      <c r="F49" s="754">
        <f>D$17*$C49/1000</f>
        <v>0</v>
      </c>
      <c r="G49" s="754">
        <f>D$17*$C49/1000</f>
        <v>0</v>
      </c>
      <c r="H49" s="754">
        <f>E$17*$C49/1000</f>
        <v>0</v>
      </c>
      <c r="I49" s="754">
        <f>F$17*$C49/1000</f>
        <v>0</v>
      </c>
      <c r="N49" s="132"/>
      <c r="O49" s="132"/>
      <c r="P49" s="132"/>
      <c r="Q49" s="132"/>
      <c r="R49" s="132"/>
      <c r="S49" s="132"/>
      <c r="T49" s="132"/>
      <c r="AD49" s="268"/>
      <c r="AE49" s="268"/>
      <c r="AF49" s="268"/>
      <c r="AG49" s="268"/>
      <c r="AH49" s="268"/>
    </row>
    <row r="50" spans="2:34" s="238" customFormat="1">
      <c r="B50" s="197" t="s">
        <v>1068</v>
      </c>
      <c r="C50" s="272">
        <f>'Unit costs'!$P$40*'Inputs and eligible population'!I$63/(365/'Inputs and eligible population'!D63)</f>
        <v>0</v>
      </c>
      <c r="D50" s="754">
        <f>D$17*$C50/1000</f>
        <v>0</v>
      </c>
      <c r="E50" s="754">
        <f>D$17*$C50/1000</f>
        <v>0</v>
      </c>
      <c r="F50" s="754">
        <f>D$17*$C50/1000</f>
        <v>0</v>
      </c>
      <c r="G50" s="754">
        <f>D$17*$C50/1000</f>
        <v>0</v>
      </c>
      <c r="H50" s="754">
        <f>D$17*$C50/1000</f>
        <v>0</v>
      </c>
      <c r="I50" s="754">
        <f>E$17*$C50/1000</f>
        <v>0</v>
      </c>
      <c r="N50" s="132"/>
      <c r="O50" s="132"/>
      <c r="P50" s="132"/>
      <c r="Q50" s="132"/>
      <c r="R50" s="132"/>
      <c r="S50" s="132"/>
      <c r="T50" s="132"/>
      <c r="AD50" s="268"/>
      <c r="AE50" s="268"/>
      <c r="AF50" s="268"/>
      <c r="AG50" s="268"/>
      <c r="AH50" s="268"/>
    </row>
    <row r="51" spans="2:34" s="238" customFormat="1">
      <c r="B51" s="275" t="s">
        <v>827</v>
      </c>
      <c r="C51" s="627"/>
      <c r="D51" s="185">
        <f t="shared" ref="D51:I51" si="12">SUM(D23:D50)</f>
        <v>0</v>
      </c>
      <c r="E51" s="185">
        <f t="shared" si="12"/>
        <v>0</v>
      </c>
      <c r="F51" s="185">
        <f t="shared" si="12"/>
        <v>0</v>
      </c>
      <c r="G51" s="185">
        <f t="shared" si="12"/>
        <v>0</v>
      </c>
      <c r="H51" s="186">
        <f t="shared" si="12"/>
        <v>0</v>
      </c>
      <c r="I51" s="185">
        <f t="shared" si="12"/>
        <v>0</v>
      </c>
      <c r="J51" s="338"/>
      <c r="N51" s="132"/>
      <c r="O51" s="132"/>
      <c r="P51" s="132"/>
      <c r="Q51" s="132"/>
      <c r="R51" s="132"/>
      <c r="S51" s="132"/>
      <c r="T51" s="132"/>
      <c r="AD51" s="268"/>
      <c r="AE51" s="268"/>
      <c r="AF51" s="268"/>
      <c r="AG51" s="268"/>
      <c r="AH51" s="268"/>
    </row>
    <row r="52" spans="2:34" s="238" customFormat="1">
      <c r="B52" s="276"/>
      <c r="C52" s="132"/>
      <c r="D52" s="132"/>
      <c r="E52" s="132"/>
      <c r="F52" s="132"/>
      <c r="G52" s="132"/>
      <c r="H52" s="132"/>
      <c r="I52" s="132"/>
      <c r="N52" s="132"/>
      <c r="O52" s="132"/>
      <c r="P52" s="132"/>
      <c r="Q52" s="132"/>
      <c r="R52" s="132"/>
      <c r="S52" s="132"/>
      <c r="T52" s="132"/>
      <c r="AD52" s="268"/>
      <c r="AE52" s="268"/>
      <c r="AF52" s="268"/>
      <c r="AG52" s="268"/>
      <c r="AH52" s="268"/>
    </row>
    <row r="53" spans="2:34" s="238" customFormat="1">
      <c r="B53" s="359"/>
      <c r="C53" s="273"/>
      <c r="D53" s="337" t="s">
        <v>801</v>
      </c>
      <c r="E53" s="185">
        <f>E51-$D$51</f>
        <v>0</v>
      </c>
      <c r="F53" s="185">
        <f t="shared" ref="F53:I53" si="13">F51-$D$51</f>
        <v>0</v>
      </c>
      <c r="G53" s="185">
        <f t="shared" si="13"/>
        <v>0</v>
      </c>
      <c r="H53" s="185">
        <f t="shared" si="13"/>
        <v>0</v>
      </c>
      <c r="I53" s="185">
        <f t="shared" si="13"/>
        <v>0</v>
      </c>
      <c r="N53" s="132"/>
      <c r="O53" s="132"/>
      <c r="P53" s="132"/>
      <c r="Q53" s="132"/>
      <c r="R53" s="132"/>
      <c r="S53" s="132"/>
      <c r="T53" s="132"/>
      <c r="AD53" s="268"/>
      <c r="AE53" s="268"/>
      <c r="AF53" s="268"/>
      <c r="AG53" s="268"/>
      <c r="AH53" s="268"/>
    </row>
    <row r="54" spans="2:34" s="238" customFormat="1">
      <c r="B54" s="359"/>
      <c r="C54" s="273"/>
      <c r="D54" s="279" t="s">
        <v>828</v>
      </c>
      <c r="E54" s="185">
        <f>E53</f>
        <v>0</v>
      </c>
      <c r="F54" s="187">
        <f>F53-E53</f>
        <v>0</v>
      </c>
      <c r="G54" s="187">
        <f t="shared" ref="G54:I54" si="14">G53-F53</f>
        <v>0</v>
      </c>
      <c r="H54" s="187">
        <f t="shared" si="14"/>
        <v>0</v>
      </c>
      <c r="I54" s="187">
        <f t="shared" si="14"/>
        <v>0</v>
      </c>
      <c r="J54" s="132"/>
      <c r="K54" s="132"/>
      <c r="L54" s="132"/>
      <c r="M54" s="132"/>
      <c r="N54" s="132"/>
      <c r="O54" s="132"/>
      <c r="P54" s="132"/>
      <c r="Q54" s="132"/>
      <c r="R54" s="132"/>
      <c r="S54" s="132"/>
      <c r="T54" s="132"/>
      <c r="AD54" s="268"/>
      <c r="AE54" s="268"/>
      <c r="AF54" s="268"/>
      <c r="AG54" s="268"/>
      <c r="AH54" s="268"/>
    </row>
    <row r="56" spans="2:34">
      <c r="J56" s="238"/>
      <c r="K56" s="238"/>
    </row>
    <row r="57" spans="2:34">
      <c r="J57" s="238"/>
      <c r="K57" s="238"/>
    </row>
    <row r="58" spans="2:34">
      <c r="J58" s="238"/>
      <c r="K58" s="238"/>
    </row>
  </sheetData>
  <sheetProtection algorithmName="SHA-512" hashValue="j/P+oDN+yNs51+Av2gHgyJuf+CmY89Ks2UCC/jJCxKHUNzass4P1O30+cvXB4zZVCB9ZvAAv498mG5aeB7nX4w==" saltValue="QL+KoFNAQEh5WlwvYJSM+w=="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302"/>
  <sheetViews>
    <sheetView showGridLines="0" zoomScale="80" zoomScaleNormal="80" zoomScaleSheetLayoutView="70" workbookViewId="0"/>
  </sheetViews>
  <sheetFormatPr defaultColWidth="8.85546875" defaultRowHeight="15"/>
  <cols>
    <col min="1" max="1" width="3.5703125" customWidth="1"/>
    <col min="2" max="2" width="75.28515625" style="1" customWidth="1"/>
    <col min="3" max="3" width="21.7109375" customWidth="1"/>
    <col min="4" max="4" width="21.5703125" customWidth="1"/>
    <col min="5" max="5" width="16.42578125" customWidth="1"/>
    <col min="6" max="6" width="15.85546875" customWidth="1"/>
    <col min="7" max="7" width="17.140625" customWidth="1"/>
    <col min="8" max="8" width="17.7109375" customWidth="1"/>
    <col min="9" max="9" width="16.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12" t="str">
        <f>'Inputs and eligible population'!B1</f>
        <v>Selpercatinib for advanced thyroid cancer with RET alterations untreated with a targeted cancer drug in people 12 years and over</v>
      </c>
      <c r="C1" s="126"/>
      <c r="D1" s="126"/>
      <c r="F1" s="126"/>
      <c r="G1" s="126"/>
      <c r="H1" s="126"/>
      <c r="I1" s="126"/>
      <c r="J1" s="126"/>
      <c r="K1" s="126"/>
      <c r="L1" s="126"/>
      <c r="M1" s="126"/>
      <c r="N1" s="126"/>
      <c r="O1" s="126"/>
      <c r="P1" s="126"/>
      <c r="R1" s="126"/>
      <c r="S1" s="126"/>
      <c r="T1" s="126"/>
      <c r="U1" s="126"/>
      <c r="V1" s="126"/>
      <c r="W1" s="126"/>
      <c r="X1" s="126"/>
      <c r="Y1" s="126"/>
      <c r="Z1" s="126"/>
    </row>
    <row r="2" spans="1:40" ht="42.6" customHeight="1">
      <c r="B2" s="212" t="s">
        <v>829</v>
      </c>
      <c r="C2" s="126" t="s">
        <v>738</v>
      </c>
      <c r="D2" s="126" t="s">
        <v>738</v>
      </c>
      <c r="E2" s="464"/>
      <c r="F2" s="126" t="s">
        <v>738</v>
      </c>
      <c r="G2" s="126" t="s">
        <v>738</v>
      </c>
      <c r="H2" s="126" t="s">
        <v>738</v>
      </c>
      <c r="I2" s="126" t="s">
        <v>738</v>
      </c>
      <c r="J2" s="126"/>
      <c r="K2" s="126"/>
      <c r="L2" s="126"/>
      <c r="M2" s="126"/>
      <c r="N2" s="126"/>
      <c r="O2" s="126"/>
      <c r="P2" s="126"/>
      <c r="Q2" s="126"/>
      <c r="R2" s="126"/>
      <c r="S2" s="126"/>
      <c r="T2" s="126"/>
      <c r="U2" s="126"/>
      <c r="V2" s="126"/>
      <c r="W2" s="126"/>
      <c r="X2" s="126"/>
      <c r="Y2" s="126"/>
      <c r="Z2" s="126"/>
    </row>
    <row r="3" spans="1:40" ht="14.45" customHeight="1">
      <c r="B3" s="129" t="s">
        <v>738</v>
      </c>
      <c r="C3" s="132" t="s">
        <v>738</v>
      </c>
      <c r="D3" s="132" t="s">
        <v>738</v>
      </c>
      <c r="F3" s="132" t="s">
        <v>738</v>
      </c>
      <c r="G3" s="132" t="s">
        <v>738</v>
      </c>
      <c r="H3" s="132" t="s">
        <v>738</v>
      </c>
      <c r="I3" s="132" t="s">
        <v>738</v>
      </c>
      <c r="J3" s="126"/>
      <c r="K3" s="126"/>
      <c r="L3" s="126"/>
      <c r="M3" s="126"/>
      <c r="N3" s="126"/>
      <c r="O3" s="126"/>
      <c r="P3" s="126"/>
      <c r="Q3" s="132"/>
      <c r="R3" s="132"/>
      <c r="S3" s="132"/>
      <c r="T3" s="132"/>
      <c r="U3" s="132"/>
      <c r="V3" s="132"/>
      <c r="W3" s="132"/>
      <c r="X3" s="132"/>
      <c r="Y3" s="132"/>
      <c r="Z3" s="132"/>
    </row>
    <row r="4" spans="1:40" ht="14.45" customHeight="1">
      <c r="B4" t="s">
        <v>830</v>
      </c>
      <c r="C4" s="132"/>
      <c r="D4" s="132"/>
      <c r="F4" s="132"/>
      <c r="G4" s="132"/>
      <c r="H4" s="132"/>
      <c r="I4" s="132"/>
      <c r="J4" s="132"/>
      <c r="K4" s="132"/>
      <c r="L4" s="132"/>
      <c r="M4" s="132"/>
      <c r="N4" s="132"/>
      <c r="O4" s="132"/>
      <c r="P4" s="132"/>
      <c r="Q4" s="132"/>
      <c r="R4" s="132"/>
      <c r="S4" s="132"/>
      <c r="T4" s="132"/>
      <c r="U4" s="132"/>
      <c r="V4" s="132"/>
      <c r="W4" s="132"/>
      <c r="X4" s="132"/>
      <c r="Y4" s="132"/>
      <c r="Z4" s="132"/>
    </row>
    <row r="5" spans="1:40" ht="14.45" customHeight="1">
      <c r="B5" s="5"/>
      <c r="F5" s="132"/>
      <c r="G5" s="132"/>
      <c r="H5" s="132"/>
      <c r="I5" s="132"/>
      <c r="J5" s="132"/>
      <c r="K5" s="132"/>
      <c r="L5" s="132"/>
      <c r="M5" s="132"/>
      <c r="N5" s="132"/>
      <c r="O5" s="132"/>
      <c r="P5" s="132"/>
      <c r="Q5" s="132"/>
      <c r="R5" s="132"/>
      <c r="S5" s="132"/>
      <c r="T5" s="132"/>
      <c r="U5" s="132"/>
      <c r="V5" s="132"/>
      <c r="W5" s="132"/>
      <c r="X5" s="132"/>
      <c r="Y5" s="132"/>
      <c r="Z5" s="132"/>
    </row>
    <row r="6" spans="1:40" ht="45">
      <c r="B6" s="253" t="s">
        <v>795</v>
      </c>
      <c r="C6" s="207"/>
      <c r="D6" s="392" t="s">
        <v>825</v>
      </c>
      <c r="E6" s="251" t="s">
        <v>674</v>
      </c>
      <c r="F6" s="251" t="s">
        <v>675</v>
      </c>
      <c r="G6" s="164" t="s">
        <v>792</v>
      </c>
      <c r="H6" s="164" t="s">
        <v>793</v>
      </c>
      <c r="I6" s="251" t="s">
        <v>794</v>
      </c>
      <c r="L6" s="392" t="s">
        <v>825</v>
      </c>
      <c r="M6" s="251" t="s">
        <v>674</v>
      </c>
      <c r="N6" s="251" t="s">
        <v>675</v>
      </c>
      <c r="O6" s="164" t="s">
        <v>792</v>
      </c>
      <c r="P6" s="164" t="s">
        <v>793</v>
      </c>
      <c r="Q6" s="251" t="s">
        <v>794</v>
      </c>
      <c r="R6" s="132"/>
      <c r="S6" s="132"/>
      <c r="T6" s="132"/>
      <c r="U6" s="132"/>
      <c r="V6" s="132"/>
      <c r="W6" s="132"/>
      <c r="X6" s="132"/>
      <c r="Y6" s="132"/>
      <c r="Z6" s="132"/>
      <c r="AJ6" s="281"/>
      <c r="AK6" s="281"/>
      <c r="AL6" s="281"/>
      <c r="AM6" s="281"/>
      <c r="AN6" s="281"/>
    </row>
    <row r="7" spans="1:40">
      <c r="B7" s="221" t="s">
        <v>795</v>
      </c>
      <c r="C7" s="167"/>
      <c r="D7" s="360">
        <f>'Inputs and eligible population'!F49</f>
        <v>27.980505249406825</v>
      </c>
      <c r="E7" s="360">
        <f>'Inputs and eligible population'!G49</f>
        <v>28.250287893765055</v>
      </c>
      <c r="F7" s="360">
        <f>'Inputs and eligible population'!H49</f>
        <v>28.522671730437303</v>
      </c>
      <c r="G7" s="360">
        <f>'Inputs and eligible population'!I49</f>
        <v>28.797681839619027</v>
      </c>
      <c r="H7" s="360">
        <f>'Inputs and eligible population'!J49</f>
        <v>29.075343543324113</v>
      </c>
      <c r="I7" s="360">
        <f>'Inputs and eligible population'!K49</f>
        <v>29.355682407716429</v>
      </c>
      <c r="P7" s="132"/>
      <c r="Q7" s="132"/>
      <c r="R7" s="132"/>
      <c r="S7" s="132"/>
      <c r="T7" s="132"/>
      <c r="U7" s="132"/>
      <c r="V7" s="132"/>
      <c r="W7" s="132"/>
      <c r="X7" s="132"/>
      <c r="Y7" s="132"/>
      <c r="Z7" s="132"/>
      <c r="AJ7" s="281"/>
      <c r="AK7" s="281"/>
      <c r="AL7" s="281"/>
      <c r="AM7" s="281"/>
      <c r="AN7" s="281"/>
    </row>
    <row r="8" spans="1:40">
      <c r="B8"/>
      <c r="P8" s="132"/>
      <c r="Q8" s="132"/>
      <c r="R8" s="132"/>
      <c r="S8" s="132"/>
      <c r="T8" s="132"/>
      <c r="U8" s="132"/>
      <c r="V8" s="132"/>
      <c r="W8" s="132"/>
      <c r="X8" s="132"/>
      <c r="Y8" s="132"/>
      <c r="Z8" s="132"/>
      <c r="AJ8" s="281"/>
      <c r="AK8" s="281"/>
      <c r="AL8" s="281"/>
      <c r="AM8" s="281"/>
      <c r="AN8" s="281"/>
    </row>
    <row r="9" spans="1:40">
      <c r="B9" s="274" t="s">
        <v>831</v>
      </c>
      <c r="C9" s="405"/>
      <c r="D9" s="405"/>
      <c r="E9" s="406"/>
      <c r="F9" s="405"/>
      <c r="G9" s="407"/>
      <c r="H9" s="408"/>
      <c r="I9" s="535"/>
      <c r="L9" s="672" t="s">
        <v>799</v>
      </c>
      <c r="M9" s="672" t="s">
        <v>799</v>
      </c>
      <c r="N9" s="672" t="s">
        <v>799</v>
      </c>
      <c r="O9" s="672" t="s">
        <v>799</v>
      </c>
      <c r="P9" s="672" t="s">
        <v>799</v>
      </c>
      <c r="Q9" s="672" t="s">
        <v>799</v>
      </c>
      <c r="R9" s="132"/>
      <c r="S9" s="132"/>
      <c r="T9" s="132"/>
      <c r="U9" s="132"/>
      <c r="V9" s="132"/>
      <c r="W9" s="132"/>
      <c r="X9" s="132"/>
      <c r="Y9" s="132"/>
      <c r="Z9" s="132"/>
      <c r="AJ9" s="281"/>
      <c r="AK9" s="281"/>
      <c r="AL9" s="281"/>
      <c r="AM9" s="281"/>
      <c r="AN9" s="281"/>
    </row>
    <row r="10" spans="1:40">
      <c r="A10" s="282"/>
      <c r="B10" s="529" t="str">
        <f>B25</f>
        <v>First attendances - appointments and cost</v>
      </c>
      <c r="C10" s="365"/>
      <c r="D10" s="394">
        <f>D31</f>
        <v>27.980505249406821</v>
      </c>
      <c r="E10" s="394">
        <f t="shared" ref="E10:I10" si="0">E31</f>
        <v>28.23080493659694</v>
      </c>
      <c r="F10" s="394">
        <f t="shared" si="0"/>
        <v>28.522671730437303</v>
      </c>
      <c r="G10" s="394">
        <f t="shared" si="0"/>
        <v>28.827472544970348</v>
      </c>
      <c r="H10" s="394">
        <f t="shared" si="0"/>
        <v>29.105421484920647</v>
      </c>
      <c r="I10" s="394">
        <f t="shared" si="0"/>
        <v>29.386050355034754</v>
      </c>
      <c r="L10" s="286">
        <f>L31</f>
        <v>1.6939397877990889</v>
      </c>
      <c r="M10" s="286">
        <f t="shared" ref="M10:Q10" si="1">M31</f>
        <v>1.7090929308615788</v>
      </c>
      <c r="N10" s="286">
        <f t="shared" si="1"/>
        <v>1.7267625465606742</v>
      </c>
      <c r="O10" s="286">
        <f t="shared" si="1"/>
        <v>1.7452151878725051</v>
      </c>
      <c r="P10" s="286">
        <f t="shared" si="1"/>
        <v>1.7620422166970962</v>
      </c>
      <c r="Q10" s="286">
        <f t="shared" si="1"/>
        <v>1.7790314884938039</v>
      </c>
      <c r="R10" s="132"/>
      <c r="S10" s="132"/>
      <c r="T10" s="132"/>
      <c r="U10" s="132"/>
      <c r="V10" s="132"/>
      <c r="W10" s="132"/>
      <c r="X10" s="132"/>
      <c r="Y10" s="132"/>
      <c r="Z10" s="132"/>
      <c r="AJ10" s="281"/>
      <c r="AK10" s="281"/>
      <c r="AL10" s="281"/>
      <c r="AM10" s="281"/>
      <c r="AN10" s="281"/>
    </row>
    <row r="11" spans="1:40">
      <c r="A11" s="282"/>
      <c r="B11" s="529" t="str">
        <f>B34</f>
        <v>Follow up attendances appointments and cost</v>
      </c>
      <c r="C11" s="365"/>
      <c r="D11" s="394">
        <f>D61</f>
        <v>0</v>
      </c>
      <c r="E11" s="394">
        <f t="shared" ref="E11:I11" si="2">E61</f>
        <v>0</v>
      </c>
      <c r="F11" s="394">
        <f t="shared" si="2"/>
        <v>0</v>
      </c>
      <c r="G11" s="394">
        <f t="shared" si="2"/>
        <v>0</v>
      </c>
      <c r="H11" s="394">
        <f t="shared" si="2"/>
        <v>0</v>
      </c>
      <c r="I11" s="394">
        <f t="shared" si="2"/>
        <v>0</v>
      </c>
      <c r="L11" s="286">
        <f>L61</f>
        <v>0</v>
      </c>
      <c r="M11" s="286">
        <f t="shared" ref="M11:Q11" si="3">M61</f>
        <v>0</v>
      </c>
      <c r="N11" s="286">
        <f t="shared" si="3"/>
        <v>0</v>
      </c>
      <c r="O11" s="286">
        <f t="shared" si="3"/>
        <v>0</v>
      </c>
      <c r="P11" s="286">
        <f t="shared" si="3"/>
        <v>0</v>
      </c>
      <c r="Q11" s="286">
        <f t="shared" si="3"/>
        <v>0</v>
      </c>
      <c r="R11" s="132"/>
      <c r="S11" s="132"/>
      <c r="T11" s="132"/>
      <c r="U11" s="132"/>
      <c r="V11" s="132"/>
      <c r="W11" s="132"/>
      <c r="X11" s="132"/>
      <c r="Y11" s="132"/>
      <c r="Z11" s="132"/>
      <c r="AJ11" s="281"/>
      <c r="AK11" s="281"/>
      <c r="AL11" s="281"/>
      <c r="AM11" s="281"/>
      <c r="AN11" s="281"/>
    </row>
    <row r="12" spans="1:40">
      <c r="A12" s="307"/>
      <c r="B12" s="412" t="str">
        <f>B65</f>
        <v xml:space="preserve">Nurse led appointments </v>
      </c>
      <c r="C12" s="417"/>
      <c r="D12" s="395">
        <f>D92</f>
        <v>0</v>
      </c>
      <c r="E12" s="395">
        <f t="shared" ref="E12:I12" si="4">E92</f>
        <v>0</v>
      </c>
      <c r="F12" s="395">
        <f t="shared" si="4"/>
        <v>0</v>
      </c>
      <c r="G12" s="395">
        <f t="shared" si="4"/>
        <v>0</v>
      </c>
      <c r="H12" s="395">
        <f t="shared" si="4"/>
        <v>0</v>
      </c>
      <c r="I12" s="395">
        <f t="shared" si="4"/>
        <v>0</v>
      </c>
      <c r="L12" s="286">
        <f>L92</f>
        <v>0</v>
      </c>
      <c r="M12" s="286">
        <f t="shared" ref="M12:Q12" si="5">M92</f>
        <v>0</v>
      </c>
      <c r="N12" s="286">
        <f t="shared" si="5"/>
        <v>0</v>
      </c>
      <c r="O12" s="286">
        <f t="shared" si="5"/>
        <v>0</v>
      </c>
      <c r="P12" s="286">
        <f t="shared" si="5"/>
        <v>0</v>
      </c>
      <c r="Q12" s="286">
        <f t="shared" si="5"/>
        <v>0</v>
      </c>
      <c r="R12" s="132"/>
      <c r="S12" s="132"/>
      <c r="T12" s="132"/>
      <c r="U12" s="132"/>
      <c r="V12" s="132"/>
      <c r="W12" s="132"/>
      <c r="X12" s="132"/>
      <c r="Y12" s="132"/>
      <c r="Z12" s="132"/>
      <c r="AJ12" s="281"/>
      <c r="AK12" s="281"/>
      <c r="AL12" s="281"/>
      <c r="AM12" s="281"/>
      <c r="AN12" s="281"/>
    </row>
    <row r="13" spans="1:40">
      <c r="A13" s="847"/>
      <c r="B13" s="848" t="s">
        <v>1180</v>
      </c>
      <c r="C13" s="849"/>
      <c r="D13" s="850">
        <f>D128</f>
        <v>0</v>
      </c>
      <c r="E13" s="850">
        <f t="shared" ref="E13:I13" si="6">E128</f>
        <v>0</v>
      </c>
      <c r="F13" s="850">
        <f t="shared" si="6"/>
        <v>0</v>
      </c>
      <c r="G13" s="850">
        <f t="shared" si="6"/>
        <v>0</v>
      </c>
      <c r="H13" s="850">
        <f t="shared" si="6"/>
        <v>0</v>
      </c>
      <c r="I13" s="850">
        <f t="shared" si="6"/>
        <v>0</v>
      </c>
      <c r="L13" s="205"/>
      <c r="M13" s="205"/>
      <c r="N13" s="205"/>
      <c r="O13" s="205"/>
      <c r="P13" s="390"/>
      <c r="Q13" s="390"/>
      <c r="R13" s="132"/>
      <c r="S13" s="132"/>
      <c r="T13" s="132"/>
      <c r="U13" s="132"/>
      <c r="V13" s="132"/>
      <c r="W13" s="132"/>
      <c r="X13" s="132"/>
      <c r="Y13" s="132"/>
      <c r="Z13" s="132"/>
      <c r="AJ13" s="281"/>
      <c r="AK13" s="281"/>
      <c r="AL13" s="281"/>
      <c r="AM13" s="281"/>
      <c r="AN13" s="281"/>
    </row>
    <row r="14" spans="1:40">
      <c r="A14" s="283"/>
      <c r="B14" s="411" t="str">
        <f>B132</f>
        <v>Drug regimen prep (hours)</v>
      </c>
      <c r="C14" s="416"/>
      <c r="D14" s="391">
        <f>D159</f>
        <v>0</v>
      </c>
      <c r="E14" s="391">
        <f t="shared" ref="E14:I14" si="7">E159</f>
        <v>0</v>
      </c>
      <c r="F14" s="391">
        <f t="shared" si="7"/>
        <v>0</v>
      </c>
      <c r="G14" s="391">
        <f t="shared" si="7"/>
        <v>0</v>
      </c>
      <c r="H14" s="391">
        <f t="shared" si="7"/>
        <v>0</v>
      </c>
      <c r="I14" s="391">
        <f t="shared" si="7"/>
        <v>0</v>
      </c>
      <c r="L14" s="286">
        <f>L159</f>
        <v>0</v>
      </c>
      <c r="M14" s="286">
        <f t="shared" ref="M14:Q14" si="8">M159</f>
        <v>0</v>
      </c>
      <c r="N14" s="286">
        <f t="shared" si="8"/>
        <v>0</v>
      </c>
      <c r="O14" s="286">
        <f t="shared" si="8"/>
        <v>0</v>
      </c>
      <c r="P14" s="286">
        <f t="shared" si="8"/>
        <v>0</v>
      </c>
      <c r="Q14" s="286">
        <f t="shared" si="8"/>
        <v>0</v>
      </c>
      <c r="R14" s="132"/>
      <c r="S14" s="132"/>
      <c r="T14" s="132"/>
      <c r="U14" s="132"/>
      <c r="V14" s="132"/>
      <c r="W14" s="132"/>
      <c r="X14" s="132"/>
      <c r="Y14" s="132"/>
      <c r="Z14" s="132"/>
      <c r="AJ14" s="281"/>
      <c r="AK14" s="281"/>
      <c r="AL14" s="281"/>
      <c r="AM14" s="281"/>
      <c r="AN14" s="281"/>
    </row>
    <row r="15" spans="1:40">
      <c r="A15" s="284"/>
      <c r="B15" s="413" t="str">
        <f>B163</f>
        <v>ECG</v>
      </c>
      <c r="C15" s="418"/>
      <c r="D15" s="396">
        <f>D190</f>
        <v>0</v>
      </c>
      <c r="E15" s="396">
        <f t="shared" ref="E15:I15" si="9">E190</f>
        <v>0</v>
      </c>
      <c r="F15" s="396">
        <f t="shared" si="9"/>
        <v>0</v>
      </c>
      <c r="G15" s="396">
        <f t="shared" si="9"/>
        <v>0</v>
      </c>
      <c r="H15" s="396">
        <f t="shared" si="9"/>
        <v>0</v>
      </c>
      <c r="I15" s="396">
        <f t="shared" si="9"/>
        <v>0</v>
      </c>
      <c r="L15" s="286">
        <f>L190</f>
        <v>0</v>
      </c>
      <c r="M15" s="286">
        <f t="shared" ref="M15:Q15" si="10">M190</f>
        <v>0</v>
      </c>
      <c r="N15" s="286">
        <f t="shared" si="10"/>
        <v>0</v>
      </c>
      <c r="O15" s="286">
        <f t="shared" si="10"/>
        <v>0</v>
      </c>
      <c r="P15" s="286">
        <f t="shared" si="10"/>
        <v>0</v>
      </c>
      <c r="Q15" s="286">
        <f t="shared" si="10"/>
        <v>0</v>
      </c>
      <c r="R15" s="132"/>
      <c r="S15" s="132"/>
      <c r="T15" s="132"/>
      <c r="U15" s="132"/>
      <c r="V15" s="132"/>
      <c r="W15" s="132"/>
      <c r="X15" s="132"/>
      <c r="Y15" s="132"/>
      <c r="Z15" s="132"/>
      <c r="AJ15" s="281"/>
      <c r="AK15" s="281"/>
      <c r="AL15" s="281"/>
      <c r="AM15" s="281"/>
      <c r="AN15" s="281"/>
    </row>
    <row r="16" spans="1:40">
      <c r="A16" s="284"/>
      <c r="B16" s="413" t="s">
        <v>1168</v>
      </c>
      <c r="C16" s="418"/>
      <c r="D16" s="396">
        <f>D220</f>
        <v>0</v>
      </c>
      <c r="E16" s="396">
        <f t="shared" ref="E16:I16" si="11">E220</f>
        <v>0</v>
      </c>
      <c r="F16" s="396">
        <f t="shared" si="11"/>
        <v>0</v>
      </c>
      <c r="G16" s="396">
        <f t="shared" si="11"/>
        <v>0</v>
      </c>
      <c r="H16" s="396">
        <f t="shared" si="11"/>
        <v>0</v>
      </c>
      <c r="I16" s="396">
        <f t="shared" si="11"/>
        <v>0</v>
      </c>
      <c r="L16" s="286">
        <f>L220</f>
        <v>0</v>
      </c>
      <c r="M16" s="286">
        <f t="shared" ref="M16:Q16" si="12">M220</f>
        <v>0</v>
      </c>
      <c r="N16" s="286">
        <f t="shared" si="12"/>
        <v>0</v>
      </c>
      <c r="O16" s="286">
        <f t="shared" si="12"/>
        <v>0</v>
      </c>
      <c r="P16" s="286">
        <f t="shared" si="12"/>
        <v>0</v>
      </c>
      <c r="Q16" s="286">
        <f t="shared" si="12"/>
        <v>0</v>
      </c>
      <c r="R16" s="132"/>
      <c r="S16" s="132"/>
      <c r="T16" s="132"/>
      <c r="U16" s="132"/>
      <c r="V16" s="132"/>
      <c r="W16" s="132"/>
      <c r="X16" s="132"/>
      <c r="Y16" s="132"/>
      <c r="Z16" s="132"/>
      <c r="AJ16" s="281"/>
      <c r="AK16" s="281"/>
      <c r="AL16" s="281"/>
      <c r="AM16" s="281"/>
      <c r="AN16" s="281"/>
    </row>
    <row r="17" spans="1:40">
      <c r="A17" s="284"/>
      <c r="B17" s="413" t="str">
        <f>B223</f>
        <v xml:space="preserve">CT scan </v>
      </c>
      <c r="C17" s="418"/>
      <c r="D17" s="396">
        <f t="shared" ref="D17:I17" si="13">C250</f>
        <v>0</v>
      </c>
      <c r="E17" s="396">
        <f t="shared" si="13"/>
        <v>0</v>
      </c>
      <c r="F17" s="396">
        <f t="shared" si="13"/>
        <v>0</v>
      </c>
      <c r="G17" s="396">
        <f t="shared" si="13"/>
        <v>0</v>
      </c>
      <c r="H17" s="396">
        <f t="shared" si="13"/>
        <v>0</v>
      </c>
      <c r="I17" s="396">
        <f t="shared" si="13"/>
        <v>0</v>
      </c>
      <c r="L17" s="286">
        <f t="shared" ref="L17:Q17" si="14">L250</f>
        <v>0</v>
      </c>
      <c r="M17" s="286">
        <f t="shared" si="14"/>
        <v>0</v>
      </c>
      <c r="N17" s="286">
        <f t="shared" si="14"/>
        <v>0</v>
      </c>
      <c r="O17" s="286">
        <f t="shared" si="14"/>
        <v>0</v>
      </c>
      <c r="P17" s="286">
        <f t="shared" si="14"/>
        <v>0</v>
      </c>
      <c r="Q17" s="286">
        <f t="shared" si="14"/>
        <v>0</v>
      </c>
      <c r="R17" s="132"/>
      <c r="S17" s="132"/>
      <c r="T17" s="132"/>
      <c r="U17" s="132"/>
      <c r="V17" s="132"/>
      <c r="W17" s="132"/>
      <c r="X17" s="132"/>
      <c r="Y17" s="132"/>
      <c r="Z17" s="132"/>
      <c r="AJ17" s="281"/>
      <c r="AK17" s="281"/>
      <c r="AL17" s="281"/>
      <c r="AM17" s="281"/>
      <c r="AN17" s="281"/>
    </row>
    <row r="18" spans="1:40">
      <c r="A18" s="284"/>
      <c r="B18" s="413" t="str">
        <f>B253</f>
        <v>Genomic tests- RET testing</v>
      </c>
      <c r="C18" s="418"/>
      <c r="D18" s="396">
        <f>D259</f>
        <v>0</v>
      </c>
      <c r="E18" s="396">
        <f t="shared" ref="E18:I18" si="15">E259</f>
        <v>0</v>
      </c>
      <c r="F18" s="396">
        <f t="shared" si="15"/>
        <v>0</v>
      </c>
      <c r="G18" s="396">
        <f t="shared" si="15"/>
        <v>0</v>
      </c>
      <c r="H18" s="396">
        <f t="shared" si="15"/>
        <v>0</v>
      </c>
      <c r="I18" s="396">
        <f t="shared" si="15"/>
        <v>0</v>
      </c>
      <c r="L18" s="205"/>
      <c r="M18" s="205"/>
      <c r="N18" s="205"/>
      <c r="O18" s="205"/>
      <c r="P18" s="390"/>
      <c r="Q18" s="390"/>
      <c r="R18" s="132"/>
      <c r="S18" s="132"/>
      <c r="T18" s="132"/>
      <c r="U18" s="132"/>
      <c r="V18" s="132"/>
      <c r="W18" s="132"/>
      <c r="X18" s="132"/>
      <c r="Y18" s="132"/>
      <c r="Z18" s="132"/>
      <c r="AJ18" s="281"/>
      <c r="AK18" s="281"/>
      <c r="AL18" s="281"/>
      <c r="AM18" s="281"/>
      <c r="AN18" s="281"/>
    </row>
    <row r="19" spans="1:40">
      <c r="A19" s="284"/>
      <c r="B19" s="414" t="str">
        <f>B262</f>
        <v>Genomics staffing impact (hours)</v>
      </c>
      <c r="C19" s="401"/>
      <c r="D19" s="396">
        <f>D268</f>
        <v>0</v>
      </c>
      <c r="E19" s="396">
        <f t="shared" ref="E19:I19" si="16">E268</f>
        <v>0</v>
      </c>
      <c r="F19" s="396">
        <f t="shared" si="16"/>
        <v>0</v>
      </c>
      <c r="G19" s="396">
        <f t="shared" si="16"/>
        <v>0</v>
      </c>
      <c r="H19" s="396">
        <f t="shared" si="16"/>
        <v>0</v>
      </c>
      <c r="I19" s="396">
        <f t="shared" si="16"/>
        <v>0</v>
      </c>
      <c r="J19" s="132"/>
      <c r="K19" s="132"/>
      <c r="L19" s="286">
        <f>L268</f>
        <v>0</v>
      </c>
      <c r="M19" s="286">
        <f t="shared" ref="M19:Q19" si="17">M268</f>
        <v>0</v>
      </c>
      <c r="N19" s="286">
        <f t="shared" si="17"/>
        <v>0</v>
      </c>
      <c r="O19" s="286">
        <f t="shared" si="17"/>
        <v>0</v>
      </c>
      <c r="P19" s="286">
        <f t="shared" si="17"/>
        <v>0</v>
      </c>
      <c r="Q19" s="286">
        <f t="shared" si="17"/>
        <v>0</v>
      </c>
      <c r="R19" s="132"/>
      <c r="S19" s="132"/>
      <c r="T19" s="132"/>
      <c r="U19" s="132"/>
      <c r="V19" s="132"/>
      <c r="W19" s="132"/>
      <c r="X19" s="132"/>
      <c r="Y19" s="132"/>
      <c r="Z19" s="132"/>
    </row>
    <row r="20" spans="1:40">
      <c r="A20" s="285"/>
      <c r="B20" s="415" t="str">
        <f>B272</f>
        <v>Adverse events, various (cases)</v>
      </c>
      <c r="C20" s="399"/>
      <c r="D20" s="397">
        <f>D295</f>
        <v>10.225949860208829</v>
      </c>
      <c r="E20" s="397">
        <f t="shared" ref="E20:I20" si="18">E295</f>
        <v>5.7961882790315791</v>
      </c>
      <c r="F20" s="397">
        <f t="shared" si="18"/>
        <v>1.7405489059462509</v>
      </c>
      <c r="G20" s="397">
        <f t="shared" si="18"/>
        <v>1.7639534171785378</v>
      </c>
      <c r="H20" s="397">
        <f t="shared" si="18"/>
        <v>1.7809611164023129</v>
      </c>
      <c r="I20" s="397">
        <f t="shared" si="18"/>
        <v>1.7981328005874073</v>
      </c>
      <c r="J20" s="132"/>
      <c r="K20" s="132"/>
      <c r="L20" s="286">
        <f>L295</f>
        <v>18.910380252322888</v>
      </c>
      <c r="M20" s="286">
        <f>M295</f>
        <v>10.877767251068635</v>
      </c>
      <c r="N20" s="286">
        <f t="shared" ref="N20:Q20" si="19">N295</f>
        <v>3.5244323360353893</v>
      </c>
      <c r="O20" s="286">
        <f t="shared" si="19"/>
        <v>3.5679985941979107</v>
      </c>
      <c r="P20" s="286">
        <f t="shared" si="19"/>
        <v>3.6024005496747358</v>
      </c>
      <c r="Q20" s="286">
        <f t="shared" si="19"/>
        <v>3.6371342021826507</v>
      </c>
      <c r="R20" s="132"/>
      <c r="S20" s="132"/>
      <c r="T20" s="132"/>
      <c r="U20" s="132"/>
      <c r="V20" s="132"/>
      <c r="W20" s="132"/>
      <c r="X20" s="132"/>
      <c r="Y20" s="132"/>
      <c r="Z20" s="132"/>
    </row>
    <row r="21" spans="1:40">
      <c r="B21" s="243"/>
      <c r="D21" s="281"/>
      <c r="F21" s="132"/>
      <c r="G21" s="132"/>
      <c r="H21" s="132"/>
      <c r="I21" s="132"/>
      <c r="J21" s="132"/>
      <c r="K21" s="132"/>
      <c r="L21" s="287">
        <f t="shared" ref="L21:Q21" si="20">SUM(L10:L20)</f>
        <v>20.604320040121976</v>
      </c>
      <c r="M21" s="287">
        <f t="shared" si="20"/>
        <v>12.586860181930213</v>
      </c>
      <c r="N21" s="287">
        <f t="shared" si="20"/>
        <v>5.2511948825960637</v>
      </c>
      <c r="O21" s="287">
        <f t="shared" si="20"/>
        <v>5.3132137820704157</v>
      </c>
      <c r="P21" s="287">
        <f t="shared" si="20"/>
        <v>5.3644427663718321</v>
      </c>
      <c r="Q21" s="287">
        <f t="shared" si="20"/>
        <v>5.4161656906764541</v>
      </c>
      <c r="R21" s="132"/>
      <c r="S21" s="132"/>
      <c r="T21" s="132"/>
      <c r="U21" s="132"/>
      <c r="V21" s="132"/>
      <c r="W21" s="132"/>
      <c r="X21" s="132"/>
      <c r="Y21" s="132"/>
      <c r="Z21" s="132"/>
    </row>
    <row r="22" spans="1:40">
      <c r="B22" s="300"/>
      <c r="C22" s="300"/>
      <c r="D22" s="300"/>
      <c r="E22" s="300"/>
      <c r="F22" s="300"/>
      <c r="G22" s="300"/>
      <c r="H22" s="300"/>
      <c r="I22" s="300"/>
      <c r="J22" s="300"/>
      <c r="K22" s="300"/>
      <c r="L22" s="300"/>
      <c r="P22" s="132"/>
      <c r="Q22" s="132"/>
      <c r="R22" s="132"/>
      <c r="S22" s="132"/>
      <c r="V22" s="132"/>
      <c r="W22" s="132"/>
      <c r="X22" s="132"/>
      <c r="Y22" s="132"/>
      <c r="Z22" s="132"/>
      <c r="AJ22" s="281"/>
      <c r="AK22" s="281"/>
      <c r="AL22" s="281"/>
      <c r="AM22" s="281"/>
      <c r="AN22" s="281"/>
    </row>
    <row r="23" spans="1:40">
      <c r="B23" s="352" t="s">
        <v>832</v>
      </c>
      <c r="C23" s="353"/>
      <c r="D23" s="353"/>
      <c r="E23" s="354"/>
      <c r="F23" s="353"/>
      <c r="G23" s="355"/>
      <c r="H23" s="356"/>
      <c r="I23" s="356"/>
      <c r="J23" s="356"/>
      <c r="K23" s="356"/>
      <c r="L23" s="356"/>
      <c r="M23" s="356"/>
      <c r="N23" s="356"/>
      <c r="O23" s="356"/>
      <c r="P23" s="356"/>
      <c r="Q23" s="357"/>
      <c r="R23" s="132"/>
      <c r="S23" s="132"/>
      <c r="T23" s="132"/>
      <c r="U23" s="132"/>
      <c r="V23" s="132"/>
      <c r="W23" s="132"/>
      <c r="X23" s="132"/>
      <c r="Y23" s="132"/>
      <c r="Z23" s="132"/>
      <c r="AJ23" s="281"/>
      <c r="AK23" s="281"/>
      <c r="AL23" s="281"/>
      <c r="AM23" s="281"/>
      <c r="AN23" s="281"/>
    </row>
    <row r="24" spans="1:40">
      <c r="A24" s="282"/>
      <c r="B24" s="523" t="s">
        <v>1072</v>
      </c>
      <c r="C24" s="518"/>
      <c r="D24" s="519"/>
      <c r="E24" s="520"/>
      <c r="F24" s="282"/>
      <c r="G24" s="282"/>
      <c r="H24" s="214"/>
      <c r="I24" s="214"/>
      <c r="J24" s="214"/>
      <c r="K24" s="214"/>
      <c r="L24" s="214"/>
      <c r="M24" s="214"/>
      <c r="N24" s="214"/>
      <c r="O24" s="214"/>
      <c r="P24" s="214"/>
      <c r="Q24" s="214"/>
      <c r="R24" s="132"/>
      <c r="S24" s="132"/>
      <c r="T24" s="132"/>
      <c r="U24" s="132"/>
      <c r="V24" s="132"/>
      <c r="W24" s="132"/>
      <c r="X24" s="132"/>
      <c r="Y24" s="132"/>
      <c r="Z24" s="132"/>
      <c r="AJ24" s="281"/>
      <c r="AK24" s="281"/>
      <c r="AL24" s="281"/>
      <c r="AM24" s="281"/>
      <c r="AN24" s="281"/>
    </row>
    <row r="25" spans="1:40">
      <c r="A25" s="516"/>
      <c r="B25" s="521" t="s">
        <v>1073</v>
      </c>
      <c r="C25" s="369"/>
      <c r="D25" s="369"/>
      <c r="E25" s="369"/>
      <c r="F25" s="369"/>
      <c r="G25" s="369"/>
      <c r="H25" s="369"/>
      <c r="I25" s="213"/>
      <c r="J25" s="214"/>
      <c r="K25" s="214"/>
      <c r="L25" s="214"/>
      <c r="M25" s="214"/>
      <c r="N25" s="214"/>
      <c r="O25" s="214"/>
      <c r="P25" s="214"/>
      <c r="Q25" s="214"/>
      <c r="R25" s="132"/>
      <c r="S25" s="132"/>
      <c r="T25" s="132"/>
      <c r="U25" s="132"/>
      <c r="V25" s="132"/>
      <c r="W25" s="132"/>
      <c r="X25" s="132"/>
      <c r="Y25" s="132"/>
      <c r="Z25" s="132"/>
      <c r="AJ25" s="281"/>
      <c r="AK25" s="281"/>
      <c r="AL25" s="281"/>
      <c r="AM25" s="281"/>
      <c r="AN25" s="281"/>
    </row>
    <row r="26" spans="1:40" ht="45">
      <c r="A26" s="516"/>
      <c r="B26" s="299" t="s">
        <v>757</v>
      </c>
      <c r="C26" s="165" t="s">
        <v>1135</v>
      </c>
      <c r="D26" s="392" t="s">
        <v>825</v>
      </c>
      <c r="E26" s="251" t="s">
        <v>674</v>
      </c>
      <c r="F26" s="251" t="s">
        <v>675</v>
      </c>
      <c r="G26" s="164" t="s">
        <v>792</v>
      </c>
      <c r="H26" s="164" t="s">
        <v>793</v>
      </c>
      <c r="I26" s="251" t="s">
        <v>794</v>
      </c>
      <c r="J26" s="522"/>
      <c r="K26" s="515" t="s">
        <v>1071</v>
      </c>
      <c r="L26" s="392" t="s">
        <v>825</v>
      </c>
      <c r="M26" s="504" t="s">
        <v>674</v>
      </c>
      <c r="N26" s="504" t="s">
        <v>675</v>
      </c>
      <c r="O26" s="393" t="s">
        <v>792</v>
      </c>
      <c r="P26" s="393" t="s">
        <v>793</v>
      </c>
      <c r="Q26" s="504" t="s">
        <v>794</v>
      </c>
      <c r="R26" s="132"/>
      <c r="S26" s="132"/>
      <c r="T26" s="132"/>
      <c r="U26" s="132"/>
      <c r="V26" s="132"/>
      <c r="W26" s="132"/>
      <c r="X26" s="132"/>
      <c r="Y26" s="132"/>
      <c r="Z26" s="132"/>
      <c r="AJ26" s="281"/>
      <c r="AK26" s="281"/>
      <c r="AL26" s="281"/>
      <c r="AM26" s="281"/>
      <c r="AN26" s="281"/>
    </row>
    <row r="27" spans="1:40">
      <c r="A27" s="516"/>
      <c r="B27" s="326" t="s">
        <v>938</v>
      </c>
      <c r="C27" s="148">
        <f>'Inputs and eligible population'!F97</f>
        <v>1</v>
      </c>
      <c r="D27" s="127">
        <f>('Financial impact (cash)'!$D$13+'Financial impact (cash)'!$D$14)*'Capacity (local prices)'!$C$27</f>
        <v>0</v>
      </c>
      <c r="E27" s="127">
        <f>('Financial impact (cash)'!$E$13+'Financial impact (cash)'!$E$14)*'Capacity (local prices)'!$C$27</f>
        <v>14.125143946882528</v>
      </c>
      <c r="F27" s="127">
        <f>('Financial impact (cash)'!F$13+'Financial impact (cash)'!F$14)*'Capacity (local prices)'!$C$27</f>
        <v>27.096538143915435</v>
      </c>
      <c r="G27" s="127">
        <f>('Financial impact (cash)'!G$13+'Financial impact (cash)'!G$14)*'Capacity (local prices)'!$C$27</f>
        <v>27.35779774763807</v>
      </c>
      <c r="H27" s="127">
        <f>('Financial impact (cash)'!H$13+'Financial impact (cash)'!H$14)*'Capacity (local prices)'!$C$27</f>
        <v>27.621576366157903</v>
      </c>
      <c r="I27" s="127">
        <f>('Financial impact (cash)'!I$13+'Financial impact (cash)'!I$14)*'Capacity (local prices)'!$C$27</f>
        <v>27.887898287330604</v>
      </c>
      <c r="J27" s="522"/>
      <c r="K27" s="528">
        <f>'Inputs and eligible population'!$K$98*'Inputs and eligible population'!$F$98/60</f>
        <v>60.54</v>
      </c>
      <c r="L27" s="530">
        <f>$K27/1000*D27</f>
        <v>0</v>
      </c>
      <c r="M27" s="530">
        <f>$K27/1000*E27</f>
        <v>0.85513621454426814</v>
      </c>
      <c r="N27" s="530">
        <f t="shared" ref="M27:Q30" si="21">$K27/1000*F27</f>
        <v>1.6404244192326403</v>
      </c>
      <c r="O27" s="530">
        <f t="shared" si="21"/>
        <v>1.6562410756420087</v>
      </c>
      <c r="P27" s="530">
        <f t="shared" si="21"/>
        <v>1.6722102332071993</v>
      </c>
      <c r="Q27" s="530">
        <f t="shared" si="21"/>
        <v>1.6883333623149948</v>
      </c>
      <c r="R27" s="132"/>
      <c r="S27" s="132"/>
      <c r="T27" s="132"/>
      <c r="U27" s="132"/>
      <c r="V27" s="132"/>
      <c r="W27" s="132"/>
      <c r="X27" s="132"/>
      <c r="Y27" s="132"/>
      <c r="Z27" s="132"/>
      <c r="AJ27" s="281"/>
      <c r="AK27" s="281"/>
      <c r="AL27" s="281"/>
      <c r="AM27" s="281"/>
      <c r="AN27" s="281"/>
    </row>
    <row r="28" spans="1:40">
      <c r="A28" s="516"/>
      <c r="B28" s="326" t="s">
        <v>958</v>
      </c>
      <c r="C28" s="673">
        <f>'Inputs and eligible population'!G97</f>
        <v>1</v>
      </c>
      <c r="D28" s="127">
        <f>'Financial impact (cash)'!D$15*'Capacity (local prices)'!$C$28</f>
        <v>20.26174518060494</v>
      </c>
      <c r="E28" s="127">
        <f>'Financial impact (cash)'!E$15*'Capacity (local prices)'!$C$28</f>
        <v>10.228552513259761</v>
      </c>
      <c r="F28" s="127">
        <f>'Financial impact (cash)'!F$15*'Capacity (local prices)'!$C$28</f>
        <v>1.0327174247227298</v>
      </c>
      <c r="G28" s="127">
        <f>'Financial impact (cash)'!G$15*'Capacity (local prices)'!$C$28</f>
        <v>1.0426746872965509</v>
      </c>
      <c r="H28" s="127">
        <f>'Financial impact (cash)'!H$15*'Capacity (local prices)'!$C$28</f>
        <v>1.0527279558789764</v>
      </c>
      <c r="I28" s="127">
        <f>'Financial impact (cash)'!I$15*'Capacity (local prices)'!$C$28</f>
        <v>1.0628781561414569</v>
      </c>
      <c r="J28" s="522"/>
      <c r="K28" s="528">
        <f>'Inputs and eligible population'!$K$98*'Inputs and eligible population'!$G$98/60</f>
        <v>60.54</v>
      </c>
      <c r="L28" s="530">
        <f>$K28/1000*D28</f>
        <v>1.226646053233823</v>
      </c>
      <c r="M28" s="530">
        <f t="shared" si="21"/>
        <v>0.61923656915274583</v>
      </c>
      <c r="N28" s="530">
        <f t="shared" si="21"/>
        <v>6.2520712892714062E-2</v>
      </c>
      <c r="O28" s="530">
        <f t="shared" si="21"/>
        <v>6.3123525568933192E-2</v>
      </c>
      <c r="P28" s="530">
        <f t="shared" si="21"/>
        <v>6.3732150448913227E-2</v>
      </c>
      <c r="Q28" s="530">
        <f t="shared" si="21"/>
        <v>6.4346643572803799E-2</v>
      </c>
      <c r="R28" s="132"/>
      <c r="S28" s="132"/>
      <c r="T28" s="132"/>
      <c r="U28" s="132"/>
      <c r="V28" s="132"/>
      <c r="W28" s="132"/>
      <c r="X28" s="132"/>
      <c r="Y28" s="132"/>
      <c r="Z28" s="132"/>
      <c r="AJ28" s="281"/>
      <c r="AK28" s="281"/>
      <c r="AL28" s="281"/>
      <c r="AM28" s="281"/>
      <c r="AN28" s="281"/>
    </row>
    <row r="29" spans="1:40">
      <c r="A29" s="516"/>
      <c r="B29" s="326" t="s">
        <v>934</v>
      </c>
      <c r="C29" s="148">
        <f>'Inputs and eligible population'!H97</f>
        <v>1</v>
      </c>
      <c r="D29" s="127">
        <f>'Financial impact (cash)'!D$16*$C$29</f>
        <v>7.1398530636417421</v>
      </c>
      <c r="E29" s="127">
        <f>'Financial impact (cash)'!E$16*$C$29</f>
        <v>3.5848641189329453</v>
      </c>
      <c r="F29" s="127">
        <f>'Financial impact (cash)'!F$16*$C$29</f>
        <v>0.36390994966420004</v>
      </c>
      <c r="G29" s="127">
        <f>'Financial impact (cash)'!G$16*$C$29</f>
        <v>0.36741869933307031</v>
      </c>
      <c r="H29" s="127">
        <f>'Financial impact (cash)'!H$16*$C$29</f>
        <v>0.37096127969068698</v>
      </c>
      <c r="I29" s="127">
        <f>'Financial impact (cash)'!I$16*$C$29</f>
        <v>0.37453801692603722</v>
      </c>
      <c r="J29" s="522"/>
      <c r="K29" s="528">
        <f>'Inputs and eligible population'!K98*'Inputs and eligible population'!H98/60</f>
        <v>60.54</v>
      </c>
      <c r="L29" s="530">
        <f t="shared" ref="L29:L30" si="22">$K29/1000*D29</f>
        <v>0.43224670447287106</v>
      </c>
      <c r="M29" s="530">
        <f t="shared" si="21"/>
        <v>0.21702767376020049</v>
      </c>
      <c r="N29" s="530">
        <f t="shared" si="21"/>
        <v>2.2031108352670668E-2</v>
      </c>
      <c r="O29" s="530">
        <f t="shared" si="21"/>
        <v>2.2243528057624074E-2</v>
      </c>
      <c r="P29" s="530">
        <f t="shared" si="21"/>
        <v>2.2457995872474188E-2</v>
      </c>
      <c r="Q29" s="530">
        <f t="shared" si="21"/>
        <v>2.2674531544702291E-2</v>
      </c>
      <c r="R29" s="132"/>
      <c r="S29" s="132"/>
      <c r="T29" s="132"/>
      <c r="U29" s="132"/>
      <c r="V29" s="132"/>
      <c r="W29" s="132"/>
      <c r="X29" s="132"/>
      <c r="Y29" s="132"/>
      <c r="Z29" s="132"/>
      <c r="AJ29" s="281"/>
      <c r="AK29" s="281"/>
      <c r="AL29" s="281"/>
      <c r="AM29" s="281"/>
      <c r="AN29" s="281"/>
    </row>
    <row r="30" spans="1:40">
      <c r="A30" s="516"/>
      <c r="B30" s="326" t="s">
        <v>935</v>
      </c>
      <c r="C30" s="148">
        <f>'Inputs and eligible population'!I97</f>
        <v>1</v>
      </c>
      <c r="D30" s="127">
        <f>'Financial impact (cash)'!D$17*$C$30</f>
        <v>0.57890700516014115</v>
      </c>
      <c r="E30" s="127">
        <f>'Financial impact (cash)'!E$17*$C$30</f>
        <v>0.29224435752170747</v>
      </c>
      <c r="F30" s="127">
        <f>'Financial impact (cash)'!F$17*$C$30</f>
        <v>2.9506212134935136E-2</v>
      </c>
      <c r="G30" s="127">
        <f>'Financial impact (cash)'!G$17*$C$30</f>
        <v>5.958141070266005E-2</v>
      </c>
      <c r="H30" s="127">
        <f>'Financial impact (cash)'!H$17*$C$30</f>
        <v>6.0155883193084375E-2</v>
      </c>
      <c r="I30" s="127">
        <f>'Financial impact (cash)'!I$17*$C$30</f>
        <v>6.0735894636654679E-2</v>
      </c>
      <c r="J30" s="522"/>
      <c r="K30" s="528">
        <f>'Inputs and eligible population'!K98*'Inputs and eligible population'!I98/60</f>
        <v>60.54</v>
      </c>
      <c r="L30" s="530">
        <f t="shared" si="22"/>
        <v>3.5047030092394946E-2</v>
      </c>
      <c r="M30" s="530">
        <f>$K30/1000*E30</f>
        <v>1.7692473404364167E-2</v>
      </c>
      <c r="N30" s="530">
        <f t="shared" si="21"/>
        <v>1.786306082648973E-3</v>
      </c>
      <c r="O30" s="530">
        <f t="shared" si="21"/>
        <v>3.6070586039390392E-3</v>
      </c>
      <c r="P30" s="530">
        <f t="shared" si="21"/>
        <v>3.6418371685093278E-3</v>
      </c>
      <c r="Q30" s="530">
        <f t="shared" si="21"/>
        <v>3.6769510613030741E-3</v>
      </c>
      <c r="R30" s="132"/>
      <c r="S30" s="132"/>
      <c r="T30" s="132"/>
      <c r="U30" s="132"/>
      <c r="V30" s="132"/>
      <c r="W30" s="132"/>
      <c r="X30" s="132"/>
      <c r="Y30" s="132"/>
      <c r="Z30" s="132"/>
      <c r="AJ30" s="281"/>
      <c r="AK30" s="281"/>
      <c r="AL30" s="281"/>
      <c r="AM30" s="281"/>
      <c r="AN30" s="281"/>
    </row>
    <row r="31" spans="1:40">
      <c r="A31" s="516"/>
      <c r="B31" s="486"/>
      <c r="C31" s="278"/>
      <c r="D31" s="184">
        <f>SUM(D27:D30)</f>
        <v>27.980505249406821</v>
      </c>
      <c r="E31" s="184">
        <f t="shared" ref="E31:I31" si="23">SUM(E27:E30)</f>
        <v>28.23080493659694</v>
      </c>
      <c r="F31" s="184">
        <f t="shared" si="23"/>
        <v>28.522671730437303</v>
      </c>
      <c r="G31" s="184">
        <f t="shared" si="23"/>
        <v>28.827472544970348</v>
      </c>
      <c r="H31" s="184">
        <f t="shared" si="23"/>
        <v>29.105421484920647</v>
      </c>
      <c r="I31" s="184">
        <f t="shared" si="23"/>
        <v>29.386050355034754</v>
      </c>
      <c r="J31" s="522"/>
      <c r="K31" s="214"/>
      <c r="L31" s="287">
        <f>SUM(L27:L30)</f>
        <v>1.6939397877990889</v>
      </c>
      <c r="M31" s="287">
        <f t="shared" ref="M31:Q31" si="24">SUM(M27:M30)</f>
        <v>1.7090929308615788</v>
      </c>
      <c r="N31" s="287">
        <f t="shared" si="24"/>
        <v>1.7267625465606742</v>
      </c>
      <c r="O31" s="287">
        <f t="shared" si="24"/>
        <v>1.7452151878725051</v>
      </c>
      <c r="P31" s="287">
        <f t="shared" si="24"/>
        <v>1.7620422166970962</v>
      </c>
      <c r="Q31" s="287">
        <f t="shared" si="24"/>
        <v>1.7790314884938039</v>
      </c>
      <c r="R31" s="132"/>
      <c r="S31" s="132"/>
      <c r="T31" s="132"/>
      <c r="U31" s="132"/>
      <c r="V31" s="132"/>
      <c r="W31" s="132"/>
      <c r="X31" s="132"/>
      <c r="Y31" s="132"/>
      <c r="Z31" s="132"/>
      <c r="AJ31" s="281"/>
      <c r="AK31" s="281"/>
      <c r="AL31" s="281"/>
      <c r="AM31" s="281"/>
      <c r="AN31" s="281"/>
    </row>
    <row r="32" spans="1:40">
      <c r="A32" s="516"/>
      <c r="B32" s="252"/>
      <c r="C32" s="252"/>
      <c r="D32" s="280" t="s">
        <v>835</v>
      </c>
      <c r="E32" s="184">
        <f>E31-$D$31</f>
        <v>0.25029968719011819</v>
      </c>
      <c r="F32" s="184">
        <f>F31-$D$31</f>
        <v>0.54216648103048115</v>
      </c>
      <c r="G32" s="184">
        <f>G31-$D$31</f>
        <v>0.84696729556352679</v>
      </c>
      <c r="H32" s="184">
        <f>H31-$D$31</f>
        <v>1.124916235513826</v>
      </c>
      <c r="I32" s="184">
        <f>I31-$D$31</f>
        <v>1.4055451056279331</v>
      </c>
      <c r="J32" s="522"/>
      <c r="K32" s="214"/>
      <c r="L32" s="214"/>
      <c r="M32" s="287">
        <f>M31-$L31</f>
        <v>1.5153143062489827E-2</v>
      </c>
      <c r="N32" s="287">
        <f t="shared" ref="N32:Q32" si="25">N31-$L31</f>
        <v>3.2822758761585247E-2</v>
      </c>
      <c r="O32" s="287">
        <f t="shared" si="25"/>
        <v>5.1275400073416133E-2</v>
      </c>
      <c r="P32" s="287">
        <f t="shared" si="25"/>
        <v>6.8102428898007217E-2</v>
      </c>
      <c r="Q32" s="287">
        <f t="shared" si="25"/>
        <v>8.5091700694714945E-2</v>
      </c>
      <c r="R32" s="132"/>
      <c r="S32" s="132"/>
      <c r="T32" s="132"/>
      <c r="U32" s="132"/>
      <c r="V32" s="132"/>
      <c r="W32" s="132"/>
      <c r="X32" s="132"/>
      <c r="Y32" s="132"/>
      <c r="Z32" s="132"/>
      <c r="AJ32" s="281"/>
      <c r="AK32" s="281"/>
      <c r="AL32" s="281"/>
      <c r="AM32" s="281"/>
      <c r="AN32" s="281"/>
    </row>
    <row r="33" spans="1:40">
      <c r="A33" s="282"/>
      <c r="B33" s="517"/>
      <c r="C33" s="518"/>
      <c r="D33" s="519"/>
      <c r="E33" s="520"/>
      <c r="F33" s="282"/>
      <c r="G33" s="282"/>
      <c r="H33" s="282"/>
      <c r="I33" s="290"/>
      <c r="J33" s="214"/>
      <c r="K33" s="214"/>
      <c r="L33" s="214"/>
      <c r="M33" s="214"/>
      <c r="N33" s="214"/>
      <c r="O33" s="214"/>
      <c r="P33" s="214"/>
      <c r="Q33" s="214"/>
      <c r="R33" s="132"/>
      <c r="S33" s="132"/>
      <c r="T33" s="132"/>
      <c r="U33" s="132"/>
      <c r="V33" s="132"/>
      <c r="W33" s="132"/>
      <c r="X33" s="132"/>
      <c r="Y33" s="132"/>
      <c r="Z33" s="132"/>
      <c r="AJ33" s="281"/>
      <c r="AK33" s="281"/>
      <c r="AL33" s="281"/>
      <c r="AM33" s="281"/>
      <c r="AN33" s="281"/>
    </row>
    <row r="34" spans="1:40">
      <c r="A34" s="282"/>
      <c r="B34" s="368" t="s">
        <v>1074</v>
      </c>
      <c r="C34" s="369"/>
      <c r="D34" s="369"/>
      <c r="E34" s="369"/>
      <c r="F34" s="369"/>
      <c r="G34" s="369"/>
      <c r="H34" s="369"/>
      <c r="I34" s="213"/>
      <c r="J34" s="214"/>
      <c r="K34" s="214"/>
      <c r="L34" s="214"/>
      <c r="M34" s="214"/>
      <c r="N34" s="214"/>
      <c r="O34" s="214"/>
      <c r="P34" s="214"/>
      <c r="Q34" s="214"/>
      <c r="R34" s="132"/>
      <c r="S34" s="132"/>
      <c r="T34" s="132"/>
      <c r="U34" s="132"/>
      <c r="V34" s="132"/>
      <c r="W34" s="132"/>
      <c r="X34" s="132"/>
      <c r="Y34" s="132"/>
      <c r="Z34" s="132"/>
      <c r="AJ34" s="281"/>
      <c r="AK34" s="281"/>
      <c r="AL34" s="281"/>
      <c r="AM34" s="281"/>
      <c r="AN34" s="281"/>
    </row>
    <row r="35" spans="1:40" ht="45">
      <c r="A35" s="282"/>
      <c r="B35" s="277" t="s">
        <v>757</v>
      </c>
      <c r="C35" s="385" t="s">
        <v>1142</v>
      </c>
      <c r="D35" s="392" t="s">
        <v>825</v>
      </c>
      <c r="E35" s="251" t="s">
        <v>674</v>
      </c>
      <c r="F35" s="251" t="s">
        <v>675</v>
      </c>
      <c r="G35" s="164" t="s">
        <v>792</v>
      </c>
      <c r="H35" s="164" t="s">
        <v>793</v>
      </c>
      <c r="I35" s="251" t="s">
        <v>794</v>
      </c>
      <c r="J35" s="214"/>
      <c r="K35" s="515" t="s">
        <v>845</v>
      </c>
      <c r="L35" s="392" t="s">
        <v>825</v>
      </c>
      <c r="M35" s="504" t="s">
        <v>674</v>
      </c>
      <c r="N35" s="504" t="s">
        <v>675</v>
      </c>
      <c r="O35" s="393" t="s">
        <v>792</v>
      </c>
      <c r="P35" s="393" t="s">
        <v>793</v>
      </c>
      <c r="Q35" s="504" t="s">
        <v>794</v>
      </c>
      <c r="R35" s="132"/>
      <c r="S35" s="132"/>
      <c r="T35" s="132"/>
      <c r="U35" s="132"/>
      <c r="V35" s="132"/>
      <c r="W35" s="132"/>
      <c r="X35" s="132"/>
      <c r="Y35" s="132"/>
      <c r="Z35" s="132"/>
      <c r="AJ35" s="281"/>
      <c r="AK35" s="281"/>
      <c r="AL35" s="281"/>
      <c r="AM35" s="281"/>
      <c r="AN35" s="281"/>
    </row>
    <row r="36" spans="1:40">
      <c r="A36" s="282"/>
      <c r="B36" s="326" t="s">
        <v>1143</v>
      </c>
      <c r="C36" s="758">
        <f>'Inputs and eligible population'!$F$99</f>
        <v>1</v>
      </c>
      <c r="D36" s="127">
        <f>'Financial impact (cash)'!D13*'Capacity (local prices)'!$C36*'Inputs and eligible population'!$E$59</f>
        <v>0</v>
      </c>
      <c r="E36" s="127">
        <f>'Financial impact (cash)'!E13*'Capacity (local prices)'!$C36*'Inputs and eligible population'!$E$59</f>
        <v>0</v>
      </c>
      <c r="F36" s="127">
        <f>'Financial impact (cash)'!F13*'Capacity (local prices)'!$C36*'Inputs and eligible population'!$E$59</f>
        <v>0</v>
      </c>
      <c r="G36" s="127">
        <f>'Financial impact (cash)'!G13*'Capacity (local prices)'!$C36*'Inputs and eligible population'!$E$59</f>
        <v>0</v>
      </c>
      <c r="H36" s="127">
        <f>'Financial impact (cash)'!H13*'Capacity (local prices)'!$C36*'Inputs and eligible population'!$E$59</f>
        <v>0</v>
      </c>
      <c r="I36" s="127">
        <f>'Financial impact (cash)'!I13*'Capacity (local prices)'!$C36*'Inputs and eligible population'!$E$59</f>
        <v>0</v>
      </c>
      <c r="J36" s="214"/>
      <c r="K36" s="528">
        <f>'Inputs and eligible population'!$K$100*'Inputs and eligible population'!F$100/60</f>
        <v>60.54</v>
      </c>
      <c r="L36" s="530">
        <f>$K36/1000*D36</f>
        <v>0</v>
      </c>
      <c r="M36" s="530">
        <f t="shared" ref="M36:M40" si="26">$K36/1000*E36</f>
        <v>0</v>
      </c>
      <c r="N36" s="530">
        <f t="shared" ref="N36:N40" si="27">$K36/1000*F36</f>
        <v>0</v>
      </c>
      <c r="O36" s="530">
        <f t="shared" ref="O36:O40" si="28">$K36/1000*G36</f>
        <v>0</v>
      </c>
      <c r="P36" s="530">
        <f t="shared" ref="P36:P40" si="29">$K36/1000*H36</f>
        <v>0</v>
      </c>
      <c r="Q36" s="530">
        <f t="shared" ref="Q36:Q40" si="30">$K36/1000*I36</f>
        <v>0</v>
      </c>
      <c r="R36" s="132"/>
      <c r="S36" s="132"/>
      <c r="T36" s="132"/>
      <c r="U36" s="132"/>
      <c r="V36" s="132"/>
      <c r="W36" s="132"/>
      <c r="X36" s="132"/>
      <c r="Y36" s="132"/>
      <c r="Z36" s="132"/>
      <c r="AJ36" s="281"/>
      <c r="AK36" s="281"/>
      <c r="AL36" s="281"/>
      <c r="AM36" s="281"/>
      <c r="AN36" s="281"/>
    </row>
    <row r="37" spans="1:40">
      <c r="A37" s="282"/>
      <c r="B37" s="326" t="s">
        <v>1144</v>
      </c>
      <c r="C37" s="758">
        <f>'Inputs and eligible population'!$F$99</f>
        <v>1</v>
      </c>
      <c r="D37" s="127">
        <f>'Financial impact (cash)'!$D$13*'Inputs and eligible population'!$F$59*'Capacity (local prices)'!$C$37</f>
        <v>0</v>
      </c>
      <c r="E37" s="127">
        <f>'Financial impact (cash)'!$D$13*'Inputs and eligible population'!$F$59*'Capacity (local prices)'!$C$37</f>
        <v>0</v>
      </c>
      <c r="F37" s="127">
        <f>'Financial impact (cash)'!$E$13*'Inputs and eligible population'!$F$59*'Capacity (local prices)'!$C$37</f>
        <v>0</v>
      </c>
      <c r="G37" s="127">
        <f>'Financial impact (cash)'!$F$13*'Inputs and eligible population'!$F$59*'Capacity (local prices)'!$C$37</f>
        <v>0</v>
      </c>
      <c r="H37" s="127">
        <f>'Financial impact (cash)'!$G$13*'Inputs and eligible population'!$F$59*'Capacity (local prices)'!$C$37</f>
        <v>0</v>
      </c>
      <c r="I37" s="127">
        <f>'Financial impact (cash)'!$H$13*'Inputs and eligible population'!$F$59*'Capacity (local prices)'!$C$37</f>
        <v>0</v>
      </c>
      <c r="J37" s="214"/>
      <c r="K37" s="528">
        <f>'Inputs and eligible population'!$K$100*'Inputs and eligible population'!F$100/60</f>
        <v>60.54</v>
      </c>
      <c r="L37" s="530">
        <f t="shared" ref="L37:L40" si="31">$K37/1000*D37</f>
        <v>0</v>
      </c>
      <c r="M37" s="530">
        <f t="shared" si="26"/>
        <v>0</v>
      </c>
      <c r="N37" s="530">
        <f t="shared" si="27"/>
        <v>0</v>
      </c>
      <c r="O37" s="530">
        <f t="shared" si="28"/>
        <v>0</v>
      </c>
      <c r="P37" s="530">
        <f t="shared" si="29"/>
        <v>0</v>
      </c>
      <c r="Q37" s="530">
        <f t="shared" si="30"/>
        <v>0</v>
      </c>
      <c r="R37" s="132"/>
      <c r="S37" s="132"/>
      <c r="T37" s="132"/>
      <c r="U37" s="132"/>
      <c r="V37" s="132"/>
      <c r="W37" s="132"/>
      <c r="X37" s="132"/>
      <c r="Y37" s="132"/>
      <c r="Z37" s="132"/>
      <c r="AJ37" s="281"/>
      <c r="AK37" s="281"/>
      <c r="AL37" s="281"/>
      <c r="AM37" s="281"/>
      <c r="AN37" s="281"/>
    </row>
    <row r="38" spans="1:40">
      <c r="A38" s="282"/>
      <c r="B38" s="326" t="s">
        <v>1145</v>
      </c>
      <c r="C38" s="758">
        <f>'Inputs and eligible population'!$F$99</f>
        <v>1</v>
      </c>
      <c r="D38" s="127">
        <f>'Financial impact (cash)'!$D$13*'Inputs and eligible population'!$G$59*'Capacity (local prices)'!$C$38</f>
        <v>0</v>
      </c>
      <c r="E38" s="127">
        <f>'Financial impact (cash)'!$D$13*'Inputs and eligible population'!$G$59*'Capacity (local prices)'!$C$38</f>
        <v>0</v>
      </c>
      <c r="F38" s="127">
        <f>'Financial impact (cash)'!$D$13*'Inputs and eligible population'!$G$59*'Capacity (local prices)'!$C$38</f>
        <v>0</v>
      </c>
      <c r="G38" s="127">
        <f>'Financial impact (cash)'!$E$13*'Inputs and eligible population'!$G$59*'Capacity (local prices)'!$C$38</f>
        <v>0</v>
      </c>
      <c r="H38" s="127">
        <f>'Financial impact (cash)'!$F$13*'Inputs and eligible population'!$G$59*'Capacity (local prices)'!$C$38</f>
        <v>0</v>
      </c>
      <c r="I38" s="127">
        <f>'Financial impact (cash)'!$G$13*'Inputs and eligible population'!$G$59*'Capacity (local prices)'!$C$38</f>
        <v>0</v>
      </c>
      <c r="J38" s="214"/>
      <c r="K38" s="528">
        <f>'Inputs and eligible population'!$K$100*'Inputs and eligible population'!F$100/60</f>
        <v>60.54</v>
      </c>
      <c r="L38" s="530">
        <f t="shared" si="31"/>
        <v>0</v>
      </c>
      <c r="M38" s="530">
        <f t="shared" si="26"/>
        <v>0</v>
      </c>
      <c r="N38" s="530">
        <f t="shared" si="27"/>
        <v>0</v>
      </c>
      <c r="O38" s="530">
        <f t="shared" si="28"/>
        <v>0</v>
      </c>
      <c r="P38" s="530">
        <f t="shared" si="29"/>
        <v>0</v>
      </c>
      <c r="Q38" s="530">
        <f t="shared" si="30"/>
        <v>0</v>
      </c>
      <c r="R38" s="132"/>
      <c r="S38" s="132"/>
      <c r="T38" s="132"/>
      <c r="U38" s="132"/>
      <c r="V38" s="132"/>
      <c r="W38" s="132"/>
      <c r="X38" s="132"/>
      <c r="Y38" s="132"/>
      <c r="Z38" s="132"/>
      <c r="AJ38" s="281"/>
      <c r="AK38" s="281"/>
      <c r="AL38" s="281"/>
      <c r="AM38" s="281"/>
      <c r="AN38" s="281"/>
    </row>
    <row r="39" spans="1:40">
      <c r="A39" s="282"/>
      <c r="B39" s="326" t="s">
        <v>1146</v>
      </c>
      <c r="C39" s="758">
        <f>'Inputs and eligible population'!$F$99</f>
        <v>1</v>
      </c>
      <c r="D39" s="127">
        <f>'Financial impact (cash)'!$D$13*'Inputs and eligible population'!$H$59*'Capacity (local prices)'!$C$39</f>
        <v>0</v>
      </c>
      <c r="E39" s="127">
        <f>'Financial impact (cash)'!$D$13*'Inputs and eligible population'!$H$59*'Capacity (local prices)'!$C$39</f>
        <v>0</v>
      </c>
      <c r="F39" s="127">
        <f>'Financial impact (cash)'!$D$13*'Inputs and eligible population'!$H$59*'Capacity (local prices)'!$C$39</f>
        <v>0</v>
      </c>
      <c r="G39" s="127">
        <f>'Financial impact (cash)'!$D$13*'Inputs and eligible population'!$H$59*'Capacity (local prices)'!$C$39</f>
        <v>0</v>
      </c>
      <c r="H39" s="127">
        <f>'Financial impact (cash)'!$E$13*'Inputs and eligible population'!$H$59*'Capacity (local prices)'!$C$39</f>
        <v>0</v>
      </c>
      <c r="I39" s="127">
        <f>'Financial impact (cash)'!$F$13*'Inputs and eligible population'!$H$59*'Capacity (local prices)'!$C$39</f>
        <v>0</v>
      </c>
      <c r="J39" s="214"/>
      <c r="K39" s="528">
        <f>'Inputs and eligible population'!$K$100*'Inputs and eligible population'!F$100/60</f>
        <v>60.54</v>
      </c>
      <c r="L39" s="530">
        <f t="shared" si="31"/>
        <v>0</v>
      </c>
      <c r="M39" s="530">
        <f t="shared" si="26"/>
        <v>0</v>
      </c>
      <c r="N39" s="530">
        <f t="shared" si="27"/>
        <v>0</v>
      </c>
      <c r="O39" s="530">
        <f t="shared" si="28"/>
        <v>0</v>
      </c>
      <c r="P39" s="530">
        <f t="shared" si="29"/>
        <v>0</v>
      </c>
      <c r="Q39" s="530">
        <f t="shared" si="30"/>
        <v>0</v>
      </c>
      <c r="R39" s="132"/>
      <c r="S39" s="132"/>
      <c r="T39" s="132"/>
      <c r="U39" s="132"/>
      <c r="V39" s="132"/>
      <c r="W39" s="132"/>
      <c r="X39" s="132"/>
      <c r="Y39" s="132"/>
      <c r="Z39" s="132"/>
      <c r="AJ39" s="281"/>
      <c r="AK39" s="281"/>
      <c r="AL39" s="281"/>
      <c r="AM39" s="281"/>
      <c r="AN39" s="281"/>
    </row>
    <row r="40" spans="1:40">
      <c r="A40" s="282"/>
      <c r="B40" s="326" t="s">
        <v>1147</v>
      </c>
      <c r="C40" s="758">
        <f>'Inputs and eligible population'!$F$99</f>
        <v>1</v>
      </c>
      <c r="D40" s="127">
        <f>'Financial impact (cash)'!$D$13*'Inputs and eligible population'!$H$59*'Capacity (local prices)'!$C$40</f>
        <v>0</v>
      </c>
      <c r="E40" s="127">
        <f>'Financial impact (cash)'!$D$13*'Inputs and eligible population'!$H$59*'Capacity (local prices)'!$C$40</f>
        <v>0</v>
      </c>
      <c r="F40" s="127">
        <f>'Financial impact (cash)'!$D$13*'Inputs and eligible population'!$H$59*'Capacity (local prices)'!$C$40</f>
        <v>0</v>
      </c>
      <c r="G40" s="127">
        <f>'Financial impact (cash)'!$D$13*'Inputs and eligible population'!$H$59*'Capacity (local prices)'!$C$40</f>
        <v>0</v>
      </c>
      <c r="H40" s="127">
        <f>'Financial impact (cash)'!$D$13*'Inputs and eligible population'!$H$59*'Capacity (local prices)'!$C$40</f>
        <v>0</v>
      </c>
      <c r="I40" s="127">
        <f>'Financial impact (cash)'!$E$13*'Inputs and eligible population'!$H$59*'Capacity (local prices)'!$C$40</f>
        <v>0</v>
      </c>
      <c r="J40" s="214"/>
      <c r="K40" s="528">
        <f>'Inputs and eligible population'!$K$100*'Inputs and eligible population'!F$100/60</f>
        <v>60.54</v>
      </c>
      <c r="L40" s="530">
        <f t="shared" si="31"/>
        <v>0</v>
      </c>
      <c r="M40" s="530">
        <f t="shared" si="26"/>
        <v>0</v>
      </c>
      <c r="N40" s="530">
        <f t="shared" si="27"/>
        <v>0</v>
      </c>
      <c r="O40" s="530">
        <f t="shared" si="28"/>
        <v>0</v>
      </c>
      <c r="P40" s="530">
        <f t="shared" si="29"/>
        <v>0</v>
      </c>
      <c r="Q40" s="530">
        <f t="shared" si="30"/>
        <v>0</v>
      </c>
      <c r="R40" s="132"/>
      <c r="S40" s="132"/>
      <c r="T40" s="132"/>
      <c r="U40" s="132"/>
      <c r="V40" s="132"/>
      <c r="W40" s="132"/>
      <c r="X40" s="132"/>
      <c r="Y40" s="132"/>
      <c r="Z40" s="132"/>
      <c r="AJ40" s="281"/>
      <c r="AK40" s="281"/>
      <c r="AL40" s="281"/>
      <c r="AM40" s="281"/>
      <c r="AN40" s="281"/>
    </row>
    <row r="41" spans="1:40">
      <c r="A41" s="282"/>
      <c r="B41" s="326" t="s">
        <v>1148</v>
      </c>
      <c r="C41" s="758">
        <f>'Inputs and eligible population'!$F$99</f>
        <v>1</v>
      </c>
      <c r="D41" s="127">
        <f>'Financial impact (cash)'!D14*'Capacity (local prices)'!$C41*'Inputs and eligible population'!$E$60</f>
        <v>0</v>
      </c>
      <c r="E41" s="127">
        <f>'Financial impact (cash)'!E14*'Capacity (local prices)'!$C41*'Inputs and eligible population'!$E$60</f>
        <v>0</v>
      </c>
      <c r="F41" s="127">
        <f>'Financial impact (cash)'!F14*'Capacity (local prices)'!$C41*'Inputs and eligible population'!$E$60</f>
        <v>0</v>
      </c>
      <c r="G41" s="127">
        <f>'Financial impact (cash)'!G14*'Capacity (local prices)'!$C41*'Inputs and eligible population'!$E$60</f>
        <v>0</v>
      </c>
      <c r="H41" s="127">
        <f>'Financial impact (cash)'!H14*'Capacity (local prices)'!$C41*'Inputs and eligible population'!$E$60</f>
        <v>0</v>
      </c>
      <c r="I41" s="127">
        <f>'Financial impact (cash)'!I14*'Capacity (local prices)'!$C41*'Inputs and eligible population'!$E$60</f>
        <v>0</v>
      </c>
      <c r="J41" s="214"/>
      <c r="K41" s="528">
        <f>'Inputs and eligible population'!$K$100*'Inputs and eligible population'!F$100/60</f>
        <v>60.54</v>
      </c>
      <c r="L41" s="530">
        <f>$K41/1000*D41</f>
        <v>0</v>
      </c>
      <c r="M41" s="530">
        <f t="shared" ref="M41:M60" si="32">$K41/1000*E41</f>
        <v>0</v>
      </c>
      <c r="N41" s="530">
        <f t="shared" ref="N41:N60" si="33">$K41/1000*F41</f>
        <v>0</v>
      </c>
      <c r="O41" s="530">
        <f t="shared" ref="O41:O60" si="34">$K41/1000*G41</f>
        <v>0</v>
      </c>
      <c r="P41" s="530">
        <f t="shared" ref="P41:P60" si="35">$K41/1000*H41</f>
        <v>0</v>
      </c>
      <c r="Q41" s="530">
        <f t="shared" ref="Q41:Q60" si="36">$K41/1000*I41</f>
        <v>0</v>
      </c>
      <c r="R41" s="132"/>
      <c r="S41" s="132"/>
      <c r="T41" s="132"/>
      <c r="U41" s="132"/>
      <c r="V41" s="132"/>
      <c r="W41" s="132"/>
      <c r="X41" s="132"/>
      <c r="Y41" s="132"/>
      <c r="Z41" s="132"/>
      <c r="AJ41" s="281"/>
      <c r="AK41" s="281"/>
      <c r="AL41" s="281"/>
      <c r="AM41" s="281"/>
      <c r="AN41" s="281"/>
    </row>
    <row r="42" spans="1:40">
      <c r="A42" s="282"/>
      <c r="B42" s="326" t="s">
        <v>1149</v>
      </c>
      <c r="C42" s="758">
        <f>'Inputs and eligible population'!$F$99</f>
        <v>1</v>
      </c>
      <c r="D42" s="127">
        <f>'Financial impact (cash)'!$D$14*'Inputs and eligible population'!$F$60*'Capacity (local prices)'!$C$42</f>
        <v>0</v>
      </c>
      <c r="E42" s="127">
        <f>'Financial impact (cash)'!$D$14*'Inputs and eligible population'!$F$60*'Capacity (local prices)'!$C$42</f>
        <v>0</v>
      </c>
      <c r="F42" s="127">
        <f>'Financial impact (cash)'!$E$14*'Inputs and eligible population'!$F$60*'Capacity (local prices)'!$C$42</f>
        <v>0</v>
      </c>
      <c r="G42" s="127">
        <f>'Financial impact (cash)'!$F$14*'Inputs and eligible population'!$F$60*'Capacity (local prices)'!$C$42</f>
        <v>0</v>
      </c>
      <c r="H42" s="127">
        <f>'Financial impact (cash)'!$G$14*'Inputs and eligible population'!$F$60*'Capacity (local prices)'!$C$42</f>
        <v>0</v>
      </c>
      <c r="I42" s="127">
        <f>'Financial impact (cash)'!$H$14*'Inputs and eligible population'!$F$60*'Capacity (local prices)'!$C$42</f>
        <v>0</v>
      </c>
      <c r="J42" s="214"/>
      <c r="K42" s="528">
        <f>'Inputs and eligible population'!$K$100*'Inputs and eligible population'!F$100/60</f>
        <v>60.54</v>
      </c>
      <c r="L42" s="530">
        <f t="shared" ref="L42:L45" si="37">$K42/1000*D42</f>
        <v>0</v>
      </c>
      <c r="M42" s="530">
        <f t="shared" si="32"/>
        <v>0</v>
      </c>
      <c r="N42" s="530">
        <f t="shared" si="33"/>
        <v>0</v>
      </c>
      <c r="O42" s="530">
        <f t="shared" si="34"/>
        <v>0</v>
      </c>
      <c r="P42" s="530">
        <f t="shared" si="35"/>
        <v>0</v>
      </c>
      <c r="Q42" s="530">
        <f t="shared" si="36"/>
        <v>0</v>
      </c>
      <c r="R42" s="132"/>
      <c r="S42" s="132"/>
      <c r="T42" s="132"/>
      <c r="U42" s="132"/>
      <c r="V42" s="132"/>
      <c r="W42" s="132"/>
      <c r="X42" s="132"/>
      <c r="Y42" s="132"/>
      <c r="Z42" s="132"/>
      <c r="AJ42" s="281"/>
      <c r="AK42" s="281"/>
      <c r="AL42" s="281"/>
      <c r="AM42" s="281"/>
      <c r="AN42" s="281"/>
    </row>
    <row r="43" spans="1:40">
      <c r="A43" s="282"/>
      <c r="B43" s="326" t="s">
        <v>1150</v>
      </c>
      <c r="C43" s="758">
        <f>'Inputs and eligible population'!$F$99</f>
        <v>1</v>
      </c>
      <c r="D43" s="127">
        <f>'Financial impact (cash)'!$D$14*'Inputs and eligible population'!$G$60*'Capacity (local prices)'!$C$43</f>
        <v>0</v>
      </c>
      <c r="E43" s="127">
        <f>'Financial impact (cash)'!$D$14*'Inputs and eligible population'!$G$60*'Capacity (local prices)'!$C$43</f>
        <v>0</v>
      </c>
      <c r="F43" s="127">
        <f>'Financial impact (cash)'!$D$14*'Inputs and eligible population'!$G$60*'Capacity (local prices)'!$C43</f>
        <v>0</v>
      </c>
      <c r="G43" s="127">
        <f>'Financial impact (cash)'!$E$14*'Inputs and eligible population'!$G$60*'Capacity (local prices)'!$C$43</f>
        <v>0</v>
      </c>
      <c r="H43" s="127">
        <f>'Financial impact (cash)'!$F$14*'Inputs and eligible population'!$G$60*'Capacity (local prices)'!$C$43</f>
        <v>0</v>
      </c>
      <c r="I43" s="127">
        <f>'Financial impact (cash)'!$G$14*'Inputs and eligible population'!$G$60*'Capacity (local prices)'!$C$43</f>
        <v>0</v>
      </c>
      <c r="J43" s="214"/>
      <c r="K43" s="528">
        <f>'Inputs and eligible population'!$K$100*'Inputs and eligible population'!F$100/60</f>
        <v>60.54</v>
      </c>
      <c r="L43" s="530">
        <f t="shared" si="37"/>
        <v>0</v>
      </c>
      <c r="M43" s="530">
        <f t="shared" si="32"/>
        <v>0</v>
      </c>
      <c r="N43" s="530">
        <f t="shared" si="33"/>
        <v>0</v>
      </c>
      <c r="O43" s="530">
        <f t="shared" si="34"/>
        <v>0</v>
      </c>
      <c r="P43" s="530">
        <f t="shared" si="35"/>
        <v>0</v>
      </c>
      <c r="Q43" s="530">
        <f t="shared" si="36"/>
        <v>0</v>
      </c>
      <c r="R43" s="132"/>
      <c r="S43" s="132"/>
      <c r="T43" s="132"/>
      <c r="U43" s="132"/>
      <c r="V43" s="132"/>
      <c r="W43" s="132"/>
      <c r="X43" s="132"/>
      <c r="Y43" s="132"/>
      <c r="Z43" s="132"/>
      <c r="AJ43" s="281"/>
      <c r="AK43" s="281"/>
      <c r="AL43" s="281"/>
      <c r="AM43" s="281"/>
      <c r="AN43" s="281"/>
    </row>
    <row r="44" spans="1:40">
      <c r="A44" s="282"/>
      <c r="B44" s="326" t="s">
        <v>1151</v>
      </c>
      <c r="C44" s="758">
        <f>'Inputs and eligible population'!$F$99</f>
        <v>1</v>
      </c>
      <c r="D44" s="127">
        <f>'Financial impact (cash)'!$D$14*'Inputs and eligible population'!$H$60*'Capacity (local prices)'!$C$44</f>
        <v>0</v>
      </c>
      <c r="E44" s="127">
        <f>'Financial impact (cash)'!$D$14*'Inputs and eligible population'!$H$60*'Capacity (local prices)'!$C$44</f>
        <v>0</v>
      </c>
      <c r="F44" s="127">
        <f>'Financial impact (cash)'!$D$14*'Inputs and eligible population'!$H$60*'Capacity (local prices)'!$C$44</f>
        <v>0</v>
      </c>
      <c r="G44" s="127">
        <f>'Financial impact (cash)'!$D$14*'Inputs and eligible population'!$H$60*'Capacity (local prices)'!$C$44</f>
        <v>0</v>
      </c>
      <c r="H44" s="127">
        <f>'Financial impact (cash)'!$E$14*'Inputs and eligible population'!$H$60*'Capacity (local prices)'!$C$44</f>
        <v>0</v>
      </c>
      <c r="I44" s="127">
        <f>'Financial impact (cash)'!$F$14*'Inputs and eligible population'!$H$60*'Capacity (local prices)'!$C$44</f>
        <v>0</v>
      </c>
      <c r="J44" s="214"/>
      <c r="K44" s="528">
        <f>'Inputs and eligible population'!$K$100*'Inputs and eligible population'!F$100/60</f>
        <v>60.54</v>
      </c>
      <c r="L44" s="530">
        <f t="shared" si="37"/>
        <v>0</v>
      </c>
      <c r="M44" s="530">
        <f t="shared" si="32"/>
        <v>0</v>
      </c>
      <c r="N44" s="530">
        <f t="shared" si="33"/>
        <v>0</v>
      </c>
      <c r="O44" s="530">
        <f t="shared" si="34"/>
        <v>0</v>
      </c>
      <c r="P44" s="530">
        <f t="shared" si="35"/>
        <v>0</v>
      </c>
      <c r="Q44" s="530">
        <f t="shared" si="36"/>
        <v>0</v>
      </c>
      <c r="R44" s="132"/>
      <c r="S44" s="132"/>
      <c r="T44" s="132"/>
      <c r="U44" s="132"/>
      <c r="V44" s="132"/>
      <c r="W44" s="132"/>
      <c r="X44" s="132"/>
      <c r="Y44" s="132"/>
      <c r="Z44" s="132"/>
      <c r="AJ44" s="281"/>
      <c r="AK44" s="281"/>
      <c r="AL44" s="281"/>
      <c r="AM44" s="281"/>
      <c r="AN44" s="281"/>
    </row>
    <row r="45" spans="1:40">
      <c r="A45" s="282"/>
      <c r="B45" s="326" t="s">
        <v>1152</v>
      </c>
      <c r="C45" s="758">
        <f>'Inputs and eligible population'!$F$99</f>
        <v>1</v>
      </c>
      <c r="D45" s="127">
        <f>'Financial impact (cash)'!$D$14*'Inputs and eligible population'!$I$60*'Capacity (local prices)'!$C$45</f>
        <v>0</v>
      </c>
      <c r="E45" s="127">
        <f>'Financial impact (cash)'!$D$14*'Inputs and eligible population'!$I$60*'Capacity (local prices)'!$C$45</f>
        <v>0</v>
      </c>
      <c r="F45" s="127">
        <f>'Financial impact (cash)'!$D$14*'Inputs and eligible population'!$I$60*'Capacity (local prices)'!$C$45</f>
        <v>0</v>
      </c>
      <c r="G45" s="127">
        <f>'Financial impact (cash)'!$D$14*'Inputs and eligible population'!$I$60*'Capacity (local prices)'!$C$45</f>
        <v>0</v>
      </c>
      <c r="H45" s="127">
        <f>'Financial impact (cash)'!$D$14*'Inputs and eligible population'!$I$60*'Capacity (local prices)'!$C$45</f>
        <v>0</v>
      </c>
      <c r="I45" s="127">
        <f>'Financial impact (cash)'!$E$14*'Inputs and eligible population'!$I$60*'Capacity (local prices)'!$C$45</f>
        <v>0</v>
      </c>
      <c r="J45" s="214"/>
      <c r="K45" s="528">
        <f>'Inputs and eligible population'!$K$100*'Inputs and eligible population'!F$100/60</f>
        <v>60.54</v>
      </c>
      <c r="L45" s="530">
        <f t="shared" si="37"/>
        <v>0</v>
      </c>
      <c r="M45" s="530">
        <f t="shared" si="32"/>
        <v>0</v>
      </c>
      <c r="N45" s="530">
        <f t="shared" si="33"/>
        <v>0</v>
      </c>
      <c r="O45" s="530">
        <f t="shared" si="34"/>
        <v>0</v>
      </c>
      <c r="P45" s="530">
        <f t="shared" si="35"/>
        <v>0</v>
      </c>
      <c r="Q45" s="530">
        <f t="shared" si="36"/>
        <v>0</v>
      </c>
      <c r="R45" s="132"/>
      <c r="S45" s="132"/>
      <c r="T45" s="132"/>
      <c r="U45" s="132"/>
      <c r="V45" s="132"/>
      <c r="W45" s="132"/>
      <c r="X45" s="132"/>
      <c r="Y45" s="132"/>
      <c r="Z45" s="132"/>
      <c r="AJ45" s="281"/>
      <c r="AK45" s="281"/>
      <c r="AL45" s="281"/>
      <c r="AM45" s="281"/>
      <c r="AN45" s="281"/>
    </row>
    <row r="46" spans="1:40">
      <c r="A46" s="282"/>
      <c r="B46" s="326" t="s">
        <v>1153</v>
      </c>
      <c r="C46" s="758">
        <f>'Inputs and eligible population'!$G$99</f>
        <v>1</v>
      </c>
      <c r="D46" s="127">
        <f>'Financial impact (cash)'!D15*'Capacity (local prices)'!$C46*'Inputs and eligible population'!$E$61</f>
        <v>0</v>
      </c>
      <c r="E46" s="127">
        <f>'Financial impact (cash)'!E15*'Capacity (local prices)'!$C46*'Inputs and eligible population'!$E$61</f>
        <v>0</v>
      </c>
      <c r="F46" s="127">
        <f>'Financial impact (cash)'!F15*'Capacity (local prices)'!$C46*'Inputs and eligible population'!$E$61</f>
        <v>0</v>
      </c>
      <c r="G46" s="127">
        <f>'Financial impact (cash)'!G15*'Capacity (local prices)'!$C46*'Inputs and eligible population'!$E$61</f>
        <v>0</v>
      </c>
      <c r="H46" s="127">
        <f>'Financial impact (cash)'!H15*'Capacity (local prices)'!$C46*'Inputs and eligible population'!$E$61</f>
        <v>0</v>
      </c>
      <c r="I46" s="127">
        <f>'Financial impact (cash)'!I15*'Capacity (local prices)'!$C46*'Inputs and eligible population'!$E$61</f>
        <v>0</v>
      </c>
      <c r="J46" s="214"/>
      <c r="K46" s="528">
        <f>'Inputs and eligible population'!$K$100*'Inputs and eligible population'!G$100/60</f>
        <v>60.54</v>
      </c>
      <c r="L46" s="530">
        <f t="shared" ref="L46:L50" si="38">$K46/1000*D46</f>
        <v>0</v>
      </c>
      <c r="M46" s="530">
        <f t="shared" si="32"/>
        <v>0</v>
      </c>
      <c r="N46" s="530">
        <f t="shared" si="33"/>
        <v>0</v>
      </c>
      <c r="O46" s="530">
        <f t="shared" si="34"/>
        <v>0</v>
      </c>
      <c r="P46" s="530">
        <f t="shared" si="35"/>
        <v>0</v>
      </c>
      <c r="Q46" s="530">
        <f t="shared" si="36"/>
        <v>0</v>
      </c>
      <c r="R46" s="132"/>
      <c r="S46" s="132"/>
      <c r="T46" s="132"/>
      <c r="U46" s="132"/>
      <c r="V46" s="132"/>
      <c r="W46" s="132"/>
      <c r="X46" s="132"/>
      <c r="Y46" s="132"/>
      <c r="Z46" s="132"/>
      <c r="AJ46" s="281"/>
      <c r="AK46" s="281"/>
      <c r="AL46" s="281"/>
      <c r="AM46" s="281"/>
      <c r="AN46" s="281"/>
    </row>
    <row r="47" spans="1:40">
      <c r="A47" s="282"/>
      <c r="B47" s="326" t="s">
        <v>1154</v>
      </c>
      <c r="C47" s="758">
        <f>'Inputs and eligible population'!$G$99</f>
        <v>1</v>
      </c>
      <c r="D47" s="127">
        <f>'Financial impact (cash)'!$D$15*'Inputs and eligible population'!$F$61*'Capacity (local prices)'!$C$47</f>
        <v>0</v>
      </c>
      <c r="E47" s="127">
        <f>'Financial impact (cash)'!$D$15*'Inputs and eligible population'!$F$61*'Capacity (local prices)'!$C$47</f>
        <v>0</v>
      </c>
      <c r="F47" s="127">
        <f>'Financial impact (cash)'!$E$15*'Inputs and eligible population'!$F$61*'Capacity (local prices)'!$C$47</f>
        <v>0</v>
      </c>
      <c r="G47" s="127">
        <f>'Financial impact (cash)'!$F$15*'Inputs and eligible population'!$F$61*'Capacity (local prices)'!$C$47</f>
        <v>0</v>
      </c>
      <c r="H47" s="127">
        <f>'Financial impact (cash)'!$G$15*'Inputs and eligible population'!$F$61*'Capacity (local prices)'!$C$47</f>
        <v>0</v>
      </c>
      <c r="I47" s="127">
        <f>'Financial impact (cash)'!$H$15*'Inputs and eligible population'!$F$61*'Capacity (local prices)'!$C$47</f>
        <v>0</v>
      </c>
      <c r="J47" s="214"/>
      <c r="K47" s="528">
        <f>'Inputs and eligible population'!$K$100*'Inputs and eligible population'!G$100/60</f>
        <v>60.54</v>
      </c>
      <c r="L47" s="530">
        <f t="shared" si="38"/>
        <v>0</v>
      </c>
      <c r="M47" s="530">
        <f t="shared" si="32"/>
        <v>0</v>
      </c>
      <c r="N47" s="530">
        <f t="shared" si="33"/>
        <v>0</v>
      </c>
      <c r="O47" s="530">
        <f t="shared" si="34"/>
        <v>0</v>
      </c>
      <c r="P47" s="530">
        <f t="shared" si="35"/>
        <v>0</v>
      </c>
      <c r="Q47" s="530">
        <f t="shared" si="36"/>
        <v>0</v>
      </c>
      <c r="R47" s="132"/>
      <c r="S47" s="132"/>
      <c r="T47" s="132"/>
      <c r="U47" s="132"/>
      <c r="V47" s="132"/>
      <c r="W47" s="132"/>
      <c r="X47" s="132"/>
      <c r="Y47" s="132"/>
      <c r="Z47" s="132"/>
      <c r="AJ47" s="281"/>
      <c r="AK47" s="281"/>
      <c r="AL47" s="281"/>
      <c r="AM47" s="281"/>
      <c r="AN47" s="281"/>
    </row>
    <row r="48" spans="1:40">
      <c r="A48" s="282"/>
      <c r="B48" s="326" t="s">
        <v>1155</v>
      </c>
      <c r="C48" s="758">
        <f>'Inputs and eligible population'!$G$99</f>
        <v>1</v>
      </c>
      <c r="D48" s="127">
        <f>'Financial impact (cash)'!$D$15*'Inputs and eligible population'!$G$61*'Capacity (local prices)'!$C$48</f>
        <v>0</v>
      </c>
      <c r="E48" s="127">
        <f>'Financial impact (cash)'!$D$15*'Inputs and eligible population'!$G$61*'Capacity (local prices)'!$C$48</f>
        <v>0</v>
      </c>
      <c r="F48" s="127">
        <f>'Financial impact (cash)'!$D$15*'Inputs and eligible population'!$G$61*'Capacity (local prices)'!$C$48</f>
        <v>0</v>
      </c>
      <c r="G48" s="127">
        <f>'Financial impact (cash)'!$E$15*'Inputs and eligible population'!$G$61*'Capacity (local prices)'!$C$48</f>
        <v>0</v>
      </c>
      <c r="H48" s="127">
        <f>'Financial impact (cash)'!$F$15*'Inputs and eligible population'!$G$61*'Capacity (local prices)'!$C$48</f>
        <v>0</v>
      </c>
      <c r="I48" s="127">
        <f>'Financial impact (cash)'!$G$15*'Inputs and eligible population'!$G$61*'Capacity (local prices)'!$C$48</f>
        <v>0</v>
      </c>
      <c r="J48" s="214"/>
      <c r="K48" s="528">
        <f>'Inputs and eligible population'!$K$100*'Inputs and eligible population'!G$100/60</f>
        <v>60.54</v>
      </c>
      <c r="L48" s="530">
        <f t="shared" si="38"/>
        <v>0</v>
      </c>
      <c r="M48" s="530">
        <f t="shared" si="32"/>
        <v>0</v>
      </c>
      <c r="N48" s="530">
        <f t="shared" si="33"/>
        <v>0</v>
      </c>
      <c r="O48" s="530">
        <f t="shared" si="34"/>
        <v>0</v>
      </c>
      <c r="P48" s="530">
        <f t="shared" si="35"/>
        <v>0</v>
      </c>
      <c r="Q48" s="530">
        <f t="shared" si="36"/>
        <v>0</v>
      </c>
      <c r="R48" s="132"/>
      <c r="S48" s="132"/>
      <c r="T48" s="132"/>
      <c r="U48" s="132"/>
      <c r="V48" s="132"/>
      <c r="W48" s="132"/>
      <c r="X48" s="132"/>
      <c r="Y48" s="132"/>
      <c r="Z48" s="132"/>
      <c r="AJ48" s="281"/>
      <c r="AK48" s="281"/>
      <c r="AL48" s="281"/>
      <c r="AM48" s="281"/>
      <c r="AN48" s="281"/>
    </row>
    <row r="49" spans="1:40">
      <c r="A49" s="282"/>
      <c r="B49" s="326" t="s">
        <v>1156</v>
      </c>
      <c r="C49" s="758">
        <f>'Inputs and eligible population'!$G$99</f>
        <v>1</v>
      </c>
      <c r="D49" s="127">
        <f>'Financial impact (cash)'!$D$15*'Inputs and eligible population'!$H$61*'Capacity (local prices)'!$C$49</f>
        <v>0</v>
      </c>
      <c r="E49" s="127">
        <f>'Financial impact (cash)'!$D$15*'Inputs and eligible population'!$H$61*'Capacity (local prices)'!$C$49</f>
        <v>0</v>
      </c>
      <c r="F49" s="127">
        <f>'Financial impact (cash)'!$D$15*'Inputs and eligible population'!$H$61*'Capacity (local prices)'!$C$49</f>
        <v>0</v>
      </c>
      <c r="G49" s="127">
        <f>'Financial impact (cash)'!$D$15*'Inputs and eligible population'!$H$61*'Capacity (local prices)'!$C$49</f>
        <v>0</v>
      </c>
      <c r="H49" s="127">
        <f>'Financial impact (cash)'!$E$15*'Inputs and eligible population'!$H$61*'Capacity (local prices)'!$C$49</f>
        <v>0</v>
      </c>
      <c r="I49" s="127">
        <f>'Financial impact (cash)'!$F$15*'Inputs and eligible population'!$H$61*'Capacity (local prices)'!$C$49</f>
        <v>0</v>
      </c>
      <c r="J49" s="214"/>
      <c r="K49" s="528">
        <f>'Inputs and eligible population'!$K$100*'Inputs and eligible population'!G$100/60</f>
        <v>60.54</v>
      </c>
      <c r="L49" s="530">
        <f t="shared" si="38"/>
        <v>0</v>
      </c>
      <c r="M49" s="530">
        <f t="shared" si="32"/>
        <v>0</v>
      </c>
      <c r="N49" s="530">
        <f t="shared" si="33"/>
        <v>0</v>
      </c>
      <c r="O49" s="530">
        <f t="shared" si="34"/>
        <v>0</v>
      </c>
      <c r="P49" s="530">
        <f t="shared" si="35"/>
        <v>0</v>
      </c>
      <c r="Q49" s="530">
        <f t="shared" si="36"/>
        <v>0</v>
      </c>
      <c r="R49" s="132"/>
      <c r="S49" s="132"/>
      <c r="T49" s="132"/>
      <c r="U49" s="132"/>
      <c r="V49" s="132"/>
      <c r="W49" s="132"/>
      <c r="X49" s="132"/>
      <c r="Y49" s="132"/>
      <c r="Z49" s="132"/>
      <c r="AJ49" s="281"/>
      <c r="AK49" s="281"/>
      <c r="AL49" s="281"/>
      <c r="AM49" s="281"/>
      <c r="AN49" s="281"/>
    </row>
    <row r="50" spans="1:40">
      <c r="A50" s="282"/>
      <c r="B50" s="326" t="s">
        <v>1157</v>
      </c>
      <c r="C50" s="758">
        <f>'Inputs and eligible population'!$G$99</f>
        <v>1</v>
      </c>
      <c r="D50" s="127">
        <f>'Financial impact (cash)'!$D$15*'Inputs and eligible population'!$I$61*'Capacity (local prices)'!$C$50</f>
        <v>0</v>
      </c>
      <c r="E50" s="127">
        <f>'Financial impact (cash)'!$D$15*'Inputs and eligible population'!$I$61*'Capacity (local prices)'!$C$50</f>
        <v>0</v>
      </c>
      <c r="F50" s="127">
        <f>'Financial impact (cash)'!$D$15*'Inputs and eligible population'!$I$61*'Capacity (local prices)'!$C$50</f>
        <v>0</v>
      </c>
      <c r="G50" s="127">
        <f>'Financial impact (cash)'!$D$15*'Inputs and eligible population'!$I$61*'Capacity (local prices)'!$C$50</f>
        <v>0</v>
      </c>
      <c r="H50" s="127">
        <f>'Financial impact (cash)'!$D$15*'Inputs and eligible population'!$I$61*'Capacity (local prices)'!$C$50</f>
        <v>0</v>
      </c>
      <c r="I50" s="127">
        <f>'Financial impact (cash)'!$E$15*'Inputs and eligible population'!$I$61*'Capacity (local prices)'!$C$50</f>
        <v>0</v>
      </c>
      <c r="J50" s="214"/>
      <c r="K50" s="528">
        <f>'Inputs and eligible population'!$K$100*'Inputs and eligible population'!G$100/60</f>
        <v>60.54</v>
      </c>
      <c r="L50" s="530">
        <f t="shared" si="38"/>
        <v>0</v>
      </c>
      <c r="M50" s="530">
        <f t="shared" si="32"/>
        <v>0</v>
      </c>
      <c r="N50" s="530">
        <f t="shared" si="33"/>
        <v>0</v>
      </c>
      <c r="O50" s="530">
        <f t="shared" si="34"/>
        <v>0</v>
      </c>
      <c r="P50" s="530">
        <f t="shared" si="35"/>
        <v>0</v>
      </c>
      <c r="Q50" s="530">
        <f t="shared" si="36"/>
        <v>0</v>
      </c>
      <c r="R50" s="132"/>
      <c r="S50" s="132"/>
      <c r="T50" s="132"/>
      <c r="U50" s="132"/>
      <c r="V50" s="132"/>
      <c r="W50" s="132"/>
      <c r="X50" s="132"/>
      <c r="Y50" s="132"/>
      <c r="Z50" s="132"/>
      <c r="AJ50" s="281"/>
      <c r="AK50" s="281"/>
      <c r="AL50" s="281"/>
      <c r="AM50" s="281"/>
      <c r="AN50" s="281"/>
    </row>
    <row r="51" spans="1:40">
      <c r="A51" s="282"/>
      <c r="B51" s="326" t="s">
        <v>1158</v>
      </c>
      <c r="C51" s="758">
        <f>'Inputs and eligible population'!$H$99</f>
        <v>1</v>
      </c>
      <c r="D51" s="127">
        <f>'Financial impact (cash)'!D16*'Capacity (local prices)'!$C51*'Inputs and eligible population'!$E$62</f>
        <v>0</v>
      </c>
      <c r="E51" s="127">
        <f>'Financial impact (cash)'!E16*'Capacity (local prices)'!$C51*'Inputs and eligible population'!$E$62</f>
        <v>0</v>
      </c>
      <c r="F51" s="127">
        <f>'Financial impact (cash)'!F16*'Capacity (local prices)'!$C51*'Inputs and eligible population'!$E$62</f>
        <v>0</v>
      </c>
      <c r="G51" s="127">
        <f>'Financial impact (cash)'!G16*'Capacity (local prices)'!$C51*'Inputs and eligible population'!$E$62</f>
        <v>0</v>
      </c>
      <c r="H51" s="127">
        <f>'Financial impact (cash)'!H16*'Capacity (local prices)'!$C51*'Inputs and eligible population'!$E$62</f>
        <v>0</v>
      </c>
      <c r="I51" s="127">
        <f>'Financial impact (cash)'!I16*'Capacity (local prices)'!$C51*'Inputs and eligible population'!$E$62</f>
        <v>0</v>
      </c>
      <c r="J51" s="214"/>
      <c r="K51" s="528">
        <f>'Inputs and eligible population'!$K$100*'Inputs and eligible population'!H$100/60</f>
        <v>60.54</v>
      </c>
      <c r="L51" s="530">
        <f t="shared" ref="L51:L60" si="39">$K51/1000*D51</f>
        <v>0</v>
      </c>
      <c r="M51" s="530">
        <f t="shared" si="32"/>
        <v>0</v>
      </c>
      <c r="N51" s="530">
        <f t="shared" si="33"/>
        <v>0</v>
      </c>
      <c r="O51" s="530">
        <f t="shared" si="34"/>
        <v>0</v>
      </c>
      <c r="P51" s="530">
        <f t="shared" si="35"/>
        <v>0</v>
      </c>
      <c r="Q51" s="530">
        <f t="shared" si="36"/>
        <v>0</v>
      </c>
      <c r="R51" s="132"/>
      <c r="S51" s="132"/>
      <c r="T51" s="132"/>
      <c r="U51" s="132"/>
      <c r="V51" s="132"/>
      <c r="W51" s="132"/>
      <c r="X51" s="132"/>
      <c r="Y51" s="132"/>
      <c r="Z51" s="132"/>
      <c r="AJ51" s="281"/>
      <c r="AK51" s="281"/>
      <c r="AL51" s="281"/>
      <c r="AM51" s="281"/>
      <c r="AN51" s="281"/>
    </row>
    <row r="52" spans="1:40">
      <c r="A52" s="282"/>
      <c r="B52" s="326" t="s">
        <v>1159</v>
      </c>
      <c r="C52" s="758">
        <f>'Inputs and eligible population'!$H$99</f>
        <v>1</v>
      </c>
      <c r="D52" s="127">
        <f>'Financial impact (cash)'!$D$16*'Inputs and eligible population'!$F$62*'Capacity (local prices)'!$C$52</f>
        <v>0</v>
      </c>
      <c r="E52" s="127">
        <f>'Financial impact (cash)'!$D$16*'Inputs and eligible population'!$F$62*'Capacity (local prices)'!$C$52</f>
        <v>0</v>
      </c>
      <c r="F52" s="127">
        <f>'Financial impact (cash)'!$E$16*'Inputs and eligible population'!$F$62*'Capacity (local prices)'!$C$52</f>
        <v>0</v>
      </c>
      <c r="G52" s="127">
        <f>'Financial impact (cash)'!$F$16*'Inputs and eligible population'!$F$62*'Capacity (local prices)'!$C$52</f>
        <v>0</v>
      </c>
      <c r="H52" s="127">
        <f>'Financial impact (cash)'!$G$16*'Inputs and eligible population'!$F$62*'Capacity (local prices)'!$C$52</f>
        <v>0</v>
      </c>
      <c r="I52" s="127">
        <f>'Financial impact (cash)'!$H$16*'Inputs and eligible population'!$F$62*'Capacity (local prices)'!$C$52</f>
        <v>0</v>
      </c>
      <c r="J52" s="214"/>
      <c r="K52" s="528">
        <f>'Inputs and eligible population'!$K$100*'Inputs and eligible population'!H$100/60</f>
        <v>60.54</v>
      </c>
      <c r="L52" s="530">
        <f t="shared" si="39"/>
        <v>0</v>
      </c>
      <c r="M52" s="530">
        <f t="shared" si="32"/>
        <v>0</v>
      </c>
      <c r="N52" s="530">
        <f t="shared" si="33"/>
        <v>0</v>
      </c>
      <c r="O52" s="530">
        <f t="shared" si="34"/>
        <v>0</v>
      </c>
      <c r="P52" s="530">
        <f t="shared" si="35"/>
        <v>0</v>
      </c>
      <c r="Q52" s="530">
        <f t="shared" si="36"/>
        <v>0</v>
      </c>
      <c r="R52" s="132"/>
      <c r="S52" s="132"/>
      <c r="T52" s="132"/>
      <c r="U52" s="132"/>
      <c r="V52" s="132"/>
      <c r="W52" s="132"/>
      <c r="X52" s="132"/>
      <c r="Y52" s="132"/>
      <c r="Z52" s="132"/>
      <c r="AJ52" s="281"/>
      <c r="AK52" s="281"/>
      <c r="AL52" s="281"/>
      <c r="AM52" s="281"/>
      <c r="AN52" s="281"/>
    </row>
    <row r="53" spans="1:40">
      <c r="A53" s="282"/>
      <c r="B53" s="326" t="s">
        <v>1160</v>
      </c>
      <c r="C53" s="758">
        <f>'Inputs and eligible population'!$H$99</f>
        <v>1</v>
      </c>
      <c r="D53" s="127">
        <f>'Financial impact (cash)'!$D$16*'Inputs and eligible population'!$G$62*'Capacity (local prices)'!$C$53</f>
        <v>0</v>
      </c>
      <c r="E53" s="127">
        <f>'Financial impact (cash)'!$D$16*'Inputs and eligible population'!$G$62*'Capacity (local prices)'!$C$53</f>
        <v>0</v>
      </c>
      <c r="F53" s="127">
        <f>'Financial impact (cash)'!$D$16*'Inputs and eligible population'!$G$62*'Capacity (local prices)'!$C$53</f>
        <v>0</v>
      </c>
      <c r="G53" s="127">
        <f>'Financial impact (cash)'!$E$16*'Inputs and eligible population'!$G$62*'Capacity (local prices)'!$C$53</f>
        <v>0</v>
      </c>
      <c r="H53" s="127">
        <f>'Financial impact (cash)'!$F$16*'Inputs and eligible population'!$G$62*'Capacity (local prices)'!$C$53</f>
        <v>0</v>
      </c>
      <c r="I53" s="127">
        <f>'Financial impact (cash)'!$G$16*'Inputs and eligible population'!$G$62*'Capacity (local prices)'!$C$53</f>
        <v>0</v>
      </c>
      <c r="J53" s="214"/>
      <c r="K53" s="528">
        <f>'Inputs and eligible population'!$K$100*'Inputs and eligible population'!H$100/60</f>
        <v>60.54</v>
      </c>
      <c r="L53" s="530">
        <f t="shared" si="39"/>
        <v>0</v>
      </c>
      <c r="M53" s="530">
        <f t="shared" si="32"/>
        <v>0</v>
      </c>
      <c r="N53" s="530">
        <f t="shared" si="33"/>
        <v>0</v>
      </c>
      <c r="O53" s="530">
        <f t="shared" si="34"/>
        <v>0</v>
      </c>
      <c r="P53" s="530">
        <f t="shared" si="35"/>
        <v>0</v>
      </c>
      <c r="Q53" s="530">
        <f t="shared" si="36"/>
        <v>0</v>
      </c>
      <c r="R53" s="132"/>
      <c r="S53" s="132"/>
      <c r="T53" s="132"/>
      <c r="U53" s="132"/>
      <c r="V53" s="132"/>
      <c r="W53" s="132"/>
      <c r="X53" s="132"/>
      <c r="Y53" s="132"/>
      <c r="Z53" s="132"/>
      <c r="AJ53" s="281"/>
      <c r="AK53" s="281"/>
      <c r="AL53" s="281"/>
      <c r="AM53" s="281"/>
      <c r="AN53" s="281"/>
    </row>
    <row r="54" spans="1:40">
      <c r="A54" s="282"/>
      <c r="B54" s="326" t="s">
        <v>1161</v>
      </c>
      <c r="C54" s="758">
        <f>'Inputs and eligible population'!$H$99</f>
        <v>1</v>
      </c>
      <c r="D54" s="127">
        <f>'Financial impact (cash)'!$D$16*'Inputs and eligible population'!$H$62*'Capacity (local prices)'!$C$54</f>
        <v>0</v>
      </c>
      <c r="E54" s="127">
        <f>'Financial impact (cash)'!$D$16*'Inputs and eligible population'!$H$62*'Capacity (local prices)'!$C$54</f>
        <v>0</v>
      </c>
      <c r="F54" s="127">
        <f>'Financial impact (cash)'!$D$16*'Inputs and eligible population'!$H$62*'Capacity (local prices)'!$C$54</f>
        <v>0</v>
      </c>
      <c r="G54" s="127">
        <f>'Financial impact (cash)'!$D$16*'Inputs and eligible population'!$H$62*'Capacity (local prices)'!$C$54</f>
        <v>0</v>
      </c>
      <c r="H54" s="127">
        <f>'Financial impact (cash)'!$E$16*'Inputs and eligible population'!$H$62*'Capacity (local prices)'!$C$54</f>
        <v>0</v>
      </c>
      <c r="I54" s="127">
        <f>'Financial impact (cash)'!$F$16*'Inputs and eligible population'!$H$62*'Capacity (local prices)'!$C$54</f>
        <v>0</v>
      </c>
      <c r="J54" s="214"/>
      <c r="K54" s="528">
        <f>'Inputs and eligible population'!$K$100*'Inputs and eligible population'!H$100/60</f>
        <v>60.54</v>
      </c>
      <c r="L54" s="530">
        <f t="shared" si="39"/>
        <v>0</v>
      </c>
      <c r="M54" s="530">
        <f t="shared" si="32"/>
        <v>0</v>
      </c>
      <c r="N54" s="530">
        <f t="shared" si="33"/>
        <v>0</v>
      </c>
      <c r="O54" s="530">
        <f t="shared" si="34"/>
        <v>0</v>
      </c>
      <c r="P54" s="530">
        <f t="shared" si="35"/>
        <v>0</v>
      </c>
      <c r="Q54" s="530">
        <f t="shared" si="36"/>
        <v>0</v>
      </c>
      <c r="R54" s="132"/>
      <c r="S54" s="132"/>
      <c r="T54" s="132"/>
      <c r="U54" s="132"/>
      <c r="V54" s="132"/>
      <c r="W54" s="132"/>
      <c r="X54" s="132"/>
      <c r="Y54" s="132"/>
      <c r="Z54" s="132"/>
      <c r="AJ54" s="281"/>
      <c r="AK54" s="281"/>
      <c r="AL54" s="281"/>
      <c r="AM54" s="281"/>
      <c r="AN54" s="281"/>
    </row>
    <row r="55" spans="1:40">
      <c r="A55" s="282"/>
      <c r="B55" s="326" t="s">
        <v>1162</v>
      </c>
      <c r="C55" s="758">
        <f>'Inputs and eligible population'!$H$99</f>
        <v>1</v>
      </c>
      <c r="D55" s="127">
        <f>'Financial impact (cash)'!$D$16*'Inputs and eligible population'!$I$62*'Capacity (local prices)'!$C$55</f>
        <v>0</v>
      </c>
      <c r="E55" s="127">
        <f>'Financial impact (cash)'!$D$16*'Inputs and eligible population'!$I$62*'Capacity (local prices)'!$C$55</f>
        <v>0</v>
      </c>
      <c r="F55" s="127">
        <f>'Financial impact (cash)'!$D$16*'Inputs and eligible population'!$I$62*'Capacity (local prices)'!$C$55</f>
        <v>0</v>
      </c>
      <c r="G55" s="127">
        <f>'Financial impact (cash)'!$D$16*'Inputs and eligible population'!$I$62*'Capacity (local prices)'!$C$55</f>
        <v>0</v>
      </c>
      <c r="H55" s="127">
        <f>'Financial impact (cash)'!$D$16*'Inputs and eligible population'!$I$62*'Capacity (local prices)'!$C$55</f>
        <v>0</v>
      </c>
      <c r="I55" s="127">
        <f>'Financial impact (cash)'!$E$16*'Inputs and eligible population'!$I$62*'Capacity (local prices)'!$C$55</f>
        <v>0</v>
      </c>
      <c r="J55" s="214"/>
      <c r="K55" s="528">
        <f>'Inputs and eligible population'!$K$100*'Inputs and eligible population'!H$100/60</f>
        <v>60.54</v>
      </c>
      <c r="L55" s="530">
        <f t="shared" si="39"/>
        <v>0</v>
      </c>
      <c r="M55" s="530">
        <f t="shared" si="32"/>
        <v>0</v>
      </c>
      <c r="N55" s="530">
        <f t="shared" si="33"/>
        <v>0</v>
      </c>
      <c r="O55" s="530">
        <f t="shared" si="34"/>
        <v>0</v>
      </c>
      <c r="P55" s="530">
        <f t="shared" si="35"/>
        <v>0</v>
      </c>
      <c r="Q55" s="530">
        <f t="shared" si="36"/>
        <v>0</v>
      </c>
      <c r="R55" s="132"/>
      <c r="S55" s="132"/>
      <c r="T55" s="132"/>
      <c r="U55" s="132"/>
      <c r="V55" s="132"/>
      <c r="W55" s="132"/>
      <c r="X55" s="132"/>
      <c r="Y55" s="132"/>
      <c r="Z55" s="132"/>
      <c r="AJ55" s="281"/>
      <c r="AK55" s="281"/>
      <c r="AL55" s="281"/>
      <c r="AM55" s="281"/>
      <c r="AN55" s="281"/>
    </row>
    <row r="56" spans="1:40">
      <c r="A56" s="282"/>
      <c r="B56" s="326" t="s">
        <v>1163</v>
      </c>
      <c r="C56" s="758">
        <f>'Inputs and eligible population'!$I$99</f>
        <v>1</v>
      </c>
      <c r="D56" s="127">
        <f>'Financial impact (cash)'!D17*'Capacity (local prices)'!$C56*'Inputs and eligible population'!$E$63</f>
        <v>0</v>
      </c>
      <c r="E56" s="127">
        <f>'Financial impact (cash)'!E17*'Capacity (local prices)'!$C56*'Inputs and eligible population'!$E$63</f>
        <v>0</v>
      </c>
      <c r="F56" s="127">
        <f>'Financial impact (cash)'!F17*'Capacity (local prices)'!$C56*'Inputs and eligible population'!$E$63</f>
        <v>0</v>
      </c>
      <c r="G56" s="127">
        <f>'Financial impact (cash)'!G17*'Capacity (local prices)'!$C56*'Inputs and eligible population'!$E$63</f>
        <v>0</v>
      </c>
      <c r="H56" s="127">
        <f>'Financial impact (cash)'!H17*'Capacity (local prices)'!$C56*'Inputs and eligible population'!$E$63</f>
        <v>0</v>
      </c>
      <c r="I56" s="127">
        <f>'Financial impact (cash)'!I17*'Capacity (local prices)'!$C56*'Inputs and eligible population'!$E$63</f>
        <v>0</v>
      </c>
      <c r="J56" s="214"/>
      <c r="K56" s="528">
        <f>'Inputs and eligible population'!$K$100*'Inputs and eligible population'!I$100/60</f>
        <v>60.54</v>
      </c>
      <c r="L56" s="530">
        <f t="shared" si="39"/>
        <v>0</v>
      </c>
      <c r="M56" s="530">
        <f t="shared" si="32"/>
        <v>0</v>
      </c>
      <c r="N56" s="530">
        <f t="shared" si="33"/>
        <v>0</v>
      </c>
      <c r="O56" s="530">
        <f t="shared" si="34"/>
        <v>0</v>
      </c>
      <c r="P56" s="530">
        <f t="shared" si="35"/>
        <v>0</v>
      </c>
      <c r="Q56" s="530">
        <f t="shared" si="36"/>
        <v>0</v>
      </c>
      <c r="R56" s="132"/>
      <c r="S56" s="132"/>
      <c r="T56" s="132"/>
      <c r="U56" s="132"/>
      <c r="V56" s="132"/>
      <c r="W56" s="132"/>
      <c r="X56" s="132"/>
      <c r="Y56" s="132"/>
      <c r="Z56" s="132"/>
      <c r="AJ56" s="281"/>
      <c r="AK56" s="281"/>
      <c r="AL56" s="281"/>
      <c r="AM56" s="281"/>
      <c r="AN56" s="281"/>
    </row>
    <row r="57" spans="1:40">
      <c r="A57" s="282"/>
      <c r="B57" s="326" t="s">
        <v>1164</v>
      </c>
      <c r="C57" s="758">
        <f>'Inputs and eligible population'!$I$99</f>
        <v>1</v>
      </c>
      <c r="D57" s="127">
        <f>'Financial impact (cash)'!$D$17*'Inputs and eligible population'!$F$63*'Capacity (local prices)'!$C$57</f>
        <v>0</v>
      </c>
      <c r="E57" s="127">
        <f>'Financial impact (cash)'!$D$17*'Inputs and eligible population'!$F$63*'Capacity (local prices)'!$C$57</f>
        <v>0</v>
      </c>
      <c r="F57" s="127">
        <f>'Financial impact (cash)'!$E$17*'Inputs and eligible population'!$F$63*'Capacity (local prices)'!$C$57</f>
        <v>0</v>
      </c>
      <c r="G57" s="127">
        <f>'Financial impact (cash)'!$F$17*'Inputs and eligible population'!$F$63*'Capacity (local prices)'!$C$57</f>
        <v>0</v>
      </c>
      <c r="H57" s="127">
        <f>'Financial impact (cash)'!$G$17*'Inputs and eligible population'!$F$63*'Capacity (local prices)'!$C$57</f>
        <v>0</v>
      </c>
      <c r="I57" s="127">
        <f>'Financial impact (cash)'!$H$17*'Inputs and eligible population'!$F$63*'Capacity (local prices)'!$C$57</f>
        <v>0</v>
      </c>
      <c r="J57" s="214"/>
      <c r="K57" s="528">
        <f>'Inputs and eligible population'!$K$100*'Inputs and eligible population'!I$100/60</f>
        <v>60.54</v>
      </c>
      <c r="L57" s="530">
        <f t="shared" si="39"/>
        <v>0</v>
      </c>
      <c r="M57" s="530">
        <f t="shared" si="32"/>
        <v>0</v>
      </c>
      <c r="N57" s="530">
        <f t="shared" si="33"/>
        <v>0</v>
      </c>
      <c r="O57" s="530">
        <f t="shared" si="34"/>
        <v>0</v>
      </c>
      <c r="P57" s="530">
        <f t="shared" si="35"/>
        <v>0</v>
      </c>
      <c r="Q57" s="530">
        <f t="shared" si="36"/>
        <v>0</v>
      </c>
      <c r="R57" s="132"/>
      <c r="S57" s="132"/>
      <c r="T57" s="132"/>
      <c r="U57" s="132"/>
      <c r="V57" s="132"/>
      <c r="W57" s="132"/>
      <c r="X57" s="132"/>
      <c r="Y57" s="132"/>
      <c r="Z57" s="132"/>
      <c r="AJ57" s="281"/>
      <c r="AK57" s="281"/>
      <c r="AL57" s="281"/>
      <c r="AM57" s="281"/>
      <c r="AN57" s="281"/>
    </row>
    <row r="58" spans="1:40">
      <c r="A58" s="282"/>
      <c r="B58" s="326" t="s">
        <v>1165</v>
      </c>
      <c r="C58" s="758">
        <f>'Inputs and eligible population'!$I$99</f>
        <v>1</v>
      </c>
      <c r="D58" s="127">
        <f>'Financial impact (cash)'!$D$17*'Inputs and eligible population'!$G$63*'Capacity (local prices)'!$C$58</f>
        <v>0</v>
      </c>
      <c r="E58" s="127">
        <f>'Financial impact (cash)'!$D$17*'Inputs and eligible population'!$G$63*'Capacity (local prices)'!$C$58</f>
        <v>0</v>
      </c>
      <c r="F58" s="127">
        <f>'Financial impact (cash)'!$D$17*'Inputs and eligible population'!$G$63*'Capacity (local prices)'!$C$58</f>
        <v>0</v>
      </c>
      <c r="G58" s="127">
        <f>'Financial impact (cash)'!$E$17*'Inputs and eligible population'!$G$63*'Capacity (local prices)'!$C$58</f>
        <v>0</v>
      </c>
      <c r="H58" s="127">
        <f>'Financial impact (cash)'!$F$17*'Inputs and eligible population'!$G$63*'Capacity (local prices)'!$C$58</f>
        <v>0</v>
      </c>
      <c r="I58" s="127">
        <f>'Financial impact (cash)'!$G$17*'Inputs and eligible population'!$G$63*'Capacity (local prices)'!$C$58</f>
        <v>0</v>
      </c>
      <c r="J58" s="214"/>
      <c r="K58" s="528">
        <f>'Inputs and eligible population'!$K$100*'Inputs and eligible population'!I$100/60</f>
        <v>60.54</v>
      </c>
      <c r="L58" s="530">
        <f t="shared" si="39"/>
        <v>0</v>
      </c>
      <c r="M58" s="530">
        <f t="shared" si="32"/>
        <v>0</v>
      </c>
      <c r="N58" s="530">
        <f t="shared" si="33"/>
        <v>0</v>
      </c>
      <c r="O58" s="530">
        <f t="shared" si="34"/>
        <v>0</v>
      </c>
      <c r="P58" s="530">
        <f t="shared" si="35"/>
        <v>0</v>
      </c>
      <c r="Q58" s="530">
        <f t="shared" si="36"/>
        <v>0</v>
      </c>
      <c r="R58" s="132"/>
      <c r="S58" s="132"/>
      <c r="T58" s="132"/>
      <c r="U58" s="132"/>
      <c r="V58" s="132"/>
      <c r="W58" s="132"/>
      <c r="X58" s="132"/>
      <c r="Y58" s="132"/>
      <c r="Z58" s="132"/>
      <c r="AJ58" s="281"/>
      <c r="AK58" s="281"/>
      <c r="AL58" s="281"/>
      <c r="AM58" s="281"/>
      <c r="AN58" s="281"/>
    </row>
    <row r="59" spans="1:40">
      <c r="A59" s="282"/>
      <c r="B59" s="326" t="s">
        <v>1166</v>
      </c>
      <c r="C59" s="758">
        <f>'Inputs and eligible population'!$I$99</f>
        <v>1</v>
      </c>
      <c r="D59" s="127">
        <f>'Financial impact (cash)'!$D$17*'Inputs and eligible population'!$H$63*'Capacity (local prices)'!$C$59</f>
        <v>0</v>
      </c>
      <c r="E59" s="127">
        <f>'Financial impact (cash)'!$D$17*'Inputs and eligible population'!$H$63*'Capacity (local prices)'!$C$59</f>
        <v>0</v>
      </c>
      <c r="F59" s="127">
        <f>'Financial impact (cash)'!$D$17*'Inputs and eligible population'!$H$63*'Capacity (local prices)'!$C$59</f>
        <v>0</v>
      </c>
      <c r="G59" s="127">
        <f>'Financial impact (cash)'!$D$17*'Inputs and eligible population'!$H$63*'Capacity (local prices)'!$C$59</f>
        <v>0</v>
      </c>
      <c r="H59" s="127">
        <f>'Financial impact (cash)'!$E$17*'Inputs and eligible population'!$H$63*'Capacity (local prices)'!$C$59</f>
        <v>0</v>
      </c>
      <c r="I59" s="127">
        <f>'Financial impact (cash)'!$F$17*'Inputs and eligible population'!$H$63*'Capacity (local prices)'!$C$59</f>
        <v>0</v>
      </c>
      <c r="J59" s="214"/>
      <c r="K59" s="528">
        <f>'Inputs and eligible population'!$K$100*'Inputs and eligible population'!I$100/60</f>
        <v>60.54</v>
      </c>
      <c r="L59" s="530">
        <f t="shared" si="39"/>
        <v>0</v>
      </c>
      <c r="M59" s="530">
        <f t="shared" si="32"/>
        <v>0</v>
      </c>
      <c r="N59" s="530">
        <f t="shared" si="33"/>
        <v>0</v>
      </c>
      <c r="O59" s="530">
        <f t="shared" si="34"/>
        <v>0</v>
      </c>
      <c r="P59" s="530">
        <f t="shared" si="35"/>
        <v>0</v>
      </c>
      <c r="Q59" s="530">
        <f t="shared" si="36"/>
        <v>0</v>
      </c>
      <c r="R59" s="132"/>
      <c r="S59" s="132"/>
      <c r="T59" s="132"/>
      <c r="U59" s="132"/>
      <c r="V59" s="132"/>
      <c r="W59" s="132"/>
      <c r="X59" s="132"/>
      <c r="Y59" s="132"/>
      <c r="Z59" s="132"/>
      <c r="AJ59" s="281"/>
      <c r="AK59" s="281"/>
      <c r="AL59" s="281"/>
      <c r="AM59" s="281"/>
      <c r="AN59" s="281"/>
    </row>
    <row r="60" spans="1:40">
      <c r="A60" s="282"/>
      <c r="B60" s="326" t="s">
        <v>1167</v>
      </c>
      <c r="C60" s="758">
        <f>'Inputs and eligible population'!$I$99</f>
        <v>1</v>
      </c>
      <c r="D60" s="127">
        <f>'Financial impact (cash)'!$D$17*'Inputs and eligible population'!$I$63*'Capacity (local prices)'!$C$60</f>
        <v>0</v>
      </c>
      <c r="E60" s="127">
        <f>'Financial impact (cash)'!$D$17*'Inputs and eligible population'!$I$63*'Capacity (local prices)'!$C$60</f>
        <v>0</v>
      </c>
      <c r="F60" s="127">
        <f>'Financial impact (cash)'!$D$17*'Inputs and eligible population'!$I$63*'Capacity (local prices)'!$C$60</f>
        <v>0</v>
      </c>
      <c r="G60" s="127">
        <f>'Financial impact (cash)'!$D$17*'Inputs and eligible population'!$I$63*'Capacity (local prices)'!$C$60</f>
        <v>0</v>
      </c>
      <c r="H60" s="127">
        <f>'Financial impact (cash)'!$D$17*'Inputs and eligible population'!$I$63*'Capacity (local prices)'!$C$60</f>
        <v>0</v>
      </c>
      <c r="I60" s="127">
        <f>'Financial impact (cash)'!$E$17*'Inputs and eligible population'!$I$63*'Capacity (local prices)'!$C$60</f>
        <v>0</v>
      </c>
      <c r="J60" s="214"/>
      <c r="K60" s="528">
        <f>'Inputs and eligible population'!$K$100*'Inputs and eligible population'!I$100/60</f>
        <v>60.54</v>
      </c>
      <c r="L60" s="530">
        <f t="shared" si="39"/>
        <v>0</v>
      </c>
      <c r="M60" s="530">
        <f t="shared" si="32"/>
        <v>0</v>
      </c>
      <c r="N60" s="530">
        <f t="shared" si="33"/>
        <v>0</v>
      </c>
      <c r="O60" s="530">
        <f t="shared" si="34"/>
        <v>0</v>
      </c>
      <c r="P60" s="530">
        <f t="shared" si="35"/>
        <v>0</v>
      </c>
      <c r="Q60" s="530">
        <f t="shared" si="36"/>
        <v>0</v>
      </c>
      <c r="R60" s="132"/>
      <c r="S60" s="132"/>
      <c r="T60" s="132"/>
      <c r="U60" s="132"/>
      <c r="V60" s="132"/>
      <c r="W60" s="132"/>
      <c r="X60" s="132"/>
      <c r="Y60" s="132"/>
      <c r="Z60" s="132"/>
      <c r="AJ60" s="281"/>
      <c r="AK60" s="281"/>
      <c r="AL60" s="281"/>
      <c r="AM60" s="281"/>
      <c r="AN60" s="281"/>
    </row>
    <row r="61" spans="1:40">
      <c r="A61" s="516"/>
      <c r="B61" s="486"/>
      <c r="C61" s="278"/>
      <c r="D61" s="184">
        <f t="shared" ref="D61:I61" si="40">SUM(D36:D60)</f>
        <v>0</v>
      </c>
      <c r="E61" s="184">
        <f t="shared" si="40"/>
        <v>0</v>
      </c>
      <c r="F61" s="184">
        <f t="shared" si="40"/>
        <v>0</v>
      </c>
      <c r="G61" s="184">
        <f t="shared" si="40"/>
        <v>0</v>
      </c>
      <c r="H61" s="184">
        <f t="shared" si="40"/>
        <v>0</v>
      </c>
      <c r="I61" s="184">
        <f t="shared" si="40"/>
        <v>0</v>
      </c>
      <c r="J61" s="522"/>
      <c r="K61" s="214"/>
      <c r="L61" s="287">
        <f t="shared" ref="L61:Q61" si="41">SUM(L36:L60)</f>
        <v>0</v>
      </c>
      <c r="M61" s="287">
        <f t="shared" si="41"/>
        <v>0</v>
      </c>
      <c r="N61" s="287">
        <f t="shared" si="41"/>
        <v>0</v>
      </c>
      <c r="O61" s="287">
        <f t="shared" si="41"/>
        <v>0</v>
      </c>
      <c r="P61" s="287">
        <f t="shared" si="41"/>
        <v>0</v>
      </c>
      <c r="Q61" s="287">
        <f t="shared" si="41"/>
        <v>0</v>
      </c>
      <c r="R61" s="132"/>
      <c r="S61" s="132"/>
      <c r="T61" s="132"/>
      <c r="U61" s="132"/>
      <c r="V61" s="132"/>
      <c r="W61" s="132"/>
      <c r="X61" s="132"/>
      <c r="Y61" s="132"/>
      <c r="Z61" s="132"/>
      <c r="AJ61" s="281"/>
      <c r="AK61" s="281"/>
      <c r="AL61" s="281"/>
      <c r="AM61" s="281"/>
      <c r="AN61" s="281"/>
    </row>
    <row r="62" spans="1:40">
      <c r="A62" s="516"/>
      <c r="B62" s="252"/>
      <c r="C62" s="252"/>
      <c r="D62" s="280" t="s">
        <v>835</v>
      </c>
      <c r="E62" s="184">
        <f>E61-$D$61</f>
        <v>0</v>
      </c>
      <c r="F62" s="184">
        <f t="shared" ref="F62:I62" si="42">F61-$D$61</f>
        <v>0</v>
      </c>
      <c r="G62" s="184">
        <f t="shared" si="42"/>
        <v>0</v>
      </c>
      <c r="H62" s="184">
        <f t="shared" si="42"/>
        <v>0</v>
      </c>
      <c r="I62" s="184">
        <f t="shared" si="42"/>
        <v>0</v>
      </c>
      <c r="J62" s="522"/>
      <c r="K62" s="214"/>
      <c r="L62" s="214"/>
      <c r="M62" s="287">
        <f>M61-$L61</f>
        <v>0</v>
      </c>
      <c r="N62" s="287">
        <f t="shared" ref="N62:Q62" si="43">N61-$L61</f>
        <v>0</v>
      </c>
      <c r="O62" s="287">
        <f t="shared" si="43"/>
        <v>0</v>
      </c>
      <c r="P62" s="287">
        <f t="shared" si="43"/>
        <v>0</v>
      </c>
      <c r="Q62" s="287">
        <f t="shared" si="43"/>
        <v>0</v>
      </c>
      <c r="R62" s="132"/>
      <c r="S62" s="132"/>
      <c r="T62" s="132"/>
      <c r="U62" s="132"/>
      <c r="V62" s="132"/>
      <c r="W62" s="132"/>
      <c r="X62" s="132"/>
      <c r="Y62" s="132"/>
      <c r="Z62" s="132"/>
      <c r="AJ62" s="281"/>
      <c r="AK62" s="281"/>
      <c r="AL62" s="281"/>
      <c r="AM62" s="281"/>
      <c r="AN62" s="281"/>
    </row>
    <row r="63" spans="1:40">
      <c r="A63" s="282"/>
      <c r="B63" s="517"/>
      <c r="C63" s="518"/>
      <c r="D63" s="519"/>
      <c r="E63" s="520"/>
      <c r="F63" s="282"/>
      <c r="G63" s="282"/>
      <c r="H63" s="282"/>
      <c r="I63" s="282"/>
      <c r="J63" s="214"/>
      <c r="K63" s="214"/>
      <c r="L63" s="214"/>
      <c r="M63" s="214"/>
      <c r="N63" s="214"/>
      <c r="O63" s="214"/>
      <c r="P63" s="214"/>
      <c r="Q63" s="214"/>
      <c r="R63" s="132"/>
      <c r="S63" s="132"/>
      <c r="T63" s="132"/>
      <c r="U63" s="132"/>
      <c r="V63" s="132"/>
      <c r="W63" s="132"/>
      <c r="X63" s="132"/>
      <c r="Y63" s="132"/>
      <c r="Z63" s="132"/>
      <c r="AJ63" s="281"/>
      <c r="AK63" s="281"/>
      <c r="AL63" s="281"/>
      <c r="AM63" s="281"/>
      <c r="AN63" s="281"/>
    </row>
    <row r="64" spans="1:40">
      <c r="A64" s="307"/>
      <c r="B64" s="308" t="s">
        <v>836</v>
      </c>
      <c r="C64" s="309"/>
      <c r="D64" s="309"/>
      <c r="E64" s="310"/>
      <c r="F64" s="311"/>
      <c r="G64" s="312"/>
      <c r="H64" s="312"/>
      <c r="I64" s="312"/>
      <c r="J64" s="759"/>
      <c r="K64" s="307"/>
      <c r="L64" s="307"/>
      <c r="M64" s="307"/>
      <c r="N64" s="307"/>
      <c r="O64" s="307"/>
      <c r="P64" s="307"/>
      <c r="Q64" s="381"/>
      <c r="V64" s="132"/>
    </row>
    <row r="65" spans="1:40">
      <c r="A65" s="307"/>
      <c r="B65" s="370" t="s">
        <v>1070</v>
      </c>
      <c r="C65" s="371"/>
      <c r="D65" s="371"/>
      <c r="E65" s="371"/>
      <c r="F65" s="371"/>
      <c r="G65" s="371"/>
      <c r="H65" s="371"/>
      <c r="I65" s="313"/>
      <c r="J65" s="760"/>
      <c r="K65" s="381"/>
      <c r="L65" s="400"/>
      <c r="M65" s="400"/>
      <c r="N65" s="400"/>
      <c r="O65" s="400"/>
      <c r="P65" s="400"/>
      <c r="Q65" s="400"/>
      <c r="V65" s="132"/>
    </row>
    <row r="66" spans="1:40" ht="74.45" customHeight="1">
      <c r="A66" s="307"/>
      <c r="B66" s="277" t="s">
        <v>757</v>
      </c>
      <c r="C66" s="165" t="s">
        <v>833</v>
      </c>
      <c r="D66" s="392" t="s">
        <v>825</v>
      </c>
      <c r="E66" s="251" t="s">
        <v>674</v>
      </c>
      <c r="F66" s="251" t="s">
        <v>675</v>
      </c>
      <c r="G66" s="164" t="s">
        <v>792</v>
      </c>
      <c r="H66" s="164" t="s">
        <v>793</v>
      </c>
      <c r="I66" s="251" t="s">
        <v>794</v>
      </c>
      <c r="J66" s="307"/>
      <c r="K66" s="515" t="s">
        <v>845</v>
      </c>
      <c r="L66" s="392" t="s">
        <v>825</v>
      </c>
      <c r="M66" s="504" t="s">
        <v>674</v>
      </c>
      <c r="N66" s="504" t="s">
        <v>675</v>
      </c>
      <c r="O66" s="393" t="s">
        <v>792</v>
      </c>
      <c r="P66" s="393" t="s">
        <v>793</v>
      </c>
      <c r="Q66" s="504" t="s">
        <v>794</v>
      </c>
      <c r="V66" s="132"/>
    </row>
    <row r="67" spans="1:40">
      <c r="A67" s="307"/>
      <c r="B67" s="326" t="s">
        <v>1143</v>
      </c>
      <c r="C67" s="758">
        <f>'Inputs and eligible population'!$F$101</f>
        <v>4</v>
      </c>
      <c r="D67" s="127">
        <f>('Financial impact (cash)'!D13*'Inputs and eligible population'!$E59/(365/'Inputs and eligible population'!D59))*$C67</f>
        <v>0</v>
      </c>
      <c r="E67" s="127">
        <f>(('Financial impact (cash)'!E13)*'Inputs and eligible population'!$E$59/(365/'Inputs and eligible population'!$D$59))*'Capacity (local prices)'!$C67</f>
        <v>0</v>
      </c>
      <c r="F67" s="127">
        <f>(('Financial impact (cash)'!F13)*'Inputs and eligible population'!$E$59/(365/'Inputs and eligible population'!$D$59))*'Capacity (local prices)'!$C67</f>
        <v>0</v>
      </c>
      <c r="G67" s="127">
        <f>(('Financial impact (cash)'!G13)*'Inputs and eligible population'!$E$59/(365/'Inputs and eligible population'!$D$59))*'Capacity (local prices)'!$C67</f>
        <v>0</v>
      </c>
      <c r="H67" s="127">
        <f>(('Financial impact (cash)'!H13)*'Inputs and eligible population'!$E$59/(365/'Inputs and eligible population'!$D$59))*'Capacity (local prices)'!$C67</f>
        <v>0</v>
      </c>
      <c r="I67" s="127">
        <f>(('Financial impact (cash)'!I13)*'Inputs and eligible population'!$E$59/(365/'Inputs and eligible population'!$D$59))*'Capacity (local prices)'!$C67</f>
        <v>0</v>
      </c>
      <c r="J67" s="381"/>
      <c r="K67" s="528">
        <f>'Inputs and eligible population'!$K$100*'Inputs and eligible population'!F$100/60</f>
        <v>60.54</v>
      </c>
      <c r="L67" s="530">
        <f>$K67/1000*D67</f>
        <v>0</v>
      </c>
      <c r="M67" s="530">
        <f t="shared" ref="M67:M91" si="44">$K67/1000*E67</f>
        <v>0</v>
      </c>
      <c r="N67" s="530">
        <f t="shared" ref="N67:N91" si="45">$K67/1000*F67</f>
        <v>0</v>
      </c>
      <c r="O67" s="530">
        <f t="shared" ref="O67:O91" si="46">$K67/1000*G67</f>
        <v>0</v>
      </c>
      <c r="P67" s="530">
        <f t="shared" ref="P67:P91" si="47">$K67/1000*H67</f>
        <v>0</v>
      </c>
      <c r="Q67" s="530">
        <f t="shared" ref="Q67:Q91" si="48">$K67/1000*I67</f>
        <v>0</v>
      </c>
      <c r="R67" s="132"/>
      <c r="S67" s="132"/>
      <c r="T67" s="132"/>
      <c r="U67" s="132"/>
      <c r="V67" s="132"/>
      <c r="W67" s="132"/>
      <c r="X67" s="132"/>
      <c r="Y67" s="132"/>
      <c r="Z67" s="132"/>
      <c r="AJ67" s="281"/>
      <c r="AK67" s="281"/>
      <c r="AL67" s="281"/>
      <c r="AM67" s="281"/>
      <c r="AN67" s="281"/>
    </row>
    <row r="68" spans="1:40">
      <c r="A68" s="307"/>
      <c r="B68" s="326" t="s">
        <v>1144</v>
      </c>
      <c r="C68" s="758">
        <f>'Inputs and eligible population'!$F$101</f>
        <v>4</v>
      </c>
      <c r="D68" s="127">
        <f>(('Financial impact (cash)'!D13)*'Inputs and eligible population'!$F$59/(365/'Inputs and eligible population'!$D$59))*'Capacity (local prices)'!$C68</f>
        <v>0</v>
      </c>
      <c r="E68" s="127">
        <f>(('Financial impact (cash)'!D13)*'Inputs and eligible population'!$F$59/(365/'Inputs and eligible population'!$D$59))*'Capacity (local prices)'!$C68</f>
        <v>0</v>
      </c>
      <c r="F68" s="127">
        <f>(('Financial impact (cash)'!E13)*'Inputs and eligible population'!$F$59/(365/'Inputs and eligible population'!$D$59))*'Capacity (local prices)'!$C68</f>
        <v>0</v>
      </c>
      <c r="G68" s="127">
        <f>(('Financial impact (cash)'!F13)*'Inputs and eligible population'!$F$59/(365/'Inputs and eligible population'!$D$59))*'Capacity (local prices)'!$C68</f>
        <v>0</v>
      </c>
      <c r="H68" s="127">
        <f>(('Financial impact (cash)'!G13)*'Inputs and eligible population'!$F$59/(365/'Inputs and eligible population'!$D$59))*'Capacity (local prices)'!$C68</f>
        <v>0</v>
      </c>
      <c r="I68" s="127">
        <f>(('Financial impact (cash)'!H13)*'Inputs and eligible population'!$F$59/(365/'Inputs and eligible population'!$D$59))*'Capacity (local prices)'!$C68</f>
        <v>0</v>
      </c>
      <c r="J68" s="381"/>
      <c r="K68" s="528">
        <f>'Inputs and eligible population'!$K$100*'Inputs and eligible population'!F$100/60</f>
        <v>60.54</v>
      </c>
      <c r="L68" s="530">
        <f t="shared" ref="L68:L71" si="49">$K68/1000*D68</f>
        <v>0</v>
      </c>
      <c r="M68" s="530">
        <f t="shared" si="44"/>
        <v>0</v>
      </c>
      <c r="N68" s="530">
        <f t="shared" si="45"/>
        <v>0</v>
      </c>
      <c r="O68" s="530">
        <f t="shared" si="46"/>
        <v>0</v>
      </c>
      <c r="P68" s="530">
        <f t="shared" si="47"/>
        <v>0</v>
      </c>
      <c r="Q68" s="530">
        <f t="shared" si="48"/>
        <v>0</v>
      </c>
      <c r="R68" s="132"/>
      <c r="S68" s="132"/>
      <c r="T68" s="132"/>
      <c r="U68" s="132"/>
      <c r="V68" s="132"/>
      <c r="W68" s="132"/>
      <c r="X68" s="132"/>
      <c r="Y68" s="132"/>
      <c r="Z68" s="132"/>
      <c r="AJ68" s="281"/>
      <c r="AK68" s="281"/>
      <c r="AL68" s="281"/>
      <c r="AM68" s="281"/>
      <c r="AN68" s="281"/>
    </row>
    <row r="69" spans="1:40">
      <c r="A69" s="307"/>
      <c r="B69" s="326" t="s">
        <v>1145</v>
      </c>
      <c r="C69" s="758">
        <f>'Inputs and eligible population'!$F$101</f>
        <v>4</v>
      </c>
      <c r="D69" s="127">
        <f>(('Financial impact (cash)'!D13)*'Inputs and eligible population'!$G$59/(365/'Inputs and eligible population'!$D$59))*'Capacity (local prices)'!$C69</f>
        <v>0</v>
      </c>
      <c r="E69" s="127">
        <f>(('Financial impact (cash)'!D13)*'Inputs and eligible population'!$G$59/(365/'Inputs and eligible population'!$D$59))*'Capacity (local prices)'!$C69</f>
        <v>0</v>
      </c>
      <c r="F69" s="127">
        <f>(('Financial impact (cash)'!D13)*'Inputs and eligible population'!$G$59/(365/'Inputs and eligible population'!$D$59))*'Capacity (local prices)'!$C69</f>
        <v>0</v>
      </c>
      <c r="G69" s="127">
        <f>(('Financial impact (cash)'!E13)*'Inputs and eligible population'!$G$59/(365/'Inputs and eligible population'!$D$59))*'Capacity (local prices)'!$C69</f>
        <v>0</v>
      </c>
      <c r="H69" s="127">
        <f>(('Financial impact (cash)'!F13)*'Inputs and eligible population'!$G$59/(365/'Inputs and eligible population'!$D$59))*'Capacity (local prices)'!$C69</f>
        <v>0</v>
      </c>
      <c r="I69" s="127">
        <f>(('Financial impact (cash)'!G13)*'Inputs and eligible population'!$G$59/(365/'Inputs and eligible population'!$D$59))*'Capacity (local prices)'!$C69</f>
        <v>0</v>
      </c>
      <c r="J69" s="381"/>
      <c r="K69" s="528">
        <f>'Inputs and eligible population'!$K$100*'Inputs and eligible population'!F$100/60</f>
        <v>60.54</v>
      </c>
      <c r="L69" s="530">
        <f t="shared" si="49"/>
        <v>0</v>
      </c>
      <c r="M69" s="530">
        <f t="shared" si="44"/>
        <v>0</v>
      </c>
      <c r="N69" s="530">
        <f t="shared" si="45"/>
        <v>0</v>
      </c>
      <c r="O69" s="530">
        <f t="shared" si="46"/>
        <v>0</v>
      </c>
      <c r="P69" s="530">
        <f t="shared" si="47"/>
        <v>0</v>
      </c>
      <c r="Q69" s="530">
        <f t="shared" si="48"/>
        <v>0</v>
      </c>
      <c r="R69" s="132"/>
      <c r="S69" s="132"/>
      <c r="T69" s="132"/>
      <c r="U69" s="132"/>
      <c r="V69" s="132"/>
      <c r="W69" s="132"/>
      <c r="X69" s="132"/>
      <c r="Y69" s="132"/>
      <c r="Z69" s="132"/>
      <c r="AJ69" s="281"/>
      <c r="AK69" s="281"/>
      <c r="AL69" s="281"/>
      <c r="AM69" s="281"/>
      <c r="AN69" s="281"/>
    </row>
    <row r="70" spans="1:40">
      <c r="A70" s="307"/>
      <c r="B70" s="326" t="s">
        <v>1146</v>
      </c>
      <c r="C70" s="758">
        <f>'Inputs and eligible population'!$F$101</f>
        <v>4</v>
      </c>
      <c r="D70" s="127">
        <f>(('Financial impact (cash)'!D13)*'Inputs and eligible population'!$H$59/(365/'Inputs and eligible population'!$D$59))*'Capacity (local prices)'!$C70</f>
        <v>0</v>
      </c>
      <c r="E70" s="127">
        <f>(('Financial impact (cash)'!D13)*'Inputs and eligible population'!$H$59/(365/'Inputs and eligible population'!$D$59))*'Capacity (local prices)'!$C70</f>
        <v>0</v>
      </c>
      <c r="F70" s="127">
        <f>(('Financial impact (cash)'!D13)*'Inputs and eligible population'!$H$59/(365/'Inputs and eligible population'!$D$59))*'Capacity (local prices)'!$C70</f>
        <v>0</v>
      </c>
      <c r="G70" s="127">
        <f>(('Financial impact (cash)'!D13)*'Inputs and eligible population'!$H$59/(365/'Inputs and eligible population'!$D$59))*'Capacity (local prices)'!$C70</f>
        <v>0</v>
      </c>
      <c r="H70" s="127">
        <f>(('Financial impact (cash)'!E13)*'Inputs and eligible population'!$H$59/(365/'Inputs and eligible population'!$D$59))*'Capacity (local prices)'!$C70</f>
        <v>0</v>
      </c>
      <c r="I70" s="127">
        <f>(('Financial impact (cash)'!F13)*'Inputs and eligible population'!$H$59/(365/'Inputs and eligible population'!$D$59))*'Capacity (local prices)'!$C70</f>
        <v>0</v>
      </c>
      <c r="J70" s="381"/>
      <c r="K70" s="528">
        <f>'Inputs and eligible population'!$K$100*'Inputs and eligible population'!F$100/60</f>
        <v>60.54</v>
      </c>
      <c r="L70" s="530">
        <f t="shared" si="49"/>
        <v>0</v>
      </c>
      <c r="M70" s="530">
        <f t="shared" si="44"/>
        <v>0</v>
      </c>
      <c r="N70" s="530">
        <f t="shared" si="45"/>
        <v>0</v>
      </c>
      <c r="O70" s="530">
        <f t="shared" si="46"/>
        <v>0</v>
      </c>
      <c r="P70" s="530">
        <f t="shared" si="47"/>
        <v>0</v>
      </c>
      <c r="Q70" s="530">
        <f t="shared" si="48"/>
        <v>0</v>
      </c>
      <c r="R70" s="132"/>
      <c r="S70" s="132"/>
      <c r="T70" s="132"/>
      <c r="U70" s="132"/>
      <c r="V70" s="132"/>
      <c r="W70" s="132"/>
      <c r="X70" s="132"/>
      <c r="Y70" s="132"/>
      <c r="Z70" s="132"/>
      <c r="AJ70" s="281"/>
      <c r="AK70" s="281"/>
      <c r="AL70" s="281"/>
      <c r="AM70" s="281"/>
      <c r="AN70" s="281"/>
    </row>
    <row r="71" spans="1:40">
      <c r="A71" s="307"/>
      <c r="B71" s="326" t="s">
        <v>1147</v>
      </c>
      <c r="C71" s="758">
        <f>'Inputs and eligible population'!$F$101</f>
        <v>4</v>
      </c>
      <c r="D71" s="127">
        <f>(('Financial impact (cash)'!D13)*'Inputs and eligible population'!$I$59/(365/'Inputs and eligible population'!$D$59))*'Capacity (local prices)'!$C71</f>
        <v>0</v>
      </c>
      <c r="E71" s="127">
        <f>(('Financial impact (cash)'!D13)*'Inputs and eligible population'!$I$59/(365/'Inputs and eligible population'!$D$59))*'Capacity (local prices)'!$C71</f>
        <v>0</v>
      </c>
      <c r="F71" s="127">
        <f>(('Financial impact (cash)'!D13)*'Inputs and eligible population'!$I$59/(365/'Inputs and eligible population'!$D$59))*'Capacity (local prices)'!$C71</f>
        <v>0</v>
      </c>
      <c r="G71" s="127">
        <f>(('Financial impact (cash)'!D13)*'Inputs and eligible population'!$I$59/(365/'Inputs and eligible population'!$D$59))*'Capacity (local prices)'!$C71</f>
        <v>0</v>
      </c>
      <c r="H71" s="127">
        <f>(('Financial impact (cash)'!D13)*'Inputs and eligible population'!$I$59/(365/'Inputs and eligible population'!$D$59))*'Capacity (local prices)'!$C71</f>
        <v>0</v>
      </c>
      <c r="I71" s="127">
        <f>(('Financial impact (cash)'!E13)*'Inputs and eligible population'!$I$59/(365/'Inputs and eligible population'!$D$59))*'Capacity (local prices)'!$C71</f>
        <v>0</v>
      </c>
      <c r="J71" s="381"/>
      <c r="K71" s="528">
        <f>'Inputs and eligible population'!$K$100*'Inputs and eligible population'!F$100/60</f>
        <v>60.54</v>
      </c>
      <c r="L71" s="530">
        <f t="shared" si="49"/>
        <v>0</v>
      </c>
      <c r="M71" s="530">
        <f t="shared" si="44"/>
        <v>0</v>
      </c>
      <c r="N71" s="530">
        <f t="shared" si="45"/>
        <v>0</v>
      </c>
      <c r="O71" s="530">
        <f t="shared" si="46"/>
        <v>0</v>
      </c>
      <c r="P71" s="530">
        <f t="shared" si="47"/>
        <v>0</v>
      </c>
      <c r="Q71" s="530">
        <f t="shared" si="48"/>
        <v>0</v>
      </c>
      <c r="R71" s="132"/>
      <c r="S71" s="132"/>
      <c r="T71" s="132"/>
      <c r="U71" s="132"/>
      <c r="V71" s="132"/>
      <c r="W71" s="132"/>
      <c r="X71" s="132"/>
      <c r="Y71" s="132"/>
      <c r="Z71" s="132"/>
      <c r="AJ71" s="281"/>
      <c r="AK71" s="281"/>
      <c r="AL71" s="281"/>
      <c r="AM71" s="281"/>
      <c r="AN71" s="281"/>
    </row>
    <row r="72" spans="1:40">
      <c r="A72" s="307"/>
      <c r="B72" s="326" t="s">
        <v>1148</v>
      </c>
      <c r="C72" s="758">
        <f>'Inputs and eligible population'!$F$101</f>
        <v>4</v>
      </c>
      <c r="D72" s="127">
        <f>('Financial impact (cash)'!D14*'Inputs and eligible population'!$E60/(365/'Inputs and eligible population'!D60))*$C72</f>
        <v>0</v>
      </c>
      <c r="E72" s="127">
        <f>(('Financial impact (cash)'!E14)*'Inputs and eligible population'!$E$60/(365/'Inputs and eligible population'!$D$60))*'Capacity (local prices)'!$C72</f>
        <v>0</v>
      </c>
      <c r="F72" s="127">
        <f>(('Financial impact (cash)'!F14)*'Inputs and eligible population'!$E$60/(365/'Inputs and eligible population'!$D$60))*'Capacity (local prices)'!$C72</f>
        <v>0</v>
      </c>
      <c r="G72" s="127">
        <f>(('Financial impact (cash)'!G14)*'Inputs and eligible population'!$E$60/(365/'Inputs and eligible population'!$D$60))*'Capacity (local prices)'!$C72</f>
        <v>0</v>
      </c>
      <c r="H72" s="127">
        <f>(('Financial impact (cash)'!H14)*'Inputs and eligible population'!$E$60/(365/'Inputs and eligible population'!$D$60))*'Capacity (local prices)'!$C72</f>
        <v>0</v>
      </c>
      <c r="I72" s="127">
        <f>(('Financial impact (cash)'!I14)*'Inputs and eligible population'!$E$60/(365/'Inputs and eligible population'!$D$60))*'Capacity (local prices)'!$C72</f>
        <v>0</v>
      </c>
      <c r="J72" s="381"/>
      <c r="K72" s="528">
        <f>'Inputs and eligible population'!$K$100*'Inputs and eligible population'!F$100/60</f>
        <v>60.54</v>
      </c>
      <c r="L72" s="530">
        <f>$K72/1000*D72</f>
        <v>0</v>
      </c>
      <c r="M72" s="530">
        <f t="shared" si="44"/>
        <v>0</v>
      </c>
      <c r="N72" s="530">
        <f t="shared" si="45"/>
        <v>0</v>
      </c>
      <c r="O72" s="530">
        <f t="shared" si="46"/>
        <v>0</v>
      </c>
      <c r="P72" s="530">
        <f t="shared" si="47"/>
        <v>0</v>
      </c>
      <c r="Q72" s="530">
        <f t="shared" si="48"/>
        <v>0</v>
      </c>
      <c r="R72" s="132"/>
      <c r="S72" s="132"/>
      <c r="T72" s="132"/>
      <c r="U72" s="132"/>
      <c r="V72" s="132"/>
      <c r="W72" s="132"/>
      <c r="X72" s="132"/>
      <c r="Y72" s="132"/>
      <c r="Z72" s="132"/>
      <c r="AJ72" s="281"/>
      <c r="AK72" s="281"/>
      <c r="AL72" s="281"/>
      <c r="AM72" s="281"/>
      <c r="AN72" s="281"/>
    </row>
    <row r="73" spans="1:40">
      <c r="A73" s="307"/>
      <c r="B73" s="326" t="s">
        <v>1149</v>
      </c>
      <c r="C73" s="758">
        <f>'Inputs and eligible population'!$F$101</f>
        <v>4</v>
      </c>
      <c r="D73" s="127">
        <f>(('Financial impact (cash)'!D14)*'Inputs and eligible population'!$F$60/(365/'Inputs and eligible population'!$D$60))*'Capacity (local prices)'!$C73</f>
        <v>0</v>
      </c>
      <c r="E73" s="127">
        <f>(('Financial impact (cash)'!D14)*'Inputs and eligible population'!$F$60/(365/'Inputs and eligible population'!$D$60))*'Capacity (local prices)'!$C73</f>
        <v>0</v>
      </c>
      <c r="F73" s="127">
        <f>(('Financial impact (cash)'!E14)*'Inputs and eligible population'!$F$60/(365/'Inputs and eligible population'!$D$60))*'Capacity (local prices)'!$C73</f>
        <v>0</v>
      </c>
      <c r="G73" s="127">
        <f>(('Financial impact (cash)'!F14)*'Inputs and eligible population'!$F$60/(365/'Inputs and eligible population'!$D$60))*'Capacity (local prices)'!$C73</f>
        <v>0</v>
      </c>
      <c r="H73" s="127">
        <f>(('Financial impact (cash)'!G14)*'Inputs and eligible population'!$F$60/(365/'Inputs and eligible population'!$D$60))*'Capacity (local prices)'!$C73</f>
        <v>0</v>
      </c>
      <c r="I73" s="127">
        <f>(('Financial impact (cash)'!H14)*'Inputs and eligible population'!$F$60/(365/'Inputs and eligible population'!$D$60))*'Capacity (local prices)'!$C73</f>
        <v>0</v>
      </c>
      <c r="J73" s="381"/>
      <c r="K73" s="528">
        <f>'Inputs and eligible population'!$K$100*'Inputs and eligible population'!F$100/60</f>
        <v>60.54</v>
      </c>
      <c r="L73" s="530">
        <f t="shared" ref="L73:L91" si="50">$K73/1000*D73</f>
        <v>0</v>
      </c>
      <c r="M73" s="530">
        <f t="shared" si="44"/>
        <v>0</v>
      </c>
      <c r="N73" s="530">
        <f t="shared" si="45"/>
        <v>0</v>
      </c>
      <c r="O73" s="530">
        <f t="shared" si="46"/>
        <v>0</v>
      </c>
      <c r="P73" s="530">
        <f t="shared" si="47"/>
        <v>0</v>
      </c>
      <c r="Q73" s="530">
        <f t="shared" si="48"/>
        <v>0</v>
      </c>
      <c r="R73" s="132"/>
      <c r="S73" s="132"/>
      <c r="T73" s="132"/>
      <c r="U73" s="132"/>
      <c r="V73" s="132"/>
      <c r="W73" s="132"/>
      <c r="X73" s="132"/>
      <c r="Y73" s="132"/>
      <c r="Z73" s="132"/>
      <c r="AJ73" s="281"/>
      <c r="AK73" s="281"/>
      <c r="AL73" s="281"/>
      <c r="AM73" s="281"/>
      <c r="AN73" s="281"/>
    </row>
    <row r="74" spans="1:40">
      <c r="A74" s="307"/>
      <c r="B74" s="326" t="s">
        <v>1150</v>
      </c>
      <c r="C74" s="758">
        <f>'Inputs and eligible population'!$F$101</f>
        <v>4</v>
      </c>
      <c r="D74" s="127">
        <f>(('Financial impact (cash)'!D14)*'Inputs and eligible population'!$G$60/(365/'Inputs and eligible population'!$D$60))*'Capacity (local prices)'!$C74</f>
        <v>0</v>
      </c>
      <c r="E74" s="127">
        <f>(('Financial impact (cash)'!D14)*'Inputs and eligible population'!$G$60/(365/'Inputs and eligible population'!$D$60))*'Capacity (local prices)'!$C74</f>
        <v>0</v>
      </c>
      <c r="F74" s="127">
        <f>(('Financial impact (cash)'!D14)*'Inputs and eligible population'!$G$60/(365/'Inputs and eligible population'!$D$60))*'Capacity (local prices)'!$C74</f>
        <v>0</v>
      </c>
      <c r="G74" s="127">
        <f>(('Financial impact (cash)'!E14)*'Inputs and eligible population'!$G$60/(365/'Inputs and eligible population'!$D$60))*'Capacity (local prices)'!$C74</f>
        <v>0</v>
      </c>
      <c r="H74" s="127">
        <f>(('Financial impact (cash)'!F14)*'Inputs and eligible population'!$G$60/(365/'Inputs and eligible population'!$D$60))*'Capacity (local prices)'!$C74</f>
        <v>0</v>
      </c>
      <c r="I74" s="127">
        <f>(('Financial impact (cash)'!G14)*'Inputs and eligible population'!$G$60/(365/'Inputs and eligible population'!$D$60))*'Capacity (local prices)'!$C74</f>
        <v>0</v>
      </c>
      <c r="J74" s="381"/>
      <c r="K74" s="528">
        <f>'Inputs and eligible population'!$K$100*'Inputs and eligible population'!F$100/60</f>
        <v>60.54</v>
      </c>
      <c r="L74" s="530">
        <f t="shared" si="50"/>
        <v>0</v>
      </c>
      <c r="M74" s="530">
        <f t="shared" si="44"/>
        <v>0</v>
      </c>
      <c r="N74" s="530">
        <f t="shared" si="45"/>
        <v>0</v>
      </c>
      <c r="O74" s="530">
        <f t="shared" si="46"/>
        <v>0</v>
      </c>
      <c r="P74" s="530">
        <f t="shared" si="47"/>
        <v>0</v>
      </c>
      <c r="Q74" s="530">
        <f t="shared" si="48"/>
        <v>0</v>
      </c>
      <c r="R74" s="132"/>
      <c r="S74" s="132"/>
      <c r="T74" s="132"/>
      <c r="U74" s="132"/>
      <c r="V74" s="132"/>
      <c r="W74" s="132"/>
      <c r="X74" s="132"/>
      <c r="Y74" s="132"/>
      <c r="Z74" s="132"/>
      <c r="AJ74" s="281"/>
      <c r="AK74" s="281"/>
      <c r="AL74" s="281"/>
      <c r="AM74" s="281"/>
      <c r="AN74" s="281"/>
    </row>
    <row r="75" spans="1:40">
      <c r="A75" s="307"/>
      <c r="B75" s="326" t="s">
        <v>1151</v>
      </c>
      <c r="C75" s="758">
        <f>'Inputs and eligible population'!$F$101</f>
        <v>4</v>
      </c>
      <c r="D75" s="127">
        <f>(('Financial impact (cash)'!D14)*'Inputs and eligible population'!$H$60/(365/'Inputs and eligible population'!$D$60))*'Capacity (local prices)'!$C75</f>
        <v>0</v>
      </c>
      <c r="E75" s="127">
        <f>(('Financial impact (cash)'!D14)*'Inputs and eligible population'!$H$60/(365/'Inputs and eligible population'!$D$60))*'Capacity (local prices)'!$C75</f>
        <v>0</v>
      </c>
      <c r="F75" s="127">
        <f>(('Financial impact (cash)'!D14)*'Inputs and eligible population'!$H$60/(365/'Inputs and eligible population'!$D$60))*'Capacity (local prices)'!$C75</f>
        <v>0</v>
      </c>
      <c r="G75" s="127">
        <f>(('Financial impact (cash)'!D14)*'Inputs and eligible population'!$H$60/(365/'Inputs and eligible population'!$D$60))*'Capacity (local prices)'!$C75</f>
        <v>0</v>
      </c>
      <c r="H75" s="127">
        <f>(('Financial impact (cash)'!E14)*'Inputs and eligible population'!$H$60/(365/'Inputs and eligible population'!$D$60))*'Capacity (local prices)'!$C75</f>
        <v>0</v>
      </c>
      <c r="I75" s="127">
        <f>(('Financial impact (cash)'!F14)*'Inputs and eligible population'!$H$60/(365/'Inputs and eligible population'!$D$60))*'Capacity (local prices)'!$C75</f>
        <v>0</v>
      </c>
      <c r="J75" s="381"/>
      <c r="K75" s="528">
        <f>'Inputs and eligible population'!$K$100*'Inputs and eligible population'!F$100/60</f>
        <v>60.54</v>
      </c>
      <c r="L75" s="530">
        <f t="shared" si="50"/>
        <v>0</v>
      </c>
      <c r="M75" s="530">
        <f t="shared" si="44"/>
        <v>0</v>
      </c>
      <c r="N75" s="530">
        <f t="shared" si="45"/>
        <v>0</v>
      </c>
      <c r="O75" s="530">
        <f t="shared" si="46"/>
        <v>0</v>
      </c>
      <c r="P75" s="530">
        <f t="shared" si="47"/>
        <v>0</v>
      </c>
      <c r="Q75" s="530">
        <f t="shared" si="48"/>
        <v>0</v>
      </c>
      <c r="R75" s="132"/>
      <c r="S75" s="132"/>
      <c r="T75" s="132"/>
      <c r="U75" s="132"/>
      <c r="V75" s="132"/>
      <c r="W75" s="132"/>
      <c r="X75" s="132"/>
      <c r="Y75" s="132"/>
      <c r="Z75" s="132"/>
      <c r="AJ75" s="281"/>
      <c r="AK75" s="281"/>
      <c r="AL75" s="281"/>
      <c r="AM75" s="281"/>
      <c r="AN75" s="281"/>
    </row>
    <row r="76" spans="1:40">
      <c r="A76" s="307"/>
      <c r="B76" s="326" t="s">
        <v>1152</v>
      </c>
      <c r="C76" s="758">
        <f>'Inputs and eligible population'!$F$101</f>
        <v>4</v>
      </c>
      <c r="D76" s="127">
        <f>(('Financial impact (cash)'!D14)*'Inputs and eligible population'!$I$60/(365/'Inputs and eligible population'!$D$60))*'Capacity (local prices)'!$C76</f>
        <v>0</v>
      </c>
      <c r="E76" s="127">
        <f>(('Financial impact (cash)'!D14)*'Inputs and eligible population'!$I$60/(365/'Inputs and eligible population'!$D$60))*'Capacity (local prices)'!$C76</f>
        <v>0</v>
      </c>
      <c r="F76" s="127">
        <f>(('Financial impact (cash)'!D14)*'Inputs and eligible population'!$I$60/(365/'Inputs and eligible population'!$D$60))*'Capacity (local prices)'!$C76</f>
        <v>0</v>
      </c>
      <c r="G76" s="127">
        <f>(('Financial impact (cash)'!D14)*'Inputs and eligible population'!$I$60/(365/'Inputs and eligible population'!$D$60))*'Capacity (local prices)'!$C76</f>
        <v>0</v>
      </c>
      <c r="H76" s="127">
        <f>(('Financial impact (cash)'!D14)*'Inputs and eligible population'!$I$60/(365/'Inputs and eligible population'!$D$60))*'Capacity (local prices)'!$C76</f>
        <v>0</v>
      </c>
      <c r="I76" s="127">
        <f>(('Financial impact (cash)'!E14)*'Inputs and eligible population'!$I$60/(365/'Inputs and eligible population'!$D$60))*'Capacity (local prices)'!$C76</f>
        <v>0</v>
      </c>
      <c r="J76" s="381"/>
      <c r="K76" s="528">
        <f>'Inputs and eligible population'!$K$100*'Inputs and eligible population'!F$100/60</f>
        <v>60.54</v>
      </c>
      <c r="L76" s="530">
        <f t="shared" si="50"/>
        <v>0</v>
      </c>
      <c r="M76" s="530">
        <f t="shared" si="44"/>
        <v>0</v>
      </c>
      <c r="N76" s="530">
        <f t="shared" si="45"/>
        <v>0</v>
      </c>
      <c r="O76" s="530">
        <f t="shared" si="46"/>
        <v>0</v>
      </c>
      <c r="P76" s="530">
        <f t="shared" si="47"/>
        <v>0</v>
      </c>
      <c r="Q76" s="530">
        <f t="shared" si="48"/>
        <v>0</v>
      </c>
      <c r="R76" s="132"/>
      <c r="S76" s="132"/>
      <c r="T76" s="132"/>
      <c r="U76" s="132"/>
      <c r="V76" s="132"/>
      <c r="W76" s="132"/>
      <c r="X76" s="132"/>
      <c r="Y76" s="132"/>
      <c r="Z76" s="132"/>
      <c r="AJ76" s="281"/>
      <c r="AK76" s="281"/>
      <c r="AL76" s="281"/>
      <c r="AM76" s="281"/>
      <c r="AN76" s="281"/>
    </row>
    <row r="77" spans="1:40">
      <c r="A77" s="307"/>
      <c r="B77" s="326" t="s">
        <v>1153</v>
      </c>
      <c r="C77" s="758">
        <f>'Inputs and eligible population'!$G$101</f>
        <v>4</v>
      </c>
      <c r="D77" s="127">
        <f>('Financial impact (cash)'!D15*'Inputs and eligible population'!$E61/(365/'Inputs and eligible population'!D61))*$C77</f>
        <v>0</v>
      </c>
      <c r="E77" s="127">
        <f>(('Financial impact (cash)'!E15)*'Inputs and eligible population'!$E$61/(365/'Inputs and eligible population'!$D$61))*'Capacity (local prices)'!$C77</f>
        <v>0</v>
      </c>
      <c r="F77" s="127">
        <f>(('Financial impact (cash)'!F15)*'Inputs and eligible population'!$E$61/(365/'Inputs and eligible population'!$D$61))*'Capacity (local prices)'!$C77</f>
        <v>0</v>
      </c>
      <c r="G77" s="127">
        <f>(('Financial impact (cash)'!G15)*'Inputs and eligible population'!$E$61/(365/'Inputs and eligible population'!$D$61))*'Capacity (local prices)'!$C77</f>
        <v>0</v>
      </c>
      <c r="H77" s="127">
        <f>(('Financial impact (cash)'!H15)*'Inputs and eligible population'!$E$61/(365/'Inputs and eligible population'!$D$61))*'Capacity (local prices)'!$C77</f>
        <v>0</v>
      </c>
      <c r="I77" s="127">
        <f>(('Financial impact (cash)'!I15)*'Inputs and eligible population'!$E$61/(365/'Inputs and eligible population'!$D$61))*'Capacity (local prices)'!$C77</f>
        <v>0</v>
      </c>
      <c r="J77" s="381"/>
      <c r="K77" s="528">
        <f>'Inputs and eligible population'!$K$100*'Inputs and eligible population'!G$100/60</f>
        <v>60.54</v>
      </c>
      <c r="L77" s="530">
        <f t="shared" si="50"/>
        <v>0</v>
      </c>
      <c r="M77" s="530">
        <f t="shared" si="44"/>
        <v>0</v>
      </c>
      <c r="N77" s="530">
        <f t="shared" si="45"/>
        <v>0</v>
      </c>
      <c r="O77" s="530">
        <f t="shared" si="46"/>
        <v>0</v>
      </c>
      <c r="P77" s="530">
        <f t="shared" si="47"/>
        <v>0</v>
      </c>
      <c r="Q77" s="530">
        <f t="shared" si="48"/>
        <v>0</v>
      </c>
      <c r="R77" s="132"/>
      <c r="S77" s="132"/>
      <c r="T77" s="132"/>
      <c r="U77" s="132"/>
      <c r="V77" s="132"/>
      <c r="W77" s="132"/>
      <c r="X77" s="132"/>
      <c r="Y77" s="132"/>
      <c r="Z77" s="132"/>
      <c r="AJ77" s="281"/>
      <c r="AK77" s="281"/>
      <c r="AL77" s="281"/>
      <c r="AM77" s="281"/>
      <c r="AN77" s="281"/>
    </row>
    <row r="78" spans="1:40">
      <c r="A78" s="307"/>
      <c r="B78" s="326" t="s">
        <v>1154</v>
      </c>
      <c r="C78" s="758">
        <f>'Inputs and eligible population'!$G$101</f>
        <v>4</v>
      </c>
      <c r="D78" s="127">
        <f>(('Financial impact (cash)'!D15)*'Inputs and eligible population'!$F$61/(365/'Inputs and eligible population'!$D$61))*'Capacity (local prices)'!$C78</f>
        <v>0</v>
      </c>
      <c r="E78" s="127">
        <f>(('Financial impact (cash)'!D15)*'Inputs and eligible population'!$F$61/(365/'Inputs and eligible population'!$D$61))*'Capacity (local prices)'!$C78</f>
        <v>0</v>
      </c>
      <c r="F78" s="127">
        <f>(('Financial impact (cash)'!E15)*'Inputs and eligible population'!$F$61/(365/'Inputs and eligible population'!$D$61))*'Capacity (local prices)'!$C78</f>
        <v>0</v>
      </c>
      <c r="G78" s="127">
        <f>(('Financial impact (cash)'!F15)*'Inputs and eligible population'!$F$61/(365/'Inputs and eligible population'!$D$61))*'Capacity (local prices)'!$C78</f>
        <v>0</v>
      </c>
      <c r="H78" s="127">
        <f>(('Financial impact (cash)'!G15)*'Inputs and eligible population'!$F$61/(365/'Inputs and eligible population'!$D$61))*'Capacity (local prices)'!$C78</f>
        <v>0</v>
      </c>
      <c r="I78" s="127">
        <f>(('Financial impact (cash)'!H15)*'Inputs and eligible population'!$F$61/(365/'Inputs and eligible population'!$D$61))*'Capacity (local prices)'!$C78</f>
        <v>0</v>
      </c>
      <c r="J78" s="381"/>
      <c r="K78" s="528">
        <f>'Inputs and eligible population'!$K$100*'Inputs and eligible population'!G$100/60</f>
        <v>60.54</v>
      </c>
      <c r="L78" s="530">
        <f t="shared" si="50"/>
        <v>0</v>
      </c>
      <c r="M78" s="530">
        <f t="shared" si="44"/>
        <v>0</v>
      </c>
      <c r="N78" s="530">
        <f t="shared" si="45"/>
        <v>0</v>
      </c>
      <c r="O78" s="530">
        <f t="shared" si="46"/>
        <v>0</v>
      </c>
      <c r="P78" s="530">
        <f t="shared" si="47"/>
        <v>0</v>
      </c>
      <c r="Q78" s="530">
        <f t="shared" si="48"/>
        <v>0</v>
      </c>
      <c r="R78" s="132"/>
      <c r="S78" s="132"/>
      <c r="T78" s="132"/>
      <c r="U78" s="132"/>
      <c r="V78" s="132"/>
      <c r="W78" s="132"/>
      <c r="X78" s="132"/>
      <c r="Y78" s="132"/>
      <c r="Z78" s="132"/>
      <c r="AJ78" s="281"/>
      <c r="AK78" s="281"/>
      <c r="AL78" s="281"/>
      <c r="AM78" s="281"/>
      <c r="AN78" s="281"/>
    </row>
    <row r="79" spans="1:40">
      <c r="A79" s="307"/>
      <c r="B79" s="326" t="s">
        <v>1155</v>
      </c>
      <c r="C79" s="758">
        <f>'Inputs and eligible population'!$G$101</f>
        <v>4</v>
      </c>
      <c r="D79" s="127">
        <f>(('Financial impact (cash)'!D15)*'Inputs and eligible population'!$G$61/(365/'Inputs and eligible population'!$D$61))*'Capacity (local prices)'!$C79</f>
        <v>0</v>
      </c>
      <c r="E79" s="127">
        <f>(('Financial impact (cash)'!D15)*'Inputs and eligible population'!$G$61/(365/'Inputs and eligible population'!$D$61))*'Capacity (local prices)'!$C79</f>
        <v>0</v>
      </c>
      <c r="F79" s="127">
        <f>(('Financial impact (cash)'!D15)*'Inputs and eligible population'!$G$61/(365/'Inputs and eligible population'!$D$61))*'Capacity (local prices)'!$C79</f>
        <v>0</v>
      </c>
      <c r="G79" s="127">
        <f>(('Financial impact (cash)'!E15)*'Inputs and eligible population'!$G$61/(365/'Inputs and eligible population'!$D$61))*'Capacity (local prices)'!$C79</f>
        <v>0</v>
      </c>
      <c r="H79" s="127">
        <f>(('Financial impact (cash)'!F15)*'Inputs and eligible population'!$G$61/(365/'Inputs and eligible population'!$D$61))*'Capacity (local prices)'!$C79</f>
        <v>0</v>
      </c>
      <c r="I79" s="127">
        <f>(('Financial impact (cash)'!G15)*'Inputs and eligible population'!$G$61/(365/'Inputs and eligible population'!$D$61))*'Capacity (local prices)'!$C79</f>
        <v>0</v>
      </c>
      <c r="J79" s="381"/>
      <c r="K79" s="528">
        <f>'Inputs and eligible population'!$K$100*'Inputs and eligible population'!G$100/60</f>
        <v>60.54</v>
      </c>
      <c r="L79" s="530">
        <f t="shared" si="50"/>
        <v>0</v>
      </c>
      <c r="M79" s="530">
        <f t="shared" si="44"/>
        <v>0</v>
      </c>
      <c r="N79" s="530">
        <f t="shared" si="45"/>
        <v>0</v>
      </c>
      <c r="O79" s="530">
        <f t="shared" si="46"/>
        <v>0</v>
      </c>
      <c r="P79" s="530">
        <f t="shared" si="47"/>
        <v>0</v>
      </c>
      <c r="Q79" s="530">
        <f t="shared" si="48"/>
        <v>0</v>
      </c>
      <c r="R79" s="132"/>
      <c r="S79" s="132"/>
      <c r="T79" s="132"/>
      <c r="U79" s="132"/>
      <c r="V79" s="132"/>
      <c r="W79" s="132"/>
      <c r="X79" s="132"/>
      <c r="Y79" s="132"/>
      <c r="Z79" s="132"/>
      <c r="AJ79" s="281"/>
      <c r="AK79" s="281"/>
      <c r="AL79" s="281"/>
      <c r="AM79" s="281"/>
      <c r="AN79" s="281"/>
    </row>
    <row r="80" spans="1:40">
      <c r="A80" s="307"/>
      <c r="B80" s="326" t="s">
        <v>1156</v>
      </c>
      <c r="C80" s="758">
        <f>'Inputs and eligible population'!$G$101</f>
        <v>4</v>
      </c>
      <c r="D80" s="127">
        <f>(('Financial impact (cash)'!D15)*'Inputs and eligible population'!$H$61/(365/'Inputs and eligible population'!$D$61))*'Capacity (local prices)'!$C80</f>
        <v>0</v>
      </c>
      <c r="E80" s="127">
        <f>(('Financial impact (cash)'!D15)*'Inputs and eligible population'!$H$61/(365/'Inputs and eligible population'!$D$61))*'Capacity (local prices)'!$C80</f>
        <v>0</v>
      </c>
      <c r="F80" s="127">
        <f>(('Financial impact (cash)'!D15)*'Inputs and eligible population'!$H$61/(365/'Inputs and eligible population'!$D$61))*'Capacity (local prices)'!$C80</f>
        <v>0</v>
      </c>
      <c r="G80" s="127">
        <f>(('Financial impact (cash)'!D15)*'Inputs and eligible population'!$H$61/(365/'Inputs and eligible population'!$D$61))*'Capacity (local prices)'!$C80</f>
        <v>0</v>
      </c>
      <c r="H80" s="127">
        <f>(('Financial impact (cash)'!E15)*'Inputs and eligible population'!$H$61/(365/'Inputs and eligible population'!$D$61))*'Capacity (local prices)'!$C80</f>
        <v>0</v>
      </c>
      <c r="I80" s="127">
        <f>(('Financial impact (cash)'!F15)*'Inputs and eligible population'!$H$61/(365/'Inputs and eligible population'!$D$61))*'Capacity (local prices)'!$C80</f>
        <v>0</v>
      </c>
      <c r="J80" s="381"/>
      <c r="K80" s="528">
        <f>'Inputs and eligible population'!$K$100*'Inputs and eligible population'!G$100/60</f>
        <v>60.54</v>
      </c>
      <c r="L80" s="530">
        <f t="shared" si="50"/>
        <v>0</v>
      </c>
      <c r="M80" s="530">
        <f t="shared" si="44"/>
        <v>0</v>
      </c>
      <c r="N80" s="530">
        <f t="shared" si="45"/>
        <v>0</v>
      </c>
      <c r="O80" s="530">
        <f t="shared" si="46"/>
        <v>0</v>
      </c>
      <c r="P80" s="530">
        <f t="shared" si="47"/>
        <v>0</v>
      </c>
      <c r="Q80" s="530">
        <f t="shared" si="48"/>
        <v>0</v>
      </c>
      <c r="R80" s="132"/>
      <c r="S80" s="132"/>
      <c r="T80" s="132"/>
      <c r="U80" s="132"/>
      <c r="V80" s="132"/>
      <c r="W80" s="132"/>
      <c r="X80" s="132"/>
      <c r="Y80" s="132"/>
      <c r="Z80" s="132"/>
      <c r="AJ80" s="281"/>
      <c r="AK80" s="281"/>
      <c r="AL80" s="281"/>
      <c r="AM80" s="281"/>
      <c r="AN80" s="281"/>
    </row>
    <row r="81" spans="1:40">
      <c r="A81" s="307"/>
      <c r="B81" s="326" t="s">
        <v>1157</v>
      </c>
      <c r="C81" s="758">
        <f>'Inputs and eligible population'!$G$101</f>
        <v>4</v>
      </c>
      <c r="D81" s="127">
        <f>(('Financial impact (cash)'!D15)*'Inputs and eligible population'!$I$61/(365/'Inputs and eligible population'!$D$61))*'Capacity (local prices)'!$C81</f>
        <v>0</v>
      </c>
      <c r="E81" s="127">
        <f>(('Financial impact (cash)'!D15)*'Inputs and eligible population'!$I$61/(365/'Inputs and eligible population'!$D$61))*'Capacity (local prices)'!$C81</f>
        <v>0</v>
      </c>
      <c r="F81" s="127">
        <f>(('Financial impact (cash)'!D15)*'Inputs and eligible population'!$I$61/(365/'Inputs and eligible population'!$D$61))*'Capacity (local prices)'!$C81</f>
        <v>0</v>
      </c>
      <c r="G81" s="127">
        <f>(('Financial impact (cash)'!D15)*'Inputs and eligible population'!$I$61/(365/'Inputs and eligible population'!$D$61))*'Capacity (local prices)'!$C81</f>
        <v>0</v>
      </c>
      <c r="H81" s="127">
        <f>(('Financial impact (cash)'!D15)*'Inputs and eligible population'!$I$61/(365/'Inputs and eligible population'!$D$61))*'Capacity (local prices)'!$C81</f>
        <v>0</v>
      </c>
      <c r="I81" s="127">
        <f>(('Financial impact (cash)'!E15)*'Inputs and eligible population'!$I$61/(365/'Inputs and eligible population'!$D$61))*'Capacity (local prices)'!$C81</f>
        <v>0</v>
      </c>
      <c r="J81" s="381"/>
      <c r="K81" s="528">
        <f>'Inputs and eligible population'!$K$100*'Inputs and eligible population'!G$100/60</f>
        <v>60.54</v>
      </c>
      <c r="L81" s="530">
        <f t="shared" si="50"/>
        <v>0</v>
      </c>
      <c r="M81" s="530">
        <f t="shared" si="44"/>
        <v>0</v>
      </c>
      <c r="N81" s="530">
        <f t="shared" si="45"/>
        <v>0</v>
      </c>
      <c r="O81" s="530">
        <f t="shared" si="46"/>
        <v>0</v>
      </c>
      <c r="P81" s="530">
        <f t="shared" si="47"/>
        <v>0</v>
      </c>
      <c r="Q81" s="530">
        <f t="shared" si="48"/>
        <v>0</v>
      </c>
      <c r="R81" s="132"/>
      <c r="S81" s="132"/>
      <c r="T81" s="132"/>
      <c r="U81" s="132"/>
      <c r="V81" s="132"/>
      <c r="W81" s="132"/>
      <c r="X81" s="132"/>
      <c r="Y81" s="132"/>
      <c r="Z81" s="132"/>
      <c r="AJ81" s="281"/>
      <c r="AK81" s="281"/>
      <c r="AL81" s="281"/>
      <c r="AM81" s="281"/>
      <c r="AN81" s="281"/>
    </row>
    <row r="82" spans="1:40">
      <c r="A82" s="307"/>
      <c r="B82" s="326" t="s">
        <v>1158</v>
      </c>
      <c r="C82" s="758">
        <f>'Inputs and eligible population'!$H$101</f>
        <v>4</v>
      </c>
      <c r="D82" s="127">
        <f>('Financial impact (cash)'!D16*'Inputs and eligible population'!$E62/(365/'Inputs and eligible population'!D62))*$C82</f>
        <v>0</v>
      </c>
      <c r="E82" s="127">
        <f>(('Financial impact (cash)'!E16)*'Inputs and eligible population'!$E$62/(365/'Inputs and eligible population'!$D$62))*'Capacity (local prices)'!$C82</f>
        <v>0</v>
      </c>
      <c r="F82" s="127">
        <f>(('Financial impact (cash)'!F16)*'Inputs and eligible population'!$E$62/(365/'Inputs and eligible population'!$D$62))*'Capacity (local prices)'!$C82</f>
        <v>0</v>
      </c>
      <c r="G82" s="127">
        <f>(('Financial impact (cash)'!G16)*'Inputs and eligible population'!$E$62/(365/'Inputs and eligible population'!$D$62))*'Capacity (local prices)'!$C82</f>
        <v>0</v>
      </c>
      <c r="H82" s="127">
        <f>(('Financial impact (cash)'!H16)*'Inputs and eligible population'!$E$62/(365/'Inputs and eligible population'!$D$62))*'Capacity (local prices)'!$C82</f>
        <v>0</v>
      </c>
      <c r="I82" s="127">
        <f>(('Financial impact (cash)'!I16)*'Inputs and eligible population'!$E$62/(365/'Inputs and eligible population'!$D$62))*'Capacity (local prices)'!$C82</f>
        <v>0</v>
      </c>
      <c r="J82" s="381"/>
      <c r="K82" s="528">
        <f>'Inputs and eligible population'!$K$100*'Inputs and eligible population'!H$100/60</f>
        <v>60.54</v>
      </c>
      <c r="L82" s="530">
        <f t="shared" si="50"/>
        <v>0</v>
      </c>
      <c r="M82" s="530">
        <f t="shared" si="44"/>
        <v>0</v>
      </c>
      <c r="N82" s="530">
        <f t="shared" si="45"/>
        <v>0</v>
      </c>
      <c r="O82" s="530">
        <f t="shared" si="46"/>
        <v>0</v>
      </c>
      <c r="P82" s="530">
        <f t="shared" si="47"/>
        <v>0</v>
      </c>
      <c r="Q82" s="530">
        <f t="shared" si="48"/>
        <v>0</v>
      </c>
      <c r="R82" s="132"/>
      <c r="S82" s="132"/>
      <c r="T82" s="132"/>
      <c r="U82" s="132"/>
      <c r="V82" s="132"/>
      <c r="W82" s="132"/>
      <c r="X82" s="132"/>
      <c r="Y82" s="132"/>
      <c r="Z82" s="132"/>
      <c r="AJ82" s="281"/>
      <c r="AK82" s="281"/>
      <c r="AL82" s="281"/>
      <c r="AM82" s="281"/>
      <c r="AN82" s="281"/>
    </row>
    <row r="83" spans="1:40">
      <c r="A83" s="307"/>
      <c r="B83" s="326" t="s">
        <v>1159</v>
      </c>
      <c r="C83" s="758">
        <f>'Inputs and eligible population'!$H$101</f>
        <v>4</v>
      </c>
      <c r="D83" s="127">
        <f>(('Financial impact (cash)'!D16)*'Inputs and eligible population'!$F$62/(365/'Inputs and eligible population'!$D$62))*'Capacity (local prices)'!$C83</f>
        <v>0</v>
      </c>
      <c r="E83" s="127">
        <f>(('Financial impact (cash)'!D16)*'Inputs and eligible population'!$F$62/(365/'Inputs and eligible population'!$D$62))*'Capacity (local prices)'!$C83</f>
        <v>0</v>
      </c>
      <c r="F83" s="127">
        <f>(('Financial impact (cash)'!E16)*'Inputs and eligible population'!$F$62/(365/'Inputs and eligible population'!$D$62))*'Capacity (local prices)'!$C83</f>
        <v>0</v>
      </c>
      <c r="G83" s="127">
        <f>(('Financial impact (cash)'!F16)*'Inputs and eligible population'!$F$62/(365/'Inputs and eligible population'!$D$62))*'Capacity (local prices)'!$C83</f>
        <v>0</v>
      </c>
      <c r="H83" s="127">
        <f>(('Financial impact (cash)'!G16)*'Inputs and eligible population'!$F$62/(365/'Inputs and eligible population'!$D$62))*'Capacity (local prices)'!$C83</f>
        <v>0</v>
      </c>
      <c r="I83" s="127">
        <f>(('Financial impact (cash)'!H16)*'Inputs and eligible population'!$F$62/(365/'Inputs and eligible population'!$D$62))*'Capacity (local prices)'!$C83</f>
        <v>0</v>
      </c>
      <c r="J83" s="381"/>
      <c r="K83" s="528">
        <f>'Inputs and eligible population'!$K$100*'Inputs and eligible population'!H$100/60</f>
        <v>60.54</v>
      </c>
      <c r="L83" s="530">
        <f t="shared" si="50"/>
        <v>0</v>
      </c>
      <c r="M83" s="530">
        <f t="shared" si="44"/>
        <v>0</v>
      </c>
      <c r="N83" s="530">
        <f t="shared" si="45"/>
        <v>0</v>
      </c>
      <c r="O83" s="530">
        <f t="shared" si="46"/>
        <v>0</v>
      </c>
      <c r="P83" s="530">
        <f t="shared" si="47"/>
        <v>0</v>
      </c>
      <c r="Q83" s="530">
        <f t="shared" si="48"/>
        <v>0</v>
      </c>
      <c r="R83" s="132"/>
      <c r="S83" s="132"/>
      <c r="T83" s="132"/>
      <c r="U83" s="132"/>
      <c r="V83" s="132"/>
      <c r="W83" s="132"/>
      <c r="X83" s="132"/>
      <c r="Y83" s="132"/>
      <c r="Z83" s="132"/>
      <c r="AJ83" s="281"/>
      <c r="AK83" s="281"/>
      <c r="AL83" s="281"/>
      <c r="AM83" s="281"/>
      <c r="AN83" s="281"/>
    </row>
    <row r="84" spans="1:40">
      <c r="A84" s="307"/>
      <c r="B84" s="326" t="s">
        <v>1160</v>
      </c>
      <c r="C84" s="758">
        <f>'Inputs and eligible population'!$H$101</f>
        <v>4</v>
      </c>
      <c r="D84" s="127">
        <f>(('Financial impact (cash)'!D16)*'Inputs and eligible population'!$G$62/(365/'Inputs and eligible population'!$D$62))*'Capacity (local prices)'!$C84</f>
        <v>0</v>
      </c>
      <c r="E84" s="127">
        <f>(('Financial impact (cash)'!D16)*'Inputs and eligible population'!$G$62/(365/'Inputs and eligible population'!$D$62))*'Capacity (local prices)'!$C84</f>
        <v>0</v>
      </c>
      <c r="F84" s="127">
        <f>(('Financial impact (cash)'!D16)*'Inputs and eligible population'!$G$62/(365/'Inputs and eligible population'!$D$62))*'Capacity (local prices)'!$C84</f>
        <v>0</v>
      </c>
      <c r="G84" s="127">
        <f>(('Financial impact (cash)'!E16)*'Inputs and eligible population'!$G$62/(365/'Inputs and eligible population'!$D$62))*'Capacity (local prices)'!$C84</f>
        <v>0</v>
      </c>
      <c r="H84" s="127">
        <f>(('Financial impact (cash)'!F16)*'Inputs and eligible population'!$G$62/(365/'Inputs and eligible population'!$D$62))*'Capacity (local prices)'!$C84</f>
        <v>0</v>
      </c>
      <c r="I84" s="127">
        <f>(('Financial impact (cash)'!G16)*'Inputs and eligible population'!$G$62/(365/'Inputs and eligible population'!$D$62))*'Capacity (local prices)'!$C84</f>
        <v>0</v>
      </c>
      <c r="J84" s="381"/>
      <c r="K84" s="528">
        <f>'Inputs and eligible population'!$K$100*'Inputs and eligible population'!H$100/60</f>
        <v>60.54</v>
      </c>
      <c r="L84" s="530">
        <f t="shared" si="50"/>
        <v>0</v>
      </c>
      <c r="M84" s="530">
        <f t="shared" si="44"/>
        <v>0</v>
      </c>
      <c r="N84" s="530">
        <f t="shared" si="45"/>
        <v>0</v>
      </c>
      <c r="O84" s="530">
        <f t="shared" si="46"/>
        <v>0</v>
      </c>
      <c r="P84" s="530">
        <f t="shared" si="47"/>
        <v>0</v>
      </c>
      <c r="Q84" s="530">
        <f t="shared" si="48"/>
        <v>0</v>
      </c>
      <c r="R84" s="132"/>
      <c r="S84" s="132"/>
      <c r="T84" s="132"/>
      <c r="U84" s="132"/>
      <c r="V84" s="132"/>
      <c r="W84" s="132"/>
      <c r="X84" s="132"/>
      <c r="Y84" s="132"/>
      <c r="Z84" s="132"/>
      <c r="AJ84" s="281"/>
      <c r="AK84" s="281"/>
      <c r="AL84" s="281"/>
      <c r="AM84" s="281"/>
      <c r="AN84" s="281"/>
    </row>
    <row r="85" spans="1:40">
      <c r="A85" s="307"/>
      <c r="B85" s="326" t="s">
        <v>1161</v>
      </c>
      <c r="C85" s="758">
        <f>'Inputs and eligible population'!$H$101</f>
        <v>4</v>
      </c>
      <c r="D85" s="127">
        <f>(('Financial impact (cash)'!D16)*'Inputs and eligible population'!$H$62/(365/'Inputs and eligible population'!$D$62))*'Capacity (local prices)'!$C85</f>
        <v>0</v>
      </c>
      <c r="E85" s="127">
        <f>(('Financial impact (cash)'!D16)*'Inputs and eligible population'!$H$62/(365/'Inputs and eligible population'!$D$62))*'Capacity (local prices)'!$C85</f>
        <v>0</v>
      </c>
      <c r="F85" s="127">
        <f>(('Financial impact (cash)'!D16)*'Inputs and eligible population'!$H$62/(365/'Inputs and eligible population'!$D$62))*'Capacity (local prices)'!$C85</f>
        <v>0</v>
      </c>
      <c r="G85" s="127">
        <f>(('Financial impact (cash)'!D16)*'Inputs and eligible population'!$H$62/(365/'Inputs and eligible population'!$D$62))*'Capacity (local prices)'!$C85</f>
        <v>0</v>
      </c>
      <c r="H85" s="127">
        <f>(('Financial impact (cash)'!E16)*'Inputs and eligible population'!$H$62/(365/'Inputs and eligible population'!$D$62))*'Capacity (local prices)'!$C85</f>
        <v>0</v>
      </c>
      <c r="I85" s="127">
        <f>(('Financial impact (cash)'!F16)*'Inputs and eligible population'!$H$62/(365/'Inputs and eligible population'!$D$62))*'Capacity (local prices)'!$C85</f>
        <v>0</v>
      </c>
      <c r="J85" s="381"/>
      <c r="K85" s="528">
        <f>'Inputs and eligible population'!$K$100*'Inputs and eligible population'!H$100/60</f>
        <v>60.54</v>
      </c>
      <c r="L85" s="530">
        <f t="shared" si="50"/>
        <v>0</v>
      </c>
      <c r="M85" s="530">
        <f t="shared" si="44"/>
        <v>0</v>
      </c>
      <c r="N85" s="530">
        <f t="shared" si="45"/>
        <v>0</v>
      </c>
      <c r="O85" s="530">
        <f t="shared" si="46"/>
        <v>0</v>
      </c>
      <c r="P85" s="530">
        <f t="shared" si="47"/>
        <v>0</v>
      </c>
      <c r="Q85" s="530">
        <f t="shared" si="48"/>
        <v>0</v>
      </c>
      <c r="R85" s="132"/>
      <c r="S85" s="132"/>
      <c r="T85" s="132"/>
      <c r="U85" s="132"/>
      <c r="V85" s="132"/>
      <c r="W85" s="132"/>
      <c r="X85" s="132"/>
      <c r="Y85" s="132"/>
      <c r="Z85" s="132"/>
      <c r="AJ85" s="281"/>
      <c r="AK85" s="281"/>
      <c r="AL85" s="281"/>
      <c r="AM85" s="281"/>
      <c r="AN85" s="281"/>
    </row>
    <row r="86" spans="1:40">
      <c r="A86" s="307"/>
      <c r="B86" s="326" t="s">
        <v>1162</v>
      </c>
      <c r="C86" s="758">
        <f>'Inputs and eligible population'!$H$101</f>
        <v>4</v>
      </c>
      <c r="D86" s="127">
        <f>(('Financial impact (cash)'!D16)*'Inputs and eligible population'!$I$62/(365/'Inputs and eligible population'!$D$62))*'Capacity (local prices)'!$C86</f>
        <v>0</v>
      </c>
      <c r="E86" s="127">
        <f>(('Financial impact (cash)'!D16)*'Inputs and eligible population'!$I$62/(365/'Inputs and eligible population'!$D$62))*'Capacity (local prices)'!$C86</f>
        <v>0</v>
      </c>
      <c r="F86" s="127">
        <f>(('Financial impact (cash)'!D16)*'Inputs and eligible population'!$I$62/(365/'Inputs and eligible population'!$D$62))*'Capacity (local prices)'!$C86</f>
        <v>0</v>
      </c>
      <c r="G86" s="127">
        <f>(('Financial impact (cash)'!D16)*'Inputs and eligible population'!$I$62/(365/'Inputs and eligible population'!$D$62))*'Capacity (local prices)'!$C86</f>
        <v>0</v>
      </c>
      <c r="H86" s="127">
        <f>(('Financial impact (cash)'!D16)*'Inputs and eligible population'!$I$62/(365/'Inputs and eligible population'!$D$62))*'Capacity (local prices)'!$C86</f>
        <v>0</v>
      </c>
      <c r="I86" s="127">
        <f>(('Financial impact (cash)'!E16)*'Inputs and eligible population'!$I$62/(365/'Inputs and eligible population'!$D$62))*'Capacity (local prices)'!$C86</f>
        <v>0</v>
      </c>
      <c r="J86" s="381"/>
      <c r="K86" s="528">
        <f>'Inputs and eligible population'!$K$100*'Inputs and eligible population'!H$100/60</f>
        <v>60.54</v>
      </c>
      <c r="L86" s="530">
        <f t="shared" si="50"/>
        <v>0</v>
      </c>
      <c r="M86" s="530">
        <f t="shared" si="44"/>
        <v>0</v>
      </c>
      <c r="N86" s="530">
        <f t="shared" si="45"/>
        <v>0</v>
      </c>
      <c r="O86" s="530">
        <f t="shared" si="46"/>
        <v>0</v>
      </c>
      <c r="P86" s="530">
        <f t="shared" si="47"/>
        <v>0</v>
      </c>
      <c r="Q86" s="530">
        <f t="shared" si="48"/>
        <v>0</v>
      </c>
      <c r="R86" s="132"/>
      <c r="S86" s="132"/>
      <c r="T86" s="132"/>
      <c r="U86" s="132"/>
      <c r="V86" s="132"/>
      <c r="W86" s="132"/>
      <c r="X86" s="132"/>
      <c r="Y86" s="132"/>
      <c r="Z86" s="132"/>
      <c r="AJ86" s="281"/>
      <c r="AK86" s="281"/>
      <c r="AL86" s="281"/>
      <c r="AM86" s="281"/>
      <c r="AN86" s="281"/>
    </row>
    <row r="87" spans="1:40">
      <c r="A87" s="307"/>
      <c r="B87" s="326" t="s">
        <v>1163</v>
      </c>
      <c r="C87" s="758">
        <f>'Inputs and eligible population'!$I$101</f>
        <v>4</v>
      </c>
      <c r="D87" s="127">
        <f>('Financial impact (cash)'!D17*'Inputs and eligible population'!$E63/(365/'Inputs and eligible population'!D63))*$C87</f>
        <v>0</v>
      </c>
      <c r="E87" s="127">
        <f>(('Financial impact (cash)'!E17)*'Inputs and eligible population'!$E$63/(365/'Inputs and eligible population'!$D$63))*'Capacity (local prices)'!$C87</f>
        <v>0</v>
      </c>
      <c r="F87" s="127">
        <f>(('Financial impact (cash)'!F17)*'Inputs and eligible population'!$E$63/(365/'Inputs and eligible population'!$D$63))*'Capacity (local prices)'!$C87</f>
        <v>0</v>
      </c>
      <c r="G87" s="127">
        <f>(('Financial impact (cash)'!G17)*'Inputs and eligible population'!$E$63/(365/'Inputs and eligible population'!$D$63))*'Capacity (local prices)'!$C87</f>
        <v>0</v>
      </c>
      <c r="H87" s="127">
        <f>(('Financial impact (cash)'!H17)*'Inputs and eligible population'!$E$63/(365/'Inputs and eligible population'!$D$63))*'Capacity (local prices)'!$C87</f>
        <v>0</v>
      </c>
      <c r="I87" s="127">
        <f>(('Financial impact (cash)'!I17)*'Inputs and eligible population'!$E$63/(365/'Inputs and eligible population'!$D$63))*'Capacity (local prices)'!$C87</f>
        <v>0</v>
      </c>
      <c r="J87" s="381"/>
      <c r="K87" s="528">
        <f>'Inputs and eligible population'!$K$100*'Inputs and eligible population'!I$100/60</f>
        <v>60.54</v>
      </c>
      <c r="L87" s="530">
        <f t="shared" si="50"/>
        <v>0</v>
      </c>
      <c r="M87" s="530">
        <f t="shared" si="44"/>
        <v>0</v>
      </c>
      <c r="N87" s="530">
        <f t="shared" si="45"/>
        <v>0</v>
      </c>
      <c r="O87" s="530">
        <f t="shared" si="46"/>
        <v>0</v>
      </c>
      <c r="P87" s="530">
        <f t="shared" si="47"/>
        <v>0</v>
      </c>
      <c r="Q87" s="530">
        <f t="shared" si="48"/>
        <v>0</v>
      </c>
      <c r="R87" s="132"/>
      <c r="S87" s="132"/>
      <c r="T87" s="132"/>
      <c r="U87" s="132"/>
      <c r="V87" s="132"/>
      <c r="W87" s="132"/>
      <c r="X87" s="132"/>
      <c r="Y87" s="132"/>
      <c r="Z87" s="132"/>
      <c r="AJ87" s="281"/>
      <c r="AK87" s="281"/>
      <c r="AL87" s="281"/>
      <c r="AM87" s="281"/>
      <c r="AN87" s="281"/>
    </row>
    <row r="88" spans="1:40">
      <c r="A88" s="307"/>
      <c r="B88" s="326" t="s">
        <v>1164</v>
      </c>
      <c r="C88" s="758">
        <f>'Inputs and eligible population'!$I$101</f>
        <v>4</v>
      </c>
      <c r="D88" s="127">
        <f>(('Financial impact (cash)'!D17)*'Inputs and eligible population'!$F$63/(365/'Inputs and eligible population'!$D$63))*'Capacity (local prices)'!$C88</f>
        <v>0</v>
      </c>
      <c r="E88" s="127">
        <f>(('Financial impact (cash)'!D17)*'Inputs and eligible population'!$F$63/(365/'Inputs and eligible population'!$D$63))*'Capacity (local prices)'!$C88</f>
        <v>0</v>
      </c>
      <c r="F88" s="127">
        <f>(('Financial impact (cash)'!E17)*'Inputs and eligible population'!$F$63/(365/'Inputs and eligible population'!$D$63))*'Capacity (local prices)'!$C88</f>
        <v>0</v>
      </c>
      <c r="G88" s="127">
        <f>(('Financial impact (cash)'!F17)*'Inputs and eligible population'!$F$63/(365/'Inputs and eligible population'!$D$63))*'Capacity (local prices)'!$C88</f>
        <v>0</v>
      </c>
      <c r="H88" s="127">
        <f>(('Financial impact (cash)'!G17)*'Inputs and eligible population'!$F$63/(365/'Inputs and eligible population'!$D$63))*'Capacity (local prices)'!$C88</f>
        <v>0</v>
      </c>
      <c r="I88" s="127">
        <f>(('Financial impact (cash)'!H17)*'Inputs and eligible population'!$F$63/(365/'Inputs and eligible population'!$D$63))*'Capacity (local prices)'!$C88</f>
        <v>0</v>
      </c>
      <c r="J88" s="381"/>
      <c r="K88" s="528">
        <f>'Inputs and eligible population'!$K$100*'Inputs and eligible population'!I$100/60</f>
        <v>60.54</v>
      </c>
      <c r="L88" s="530">
        <f t="shared" si="50"/>
        <v>0</v>
      </c>
      <c r="M88" s="530">
        <f t="shared" si="44"/>
        <v>0</v>
      </c>
      <c r="N88" s="530">
        <f t="shared" si="45"/>
        <v>0</v>
      </c>
      <c r="O88" s="530">
        <f t="shared" si="46"/>
        <v>0</v>
      </c>
      <c r="P88" s="530">
        <f t="shared" si="47"/>
        <v>0</v>
      </c>
      <c r="Q88" s="530">
        <f t="shared" si="48"/>
        <v>0</v>
      </c>
      <c r="R88" s="132"/>
      <c r="S88" s="132"/>
      <c r="T88" s="132"/>
      <c r="U88" s="132"/>
      <c r="V88" s="132"/>
      <c r="W88" s="132"/>
      <c r="X88" s="132"/>
      <c r="Y88" s="132"/>
      <c r="Z88" s="132"/>
      <c r="AJ88" s="281"/>
      <c r="AK88" s="281"/>
      <c r="AL88" s="281"/>
      <c r="AM88" s="281"/>
      <c r="AN88" s="281"/>
    </row>
    <row r="89" spans="1:40">
      <c r="A89" s="307"/>
      <c r="B89" s="326" t="s">
        <v>1165</v>
      </c>
      <c r="C89" s="758">
        <f>'Inputs and eligible population'!$I$101</f>
        <v>4</v>
      </c>
      <c r="D89" s="127">
        <f>(('Financial impact (cash)'!D17)*'Inputs and eligible population'!$G$63/(365/'Inputs and eligible population'!$D$63))*'Capacity (local prices)'!$C89</f>
        <v>0</v>
      </c>
      <c r="E89" s="127">
        <f>(('Financial impact (cash)'!D17)*'Inputs and eligible population'!$G$63/(365/'Inputs and eligible population'!$D$63))*'Capacity (local prices)'!$C89</f>
        <v>0</v>
      </c>
      <c r="F89" s="127">
        <f>(('Financial impact (cash)'!D17)*'Inputs and eligible population'!$G$63/(365/'Inputs and eligible population'!$D$63))*'Capacity (local prices)'!$C89</f>
        <v>0</v>
      </c>
      <c r="G89" s="127">
        <f>(('Financial impact (cash)'!E17)*'Inputs and eligible population'!$G$63/(365/'Inputs and eligible population'!$D$63))*'Capacity (local prices)'!$C89</f>
        <v>0</v>
      </c>
      <c r="H89" s="127">
        <f>(('Financial impact (cash)'!F17)*'Inputs and eligible population'!$G$63/(365/'Inputs and eligible population'!$D$63))*'Capacity (local prices)'!$C89</f>
        <v>0</v>
      </c>
      <c r="I89" s="127">
        <f>(('Financial impact (cash)'!G17)*'Inputs and eligible population'!$G$63/(365/'Inputs and eligible population'!$D$63))*'Capacity (local prices)'!$C89</f>
        <v>0</v>
      </c>
      <c r="J89" s="381"/>
      <c r="K89" s="528">
        <f>'Inputs and eligible population'!$K$100*'Inputs and eligible population'!I$100/60</f>
        <v>60.54</v>
      </c>
      <c r="L89" s="530">
        <f t="shared" si="50"/>
        <v>0</v>
      </c>
      <c r="M89" s="530">
        <f t="shared" si="44"/>
        <v>0</v>
      </c>
      <c r="N89" s="530">
        <f t="shared" si="45"/>
        <v>0</v>
      </c>
      <c r="O89" s="530">
        <f t="shared" si="46"/>
        <v>0</v>
      </c>
      <c r="P89" s="530">
        <f t="shared" si="47"/>
        <v>0</v>
      </c>
      <c r="Q89" s="530">
        <f t="shared" si="48"/>
        <v>0</v>
      </c>
      <c r="R89" s="132"/>
      <c r="S89" s="132"/>
      <c r="T89" s="132"/>
      <c r="U89" s="132"/>
      <c r="V89" s="132"/>
      <c r="W89" s="132"/>
      <c r="X89" s="132"/>
      <c r="Y89" s="132"/>
      <c r="Z89" s="132"/>
      <c r="AJ89" s="281"/>
      <c r="AK89" s="281"/>
      <c r="AL89" s="281"/>
      <c r="AM89" s="281"/>
      <c r="AN89" s="281"/>
    </row>
    <row r="90" spans="1:40">
      <c r="A90" s="307"/>
      <c r="B90" s="326" t="s">
        <v>1166</v>
      </c>
      <c r="C90" s="758">
        <f>'Inputs and eligible population'!$I$101</f>
        <v>4</v>
      </c>
      <c r="D90" s="127">
        <f>(('Financial impact (cash)'!D17)*'Inputs and eligible population'!$H$63/(365/'Inputs and eligible population'!$D$63))*'Capacity (local prices)'!$C90</f>
        <v>0</v>
      </c>
      <c r="E90" s="127">
        <f>(('Financial impact (cash)'!D17)*'Inputs and eligible population'!$H$63/(365/'Inputs and eligible population'!$D$63))*'Capacity (local prices)'!$C90</f>
        <v>0</v>
      </c>
      <c r="F90" s="127">
        <f>(('Financial impact (cash)'!D17)*'Inputs and eligible population'!$H$63/(365/'Inputs and eligible population'!$D$63))*'Capacity (local prices)'!$C90</f>
        <v>0</v>
      </c>
      <c r="G90" s="127">
        <f>(('Financial impact (cash)'!D17)*'Inputs and eligible population'!$H$63/(365/'Inputs and eligible population'!$D$63))*'Capacity (local prices)'!$C90</f>
        <v>0</v>
      </c>
      <c r="H90" s="127">
        <f>(('Financial impact (cash)'!E17)*'Inputs and eligible population'!$H$63/(365/'Inputs and eligible population'!$D$63))*'Capacity (local prices)'!$C90</f>
        <v>0</v>
      </c>
      <c r="I90" s="127">
        <f>(('Financial impact (cash)'!F17)*'Inputs and eligible population'!$H$63/(365/'Inputs and eligible population'!$D$63))*'Capacity (local prices)'!$C90</f>
        <v>0</v>
      </c>
      <c r="J90" s="381"/>
      <c r="K90" s="528">
        <f>'Inputs and eligible population'!$K$100*'Inputs and eligible population'!I$100/60</f>
        <v>60.54</v>
      </c>
      <c r="L90" s="530">
        <f t="shared" si="50"/>
        <v>0</v>
      </c>
      <c r="M90" s="530">
        <f t="shared" si="44"/>
        <v>0</v>
      </c>
      <c r="N90" s="530">
        <f t="shared" si="45"/>
        <v>0</v>
      </c>
      <c r="O90" s="530">
        <f t="shared" si="46"/>
        <v>0</v>
      </c>
      <c r="P90" s="530">
        <f t="shared" si="47"/>
        <v>0</v>
      </c>
      <c r="Q90" s="530">
        <f t="shared" si="48"/>
        <v>0</v>
      </c>
      <c r="R90" s="132"/>
      <c r="S90" s="132"/>
      <c r="T90" s="132"/>
      <c r="U90" s="132"/>
      <c r="V90" s="132"/>
      <c r="W90" s="132"/>
      <c r="X90" s="132"/>
      <c r="Y90" s="132"/>
      <c r="Z90" s="132"/>
      <c r="AJ90" s="281"/>
      <c r="AK90" s="281"/>
      <c r="AL90" s="281"/>
      <c r="AM90" s="281"/>
      <c r="AN90" s="281"/>
    </row>
    <row r="91" spans="1:40">
      <c r="A91" s="307"/>
      <c r="B91" s="326" t="s">
        <v>1167</v>
      </c>
      <c r="C91" s="758">
        <f>'Inputs and eligible population'!$I$101</f>
        <v>4</v>
      </c>
      <c r="D91" s="127">
        <f>(('Financial impact (cash)'!D17)*'Inputs and eligible population'!$I$63/(365/'Inputs and eligible population'!$D$63))*'Capacity (local prices)'!$C91</f>
        <v>0</v>
      </c>
      <c r="E91" s="127">
        <f>(('Financial impact (cash)'!D17)*'Inputs and eligible population'!$I$63/(365/'Inputs and eligible population'!$D$63))*'Capacity (local prices)'!$C91</f>
        <v>0</v>
      </c>
      <c r="F91" s="127">
        <f>(('Financial impact (cash)'!D17)*'Inputs and eligible population'!$I$63/(365/'Inputs and eligible population'!$D$63))*'Capacity (local prices)'!$C91</f>
        <v>0</v>
      </c>
      <c r="G91" s="127">
        <f>(('Financial impact (cash)'!D17)*'Inputs and eligible population'!$I$63/(365/'Inputs and eligible population'!$D$63))*'Capacity (local prices)'!$C91</f>
        <v>0</v>
      </c>
      <c r="H91" s="127">
        <f>(('Financial impact (cash)'!D17)*'Inputs and eligible population'!$I$63/(365/'Inputs and eligible population'!$D$63))*'Capacity (local prices)'!$C91</f>
        <v>0</v>
      </c>
      <c r="I91" s="127">
        <f>(('Financial impact (cash)'!E17)*'Inputs and eligible population'!$I$63/(365/'Inputs and eligible population'!$D$63))*'Capacity (local prices)'!$C91</f>
        <v>0</v>
      </c>
      <c r="J91" s="381"/>
      <c r="K91" s="528">
        <f>'Inputs and eligible population'!$K$100*'Inputs and eligible population'!I$100/60</f>
        <v>60.54</v>
      </c>
      <c r="L91" s="530">
        <f t="shared" si="50"/>
        <v>0</v>
      </c>
      <c r="M91" s="530">
        <f t="shared" si="44"/>
        <v>0</v>
      </c>
      <c r="N91" s="530">
        <f t="shared" si="45"/>
        <v>0</v>
      </c>
      <c r="O91" s="530">
        <f t="shared" si="46"/>
        <v>0</v>
      </c>
      <c r="P91" s="530">
        <f t="shared" si="47"/>
        <v>0</v>
      </c>
      <c r="Q91" s="530">
        <f t="shared" si="48"/>
        <v>0</v>
      </c>
      <c r="R91" s="132"/>
      <c r="S91" s="132"/>
      <c r="T91" s="132"/>
      <c r="U91" s="132"/>
      <c r="V91" s="132"/>
      <c r="W91" s="132"/>
      <c r="X91" s="132"/>
      <c r="Y91" s="132"/>
      <c r="Z91" s="132"/>
      <c r="AJ91" s="281"/>
      <c r="AK91" s="281"/>
      <c r="AL91" s="281"/>
      <c r="AM91" s="281"/>
      <c r="AN91" s="281"/>
    </row>
    <row r="92" spans="1:40">
      <c r="A92" s="307"/>
      <c r="B92" s="278" t="s">
        <v>837</v>
      </c>
      <c r="C92" s="301"/>
      <c r="D92" s="184">
        <f>SUM(D67:D91)</f>
        <v>0</v>
      </c>
      <c r="E92" s="184">
        <f t="shared" ref="E92:I92" si="51">SUM(E67:E91)</f>
        <v>0</v>
      </c>
      <c r="F92" s="184">
        <f t="shared" si="51"/>
        <v>0</v>
      </c>
      <c r="G92" s="184">
        <f t="shared" si="51"/>
        <v>0</v>
      </c>
      <c r="H92" s="184">
        <f t="shared" si="51"/>
        <v>0</v>
      </c>
      <c r="I92" s="184">
        <f t="shared" si="51"/>
        <v>0</v>
      </c>
      <c r="J92" s="307"/>
      <c r="K92" s="307"/>
      <c r="L92" s="287">
        <f>SUM(L67:L91)</f>
        <v>0</v>
      </c>
      <c r="M92" s="287">
        <f>SUM(M67:M91)</f>
        <v>0</v>
      </c>
      <c r="N92" s="287">
        <f t="shared" ref="N92:Q92" si="52">SUM(N67:N91)</f>
        <v>0</v>
      </c>
      <c r="O92" s="287">
        <f t="shared" si="52"/>
        <v>0</v>
      </c>
      <c r="P92" s="287">
        <f t="shared" si="52"/>
        <v>0</v>
      </c>
      <c r="Q92" s="287">
        <f t="shared" si="52"/>
        <v>0</v>
      </c>
      <c r="S92" s="132"/>
      <c r="T92" s="132"/>
      <c r="U92" s="132"/>
      <c r="V92" s="132"/>
      <c r="W92" s="132"/>
      <c r="X92" s="132"/>
      <c r="Y92" s="132"/>
      <c r="Z92" s="132"/>
      <c r="AJ92" s="281"/>
      <c r="AK92" s="281"/>
      <c r="AL92" s="281"/>
      <c r="AM92" s="281"/>
      <c r="AN92" s="281"/>
    </row>
    <row r="93" spans="1:40">
      <c r="A93" s="307"/>
      <c r="B93" s="289"/>
      <c r="C93" s="252"/>
      <c r="D93" s="280" t="s">
        <v>1173</v>
      </c>
      <c r="E93" s="184">
        <f>E92-$D$92</f>
        <v>0</v>
      </c>
      <c r="F93" s="184">
        <f>F92-$D$92</f>
        <v>0</v>
      </c>
      <c r="G93" s="184">
        <f>G92-$D$92</f>
        <v>0</v>
      </c>
      <c r="H93" s="184">
        <f>H92-$D$92</f>
        <v>0</v>
      </c>
      <c r="I93" s="184">
        <f>I92-$D$92</f>
        <v>0</v>
      </c>
      <c r="J93" s="307"/>
      <c r="K93" s="307"/>
      <c r="L93" s="762"/>
      <c r="M93" s="287">
        <f>M92-$L$92</f>
        <v>0</v>
      </c>
      <c r="N93" s="287">
        <f t="shared" ref="N93:Q93" si="53">N92-$L$92</f>
        <v>0</v>
      </c>
      <c r="O93" s="287">
        <f t="shared" si="53"/>
        <v>0</v>
      </c>
      <c r="P93" s="287">
        <f t="shared" si="53"/>
        <v>0</v>
      </c>
      <c r="Q93" s="287">
        <f t="shared" si="53"/>
        <v>0</v>
      </c>
      <c r="S93" s="132"/>
      <c r="T93" s="132"/>
      <c r="U93" s="132"/>
      <c r="V93" s="132"/>
      <c r="W93" s="132"/>
      <c r="X93" s="132"/>
      <c r="Y93" s="132"/>
      <c r="Z93" s="132"/>
      <c r="AJ93" s="281"/>
      <c r="AK93" s="281"/>
      <c r="AL93" s="281"/>
      <c r="AM93" s="281"/>
      <c r="AN93" s="281"/>
    </row>
    <row r="94" spans="1:40">
      <c r="A94" s="307"/>
      <c r="B94" s="761"/>
      <c r="C94" s="766"/>
      <c r="D94" s="381"/>
      <c r="E94" s="381"/>
      <c r="F94" s="381"/>
      <c r="G94" s="381"/>
      <c r="H94" s="766"/>
      <c r="I94" s="766"/>
      <c r="J94" s="381"/>
      <c r="K94" s="381"/>
      <c r="L94" s="381"/>
      <c r="M94" s="381"/>
      <c r="N94" s="381"/>
      <c r="O94" s="381"/>
      <c r="P94" s="381"/>
      <c r="Q94" s="381"/>
      <c r="S94" s="132"/>
      <c r="T94" s="132"/>
      <c r="U94" s="132"/>
      <c r="V94" s="132"/>
      <c r="W94" s="132"/>
      <c r="X94" s="132"/>
      <c r="Y94" s="132"/>
      <c r="Z94" s="132"/>
      <c r="AJ94" s="281"/>
      <c r="AK94" s="281"/>
      <c r="AL94" s="281"/>
      <c r="AM94" s="281"/>
      <c r="AN94" s="281"/>
    </row>
    <row r="95" spans="1:40">
      <c r="A95" s="847"/>
      <c r="B95" s="851" t="s">
        <v>1180</v>
      </c>
      <c r="C95" s="852"/>
      <c r="D95" s="853"/>
      <c r="E95" s="853"/>
      <c r="F95" s="853"/>
      <c r="G95" s="853"/>
      <c r="H95" s="853"/>
      <c r="I95" s="854"/>
      <c r="J95" s="855"/>
      <c r="K95" s="856"/>
      <c r="L95" s="856"/>
      <c r="M95" s="856"/>
      <c r="N95" s="856"/>
      <c r="O95" s="856"/>
      <c r="P95" s="856"/>
      <c r="Q95" s="856"/>
      <c r="V95" s="132"/>
    </row>
    <row r="96" spans="1:40" ht="74.650000000000006" customHeight="1">
      <c r="A96" s="847"/>
      <c r="B96" s="857" t="s">
        <v>757</v>
      </c>
      <c r="C96" s="858"/>
      <c r="D96" s="392" t="s">
        <v>825</v>
      </c>
      <c r="E96" s="251" t="s">
        <v>674</v>
      </c>
      <c r="F96" s="251" t="s">
        <v>675</v>
      </c>
      <c r="G96" s="164" t="s">
        <v>792</v>
      </c>
      <c r="H96" s="164" t="s">
        <v>793</v>
      </c>
      <c r="I96" s="251" t="s">
        <v>794</v>
      </c>
      <c r="J96" s="847"/>
      <c r="K96" s="859"/>
      <c r="L96" s="860"/>
      <c r="M96" s="861"/>
      <c r="N96" s="861"/>
      <c r="O96" s="861"/>
      <c r="P96" s="861"/>
      <c r="Q96" s="861"/>
      <c r="V96" s="132"/>
    </row>
    <row r="97" spans="1:40">
      <c r="A97" s="862"/>
      <c r="B97" s="752" t="s">
        <v>1181</v>
      </c>
      <c r="C97" s="156"/>
      <c r="D97" s="846">
        <f>D128</f>
        <v>0</v>
      </c>
      <c r="E97" s="846">
        <f>E128</f>
        <v>0</v>
      </c>
      <c r="F97" s="846">
        <f t="shared" ref="F97:I97" si="54">F128</f>
        <v>0</v>
      </c>
      <c r="G97" s="846">
        <f t="shared" si="54"/>
        <v>0</v>
      </c>
      <c r="H97" s="846">
        <f t="shared" si="54"/>
        <v>0</v>
      </c>
      <c r="I97" s="846">
        <f t="shared" si="54"/>
        <v>0</v>
      </c>
      <c r="J97" s="855"/>
      <c r="K97" s="863"/>
      <c r="L97" s="864"/>
      <c r="M97" s="864"/>
      <c r="N97" s="864"/>
      <c r="O97" s="864"/>
      <c r="P97" s="864"/>
      <c r="Q97" s="864"/>
      <c r="R97" s="132"/>
      <c r="S97" s="132"/>
      <c r="T97" s="132"/>
      <c r="U97" s="132"/>
      <c r="V97" s="132"/>
      <c r="W97" s="132"/>
      <c r="X97" s="132"/>
      <c r="Y97" s="132"/>
      <c r="Z97" s="132"/>
      <c r="AJ97" s="281"/>
      <c r="AK97" s="281"/>
      <c r="AL97" s="281"/>
      <c r="AM97" s="281"/>
      <c r="AN97" s="281"/>
    </row>
    <row r="98" spans="1:40">
      <c r="A98" s="862"/>
      <c r="B98" s="275"/>
      <c r="C98" s="301"/>
      <c r="D98" s="865">
        <f t="shared" ref="D98:I98" si="55">SUM(D97:D97)</f>
        <v>0</v>
      </c>
      <c r="E98" s="184">
        <f t="shared" si="55"/>
        <v>0</v>
      </c>
      <c r="F98" s="184">
        <f t="shared" si="55"/>
        <v>0</v>
      </c>
      <c r="G98" s="184">
        <f t="shared" si="55"/>
        <v>0</v>
      </c>
      <c r="H98" s="184">
        <f t="shared" si="55"/>
        <v>0</v>
      </c>
      <c r="I98" s="184">
        <f t="shared" si="55"/>
        <v>0</v>
      </c>
      <c r="J98" s="855"/>
      <c r="K98" s="856"/>
      <c r="L98" s="866"/>
      <c r="M98" s="866"/>
      <c r="N98" s="866"/>
      <c r="O98" s="866"/>
      <c r="P98" s="866"/>
      <c r="Q98" s="866"/>
      <c r="R98" s="132"/>
      <c r="S98" s="132"/>
      <c r="T98" s="132"/>
      <c r="U98" s="132"/>
      <c r="V98" s="132"/>
      <c r="W98" s="132"/>
      <c r="X98" s="132"/>
      <c r="Y98" s="132"/>
      <c r="Z98" s="132"/>
      <c r="AJ98" s="281"/>
      <c r="AK98" s="281"/>
      <c r="AL98" s="281"/>
      <c r="AM98" s="281"/>
      <c r="AN98" s="281"/>
    </row>
    <row r="99" spans="1:40">
      <c r="A99" s="862"/>
      <c r="B99" s="224"/>
      <c r="C99" s="224"/>
      <c r="D99" s="280" t="s">
        <v>1182</v>
      </c>
      <c r="E99" s="184">
        <f>E98-$D98</f>
        <v>0</v>
      </c>
      <c r="F99" s="184">
        <f t="shared" ref="F99:I99" si="56">F98-$D98</f>
        <v>0</v>
      </c>
      <c r="G99" s="184">
        <f t="shared" si="56"/>
        <v>0</v>
      </c>
      <c r="H99" s="184">
        <f t="shared" si="56"/>
        <v>0</v>
      </c>
      <c r="I99" s="184">
        <f t="shared" si="56"/>
        <v>0</v>
      </c>
      <c r="J99" s="855"/>
      <c r="K99" s="856"/>
      <c r="L99" s="856"/>
      <c r="M99" s="866"/>
      <c r="N99" s="866"/>
      <c r="O99" s="866"/>
      <c r="P99" s="866"/>
      <c r="Q99" s="866"/>
      <c r="R99" s="132"/>
      <c r="S99" s="132"/>
      <c r="T99" s="132"/>
      <c r="U99" s="132"/>
      <c r="V99" s="132"/>
      <c r="W99" s="132"/>
      <c r="X99" s="132"/>
      <c r="Y99" s="132"/>
      <c r="Z99" s="132"/>
      <c r="AJ99" s="281"/>
      <c r="AK99" s="281"/>
      <c r="AL99" s="281"/>
      <c r="AM99" s="281"/>
      <c r="AN99" s="281"/>
    </row>
    <row r="100" spans="1:40">
      <c r="A100" s="847"/>
      <c r="B100" s="867"/>
      <c r="C100" s="868"/>
      <c r="D100" s="856"/>
      <c r="E100" s="856"/>
      <c r="F100" s="856"/>
      <c r="G100" s="856"/>
      <c r="H100" s="869"/>
      <c r="I100" s="869"/>
      <c r="J100" s="847"/>
      <c r="K100" s="847"/>
      <c r="L100" s="856"/>
      <c r="M100" s="856"/>
      <c r="N100" s="847"/>
      <c r="O100" s="856"/>
      <c r="P100" s="856"/>
      <c r="Q100" s="856"/>
      <c r="V100" s="132"/>
    </row>
    <row r="101" spans="1:40">
      <c r="A101" s="847"/>
      <c r="B101" s="870" t="s">
        <v>1183</v>
      </c>
      <c r="C101" s="853"/>
      <c r="D101" s="853"/>
      <c r="E101" s="853"/>
      <c r="F101" s="853"/>
      <c r="G101" s="853"/>
      <c r="H101" s="853"/>
      <c r="I101" s="854"/>
      <c r="J101" s="847"/>
      <c r="K101" s="847"/>
      <c r="L101" s="847"/>
      <c r="M101" s="847"/>
      <c r="N101" s="847"/>
      <c r="O101" s="847"/>
      <c r="P101" s="847"/>
      <c r="Q101" s="847"/>
      <c r="V101" s="132"/>
    </row>
    <row r="102" spans="1:40" ht="30">
      <c r="A102" s="847"/>
      <c r="B102" s="274" t="s">
        <v>757</v>
      </c>
      <c r="C102" s="165" t="s">
        <v>1184</v>
      </c>
      <c r="D102" s="392" t="s">
        <v>825</v>
      </c>
      <c r="E102" s="251" t="s">
        <v>674</v>
      </c>
      <c r="F102" s="251" t="s">
        <v>675</v>
      </c>
      <c r="G102" s="164" t="s">
        <v>792</v>
      </c>
      <c r="H102" s="164" t="s">
        <v>793</v>
      </c>
      <c r="I102" s="251" t="s">
        <v>794</v>
      </c>
      <c r="J102" s="847"/>
      <c r="K102" s="859"/>
      <c r="L102" s="860"/>
      <c r="M102" s="861"/>
      <c r="N102" s="861"/>
      <c r="O102" s="861"/>
      <c r="P102" s="861"/>
      <c r="Q102" s="861"/>
      <c r="V102" s="132"/>
    </row>
    <row r="103" spans="1:40">
      <c r="A103" s="847"/>
      <c r="B103" s="326" t="s">
        <v>1143</v>
      </c>
      <c r="C103" s="148">
        <f>'Inputs and eligible population'!E59</f>
        <v>0</v>
      </c>
      <c r="D103" s="127">
        <f>'Financial impact (cash)'!D13*'Capacity (local prices)'!$C103</f>
        <v>0</v>
      </c>
      <c r="E103" s="127">
        <f>'Financial impact (cash)'!E13*'Capacity (local prices)'!$C103</f>
        <v>0</v>
      </c>
      <c r="F103" s="127">
        <f>'Financial impact (cash)'!F13*'Capacity (local prices)'!$C103</f>
        <v>0</v>
      </c>
      <c r="G103" s="127">
        <f>'Financial impact (cash)'!G13*'Capacity (local prices)'!$C103</f>
        <v>0</v>
      </c>
      <c r="H103" s="127">
        <f>'Financial impact (cash)'!H13*'Capacity (local prices)'!$C103</f>
        <v>0</v>
      </c>
      <c r="I103" s="127">
        <f>'Financial impact (cash)'!I13*'Capacity (local prices)'!$C103</f>
        <v>0</v>
      </c>
      <c r="J103" s="856"/>
      <c r="K103" s="863"/>
      <c r="L103" s="864"/>
      <c r="M103" s="864"/>
      <c r="N103" s="864"/>
      <c r="O103" s="864"/>
      <c r="P103" s="864"/>
      <c r="Q103" s="864"/>
      <c r="R103" s="132"/>
      <c r="S103" s="132"/>
      <c r="T103" s="132"/>
      <c r="U103" s="132"/>
      <c r="V103" s="132"/>
      <c r="W103" s="132"/>
      <c r="X103" s="132"/>
      <c r="Y103" s="132"/>
      <c r="Z103" s="132"/>
      <c r="AJ103" s="281"/>
      <c r="AK103" s="281"/>
      <c r="AL103" s="281"/>
      <c r="AM103" s="281"/>
      <c r="AN103" s="281"/>
    </row>
    <row r="104" spans="1:40">
      <c r="A104" s="847"/>
      <c r="B104" s="326" t="s">
        <v>1144</v>
      </c>
      <c r="C104" s="148">
        <f>'Inputs and eligible population'!F59</f>
        <v>0</v>
      </c>
      <c r="D104" s="127">
        <f>'Financial impact (cash)'!D13*'Capacity (local prices)'!$C104</f>
        <v>0</v>
      </c>
      <c r="E104" s="127">
        <f>'Financial impact (cash)'!D13*'Capacity (local prices)'!$C104</f>
        <v>0</v>
      </c>
      <c r="F104" s="127">
        <f>'Financial impact (cash)'!E13*'Capacity (local prices)'!$C104</f>
        <v>0</v>
      </c>
      <c r="G104" s="127">
        <f>'Financial impact (cash)'!F13*'Capacity (local prices)'!$C104</f>
        <v>0</v>
      </c>
      <c r="H104" s="127">
        <f>'Financial impact (cash)'!G13*'Capacity (local prices)'!$C104</f>
        <v>0</v>
      </c>
      <c r="I104" s="127">
        <f>'Financial impact (cash)'!H13*'Capacity (local prices)'!$C104</f>
        <v>0</v>
      </c>
      <c r="J104" s="856"/>
      <c r="K104" s="863"/>
      <c r="L104" s="864"/>
      <c r="M104" s="864"/>
      <c r="N104" s="864"/>
      <c r="O104" s="864"/>
      <c r="P104" s="864"/>
      <c r="Q104" s="864"/>
      <c r="R104" s="132"/>
      <c r="S104" s="132"/>
      <c r="T104" s="132"/>
      <c r="U104" s="132"/>
      <c r="V104" s="132"/>
      <c r="W104" s="132"/>
      <c r="X104" s="132"/>
      <c r="Y104" s="132"/>
      <c r="Z104" s="132"/>
      <c r="AJ104" s="281"/>
      <c r="AK104" s="281"/>
      <c r="AL104" s="281"/>
      <c r="AM104" s="281"/>
      <c r="AN104" s="281"/>
    </row>
    <row r="105" spans="1:40">
      <c r="A105" s="847"/>
      <c r="B105" s="326" t="s">
        <v>1145</v>
      </c>
      <c r="C105" s="148">
        <f>'Inputs and eligible population'!G59</f>
        <v>0</v>
      </c>
      <c r="D105" s="127">
        <f>'Financial impact (cash)'!$D$13*'Capacity (local prices)'!$C105</f>
        <v>0</v>
      </c>
      <c r="E105" s="127">
        <f>'Financial impact (cash)'!D13*'Capacity (local prices)'!$C105</f>
        <v>0</v>
      </c>
      <c r="F105" s="127">
        <f>'Financial impact (cash)'!D13*'Capacity (local prices)'!$C105</f>
        <v>0</v>
      </c>
      <c r="G105" s="127">
        <f>'Financial impact (cash)'!E13*'Capacity (local prices)'!$C105</f>
        <v>0</v>
      </c>
      <c r="H105" s="127">
        <f>'Financial impact (cash)'!F13*'Capacity (local prices)'!$C105</f>
        <v>0</v>
      </c>
      <c r="I105" s="127">
        <f>'Financial impact (cash)'!G13*'Capacity (local prices)'!$C105</f>
        <v>0</v>
      </c>
      <c r="J105" s="856"/>
      <c r="K105" s="863"/>
      <c r="L105" s="864"/>
      <c r="M105" s="864"/>
      <c r="N105" s="864"/>
      <c r="O105" s="864"/>
      <c r="P105" s="864"/>
      <c r="Q105" s="864"/>
      <c r="R105" s="132"/>
      <c r="S105" s="132"/>
      <c r="T105" s="132"/>
      <c r="U105" s="132"/>
      <c r="V105" s="132"/>
      <c r="W105" s="132"/>
      <c r="X105" s="132"/>
      <c r="Y105" s="132"/>
      <c r="Z105" s="132"/>
      <c r="AJ105" s="281"/>
      <c r="AK105" s="281"/>
      <c r="AL105" s="281"/>
      <c r="AM105" s="281"/>
      <c r="AN105" s="281"/>
    </row>
    <row r="106" spans="1:40">
      <c r="A106" s="847"/>
      <c r="B106" s="326" t="s">
        <v>1146</v>
      </c>
      <c r="C106" s="148">
        <f>'Inputs and eligible population'!H59</f>
        <v>0</v>
      </c>
      <c r="D106" s="127">
        <f>'Financial impact (cash)'!$D$13*'Capacity (local prices)'!$C106</f>
        <v>0</v>
      </c>
      <c r="E106" s="127">
        <f>'Financial impact (cash)'!$D$13*'Capacity (local prices)'!$C106</f>
        <v>0</v>
      </c>
      <c r="F106" s="127">
        <f>'Financial impact (cash)'!$D$13*'Capacity (local prices)'!$C106</f>
        <v>0</v>
      </c>
      <c r="G106" s="127">
        <f>'Financial impact (cash)'!$D$13*'Capacity (local prices)'!$C106</f>
        <v>0</v>
      </c>
      <c r="H106" s="127">
        <f>'Financial impact (cash)'!E13*'Capacity (local prices)'!$C106</f>
        <v>0</v>
      </c>
      <c r="I106" s="127">
        <f>'Financial impact (cash)'!F13*'Capacity (local prices)'!$C106</f>
        <v>0</v>
      </c>
      <c r="J106" s="856"/>
      <c r="K106" s="863"/>
      <c r="L106" s="864"/>
      <c r="M106" s="864"/>
      <c r="N106" s="864"/>
      <c r="O106" s="864"/>
      <c r="P106" s="864"/>
      <c r="Q106" s="864"/>
      <c r="R106" s="132"/>
      <c r="S106" s="132"/>
      <c r="T106" s="132"/>
      <c r="U106" s="132"/>
      <c r="V106" s="132"/>
      <c r="W106" s="132"/>
      <c r="X106" s="132"/>
      <c r="Y106" s="132"/>
      <c r="Z106" s="132"/>
      <c r="AJ106" s="281"/>
      <c r="AK106" s="281"/>
      <c r="AL106" s="281"/>
      <c r="AM106" s="281"/>
      <c r="AN106" s="281"/>
    </row>
    <row r="107" spans="1:40">
      <c r="A107" s="847"/>
      <c r="B107" s="326" t="s">
        <v>1147</v>
      </c>
      <c r="C107" s="148">
        <f>'Inputs and eligible population'!I59</f>
        <v>0</v>
      </c>
      <c r="D107" s="127">
        <f>'Financial impact (cash)'!$D$13*'Capacity (local prices)'!$C107</f>
        <v>0</v>
      </c>
      <c r="E107" s="127">
        <f>'Financial impact (cash)'!$D$13*'Capacity (local prices)'!$C107</f>
        <v>0</v>
      </c>
      <c r="F107" s="127">
        <f>'Financial impact (cash)'!$D$13*'Capacity (local prices)'!$C107</f>
        <v>0</v>
      </c>
      <c r="G107" s="127">
        <f>'Financial impact (cash)'!$D$13*'Capacity (local prices)'!$C107</f>
        <v>0</v>
      </c>
      <c r="H107" s="127">
        <f>'Financial impact (cash)'!$D$13*'Capacity (local prices)'!$C107</f>
        <v>0</v>
      </c>
      <c r="I107" s="127">
        <f>'Financial impact (cash)'!E13*'Capacity (local prices)'!$C107</f>
        <v>0</v>
      </c>
      <c r="J107" s="856"/>
      <c r="K107" s="863"/>
      <c r="L107" s="864"/>
      <c r="M107" s="864"/>
      <c r="N107" s="864"/>
      <c r="O107" s="864"/>
      <c r="P107" s="864"/>
      <c r="Q107" s="864"/>
      <c r="R107" s="132"/>
      <c r="S107" s="132"/>
      <c r="T107" s="132"/>
      <c r="U107" s="132"/>
      <c r="V107" s="132"/>
      <c r="W107" s="132"/>
      <c r="X107" s="132"/>
      <c r="Y107" s="132"/>
      <c r="Z107" s="132"/>
      <c r="AJ107" s="281"/>
      <c r="AK107" s="281"/>
      <c r="AL107" s="281"/>
      <c r="AM107" s="281"/>
      <c r="AN107" s="281"/>
    </row>
    <row r="108" spans="1:40">
      <c r="A108" s="847"/>
      <c r="B108" s="326" t="s">
        <v>1148</v>
      </c>
      <c r="C108" s="148">
        <f>'Inputs and eligible population'!E60</f>
        <v>0</v>
      </c>
      <c r="D108" s="127">
        <f>'Financial impact (cash)'!$D$14*'Capacity (local prices)'!$C108</f>
        <v>0</v>
      </c>
      <c r="E108" s="127">
        <f>'Financial impact (cash)'!$E$14*'Capacity (local prices)'!$C108</f>
        <v>0</v>
      </c>
      <c r="F108" s="127">
        <f>'Financial impact (cash)'!$F$14*'Capacity (local prices)'!$C108</f>
        <v>0</v>
      </c>
      <c r="G108" s="127">
        <f>'Financial impact (cash)'!$G$14*'Capacity (local prices)'!$C108</f>
        <v>0</v>
      </c>
      <c r="H108" s="127">
        <f>'Financial impact (cash)'!$H$14*'Capacity (local prices)'!$C108</f>
        <v>0</v>
      </c>
      <c r="I108" s="127">
        <f>'Financial impact (cash)'!$I$14*'Capacity (local prices)'!$C108</f>
        <v>0</v>
      </c>
      <c r="J108" s="856"/>
      <c r="K108" s="863"/>
      <c r="L108" s="864"/>
      <c r="M108" s="864"/>
      <c r="N108" s="864"/>
      <c r="O108" s="864"/>
      <c r="P108" s="864"/>
      <c r="Q108" s="864"/>
      <c r="R108" s="132"/>
      <c r="S108" s="132"/>
      <c r="T108" s="132"/>
      <c r="U108" s="132"/>
      <c r="V108" s="132"/>
      <c r="W108" s="132"/>
      <c r="X108" s="132"/>
      <c r="Y108" s="132"/>
      <c r="Z108" s="132"/>
      <c r="AJ108" s="281"/>
      <c r="AK108" s="281"/>
      <c r="AL108" s="281"/>
      <c r="AM108" s="281"/>
      <c r="AN108" s="281"/>
    </row>
    <row r="109" spans="1:40">
      <c r="A109" s="847"/>
      <c r="B109" s="326" t="s">
        <v>1149</v>
      </c>
      <c r="C109" s="148">
        <f>'Inputs and eligible population'!F60</f>
        <v>0</v>
      </c>
      <c r="D109" s="127">
        <f>'Financial impact (cash)'!$D$14*'Capacity (local prices)'!$C109</f>
        <v>0</v>
      </c>
      <c r="E109" s="127">
        <f>'Financial impact (cash)'!$D$14*'Capacity (local prices)'!$C109</f>
        <v>0</v>
      </c>
      <c r="F109" s="127">
        <f>'Financial impact (cash)'!$E$14*'Capacity (local prices)'!$C109</f>
        <v>0</v>
      </c>
      <c r="G109" s="127">
        <f>'Financial impact (cash)'!$F$14*'Capacity (local prices)'!$C109</f>
        <v>0</v>
      </c>
      <c r="H109" s="127">
        <f>'Financial impact (cash)'!$G$14*'Capacity (local prices)'!$C109</f>
        <v>0</v>
      </c>
      <c r="I109" s="127">
        <f>'Financial impact (cash)'!$H$14*'Capacity (local prices)'!$C109</f>
        <v>0</v>
      </c>
      <c r="J109" s="856"/>
      <c r="K109" s="863"/>
      <c r="L109" s="864"/>
      <c r="M109" s="864"/>
      <c r="N109" s="864"/>
      <c r="O109" s="864"/>
      <c r="P109" s="864"/>
      <c r="Q109" s="864"/>
      <c r="R109" s="132"/>
      <c r="S109" s="132"/>
      <c r="T109" s="132"/>
      <c r="U109" s="132"/>
      <c r="V109" s="132"/>
      <c r="W109" s="132"/>
      <c r="X109" s="132"/>
      <c r="Y109" s="132"/>
      <c r="Z109" s="132"/>
      <c r="AJ109" s="281"/>
      <c r="AK109" s="281"/>
      <c r="AL109" s="281"/>
      <c r="AM109" s="281"/>
      <c r="AN109" s="281"/>
    </row>
    <row r="110" spans="1:40">
      <c r="A110" s="847"/>
      <c r="B110" s="326" t="s">
        <v>1150</v>
      </c>
      <c r="C110" s="148">
        <f>'Inputs and eligible population'!G60</f>
        <v>0</v>
      </c>
      <c r="D110" s="127">
        <f>'Financial impact (cash)'!$D$14*'Capacity (local prices)'!$C110</f>
        <v>0</v>
      </c>
      <c r="E110" s="127">
        <f>'Financial impact (cash)'!$D$14*'Capacity (local prices)'!$C110</f>
        <v>0</v>
      </c>
      <c r="F110" s="127">
        <f>'Financial impact (cash)'!$D$14*'Capacity (local prices)'!$C110</f>
        <v>0</v>
      </c>
      <c r="G110" s="127">
        <f>'Financial impact (cash)'!$E$14*'Capacity (local prices)'!$C110</f>
        <v>0</v>
      </c>
      <c r="H110" s="127">
        <f>'Financial impact (cash)'!$F$14*'Capacity (local prices)'!$C110</f>
        <v>0</v>
      </c>
      <c r="I110" s="127">
        <f>'Financial impact (cash)'!$G$14*'Capacity (local prices)'!$C110</f>
        <v>0</v>
      </c>
      <c r="J110" s="856"/>
      <c r="K110" s="863"/>
      <c r="L110" s="864"/>
      <c r="M110" s="864"/>
      <c r="N110" s="864"/>
      <c r="O110" s="864"/>
      <c r="P110" s="864"/>
      <c r="Q110" s="864"/>
      <c r="R110" s="132"/>
      <c r="S110" s="132"/>
      <c r="T110" s="132"/>
      <c r="U110" s="132"/>
      <c r="V110" s="132"/>
      <c r="W110" s="132"/>
      <c r="X110" s="132"/>
      <c r="Y110" s="132"/>
      <c r="Z110" s="132"/>
      <c r="AJ110" s="281"/>
      <c r="AK110" s="281"/>
      <c r="AL110" s="281"/>
      <c r="AM110" s="281"/>
      <c r="AN110" s="281"/>
    </row>
    <row r="111" spans="1:40">
      <c r="A111" s="847"/>
      <c r="B111" s="326" t="s">
        <v>1151</v>
      </c>
      <c r="C111" s="148">
        <f>'Inputs and eligible population'!H60</f>
        <v>0</v>
      </c>
      <c r="D111" s="127">
        <f>'Financial impact (cash)'!$D$14*'Capacity (local prices)'!$C111</f>
        <v>0</v>
      </c>
      <c r="E111" s="127">
        <f>'Financial impact (cash)'!$D$14*'Capacity (local prices)'!$C111</f>
        <v>0</v>
      </c>
      <c r="F111" s="127">
        <f>'Financial impact (cash)'!$D$14*'Capacity (local prices)'!$C111</f>
        <v>0</v>
      </c>
      <c r="G111" s="127">
        <f>'Financial impact (cash)'!$D$14*'Capacity (local prices)'!$C111</f>
        <v>0</v>
      </c>
      <c r="H111" s="127">
        <f>'Financial impact (cash)'!$E$14*'Capacity (local prices)'!$C111</f>
        <v>0</v>
      </c>
      <c r="I111" s="127">
        <f>'Financial impact (cash)'!$F$14*'Capacity (local prices)'!$C111</f>
        <v>0</v>
      </c>
      <c r="J111" s="856"/>
      <c r="K111" s="863"/>
      <c r="L111" s="864"/>
      <c r="M111" s="864"/>
      <c r="N111" s="864"/>
      <c r="O111" s="864"/>
      <c r="P111" s="864"/>
      <c r="Q111" s="864"/>
      <c r="R111" s="132"/>
      <c r="S111" s="132"/>
      <c r="T111" s="132"/>
      <c r="U111" s="132"/>
      <c r="V111" s="132"/>
      <c r="W111" s="132"/>
      <c r="X111" s="132"/>
      <c r="Y111" s="132"/>
      <c r="Z111" s="132"/>
      <c r="AJ111" s="281"/>
      <c r="AK111" s="281"/>
      <c r="AL111" s="281"/>
      <c r="AM111" s="281"/>
      <c r="AN111" s="281"/>
    </row>
    <row r="112" spans="1:40">
      <c r="A112" s="847"/>
      <c r="B112" s="326" t="s">
        <v>1152</v>
      </c>
      <c r="C112" s="148">
        <f>'Inputs and eligible population'!I60</f>
        <v>0</v>
      </c>
      <c r="D112" s="127">
        <f>'Financial impact (cash)'!$D$14*'Capacity (local prices)'!$C112</f>
        <v>0</v>
      </c>
      <c r="E112" s="127">
        <f>'Financial impact (cash)'!$D$14*'Capacity (local prices)'!$C112</f>
        <v>0</v>
      </c>
      <c r="F112" s="127">
        <f>'Financial impact (cash)'!$D$14*'Capacity (local prices)'!$C112</f>
        <v>0</v>
      </c>
      <c r="G112" s="127">
        <f>'Financial impact (cash)'!$D$14*'Capacity (local prices)'!$C112</f>
        <v>0</v>
      </c>
      <c r="H112" s="127">
        <f>'Financial impact (cash)'!$D$14*'Capacity (local prices)'!$C112</f>
        <v>0</v>
      </c>
      <c r="I112" s="127">
        <f>'Financial impact (cash)'!$E$14*'Capacity (local prices)'!$C112</f>
        <v>0</v>
      </c>
      <c r="J112" s="856"/>
      <c r="K112" s="863"/>
      <c r="L112" s="864"/>
      <c r="M112" s="864"/>
      <c r="N112" s="864"/>
      <c r="O112" s="864"/>
      <c r="P112" s="864"/>
      <c r="Q112" s="864"/>
      <c r="R112" s="132"/>
      <c r="S112" s="132"/>
      <c r="T112" s="132"/>
      <c r="U112" s="132"/>
      <c r="V112" s="132"/>
      <c r="W112" s="132"/>
      <c r="X112" s="132"/>
      <c r="Y112" s="132"/>
      <c r="Z112" s="132"/>
      <c r="AJ112" s="281"/>
      <c r="AK112" s="281"/>
      <c r="AL112" s="281"/>
      <c r="AM112" s="281"/>
      <c r="AN112" s="281"/>
    </row>
    <row r="113" spans="1:40">
      <c r="A113" s="847"/>
      <c r="B113" s="326" t="s">
        <v>1153</v>
      </c>
      <c r="C113" s="673">
        <f>'Inputs and eligible population'!E61</f>
        <v>0</v>
      </c>
      <c r="D113" s="127">
        <f>'Financial impact (cash)'!$D$15*'Capacity (local prices)'!$C113</f>
        <v>0</v>
      </c>
      <c r="E113" s="127">
        <f>'Financial impact (cash)'!$E$15*'Capacity (local prices)'!$C113</f>
        <v>0</v>
      </c>
      <c r="F113" s="127">
        <f>'Financial impact (cash)'!$F$15*'Capacity (local prices)'!$C113</f>
        <v>0</v>
      </c>
      <c r="G113" s="127">
        <f>'Financial impact (cash)'!$G$15*'Capacity (local prices)'!$C113</f>
        <v>0</v>
      </c>
      <c r="H113" s="127">
        <f>'Financial impact (cash)'!$H$15*'Capacity (local prices)'!$C113</f>
        <v>0</v>
      </c>
      <c r="I113" s="127">
        <f>'Financial impact (cash)'!$I$15*'Capacity (local prices)'!$C113</f>
        <v>0</v>
      </c>
      <c r="J113" s="856"/>
      <c r="K113" s="863"/>
      <c r="L113" s="864"/>
      <c r="M113" s="864"/>
      <c r="N113" s="864"/>
      <c r="O113" s="864"/>
      <c r="P113" s="864"/>
      <c r="Q113" s="864"/>
      <c r="R113" s="132"/>
      <c r="S113" s="132"/>
      <c r="T113" s="132"/>
      <c r="U113" s="132"/>
      <c r="V113" s="132"/>
      <c r="W113" s="132"/>
      <c r="X113" s="132"/>
      <c r="Y113" s="132"/>
      <c r="Z113" s="132"/>
      <c r="AJ113" s="281"/>
      <c r="AK113" s="281"/>
      <c r="AL113" s="281"/>
      <c r="AM113" s="281"/>
      <c r="AN113" s="281"/>
    </row>
    <row r="114" spans="1:40">
      <c r="A114" s="847"/>
      <c r="B114" s="326" t="s">
        <v>1154</v>
      </c>
      <c r="C114" s="673">
        <f>'Inputs and eligible population'!F61</f>
        <v>0</v>
      </c>
      <c r="D114" s="127">
        <f>'Financial impact (cash)'!$D$15*'Capacity (local prices)'!$C114</f>
        <v>0</v>
      </c>
      <c r="E114" s="127">
        <f>'Financial impact (cash)'!$D$15*'Capacity (local prices)'!$C114</f>
        <v>0</v>
      </c>
      <c r="F114" s="127">
        <f>'Financial impact (cash)'!$E$15*'Capacity (local prices)'!$C114</f>
        <v>0</v>
      </c>
      <c r="G114" s="127">
        <f>'Financial impact (cash)'!$F$15*'Capacity (local prices)'!$C114</f>
        <v>0</v>
      </c>
      <c r="H114" s="127">
        <f>'Financial impact (cash)'!$G$15*'Capacity (local prices)'!$C114</f>
        <v>0</v>
      </c>
      <c r="I114" s="127">
        <f>'Financial impact (cash)'!$H$15*'Capacity (local prices)'!$C114</f>
        <v>0</v>
      </c>
      <c r="J114" s="856"/>
      <c r="K114" s="863"/>
      <c r="L114" s="864"/>
      <c r="M114" s="864"/>
      <c r="N114" s="864"/>
      <c r="O114" s="864"/>
      <c r="P114" s="864"/>
      <c r="Q114" s="864"/>
      <c r="R114" s="132"/>
      <c r="S114" s="132"/>
      <c r="T114" s="132"/>
      <c r="U114" s="132"/>
      <c r="V114" s="132"/>
      <c r="W114" s="132"/>
      <c r="X114" s="132"/>
      <c r="Y114" s="132"/>
      <c r="Z114" s="132"/>
      <c r="AJ114" s="281"/>
      <c r="AK114" s="281"/>
      <c r="AL114" s="281"/>
      <c r="AM114" s="281"/>
      <c r="AN114" s="281"/>
    </row>
    <row r="115" spans="1:40">
      <c r="A115" s="847"/>
      <c r="B115" s="326" t="s">
        <v>1155</v>
      </c>
      <c r="C115" s="673">
        <f>'Inputs and eligible population'!G61</f>
        <v>0</v>
      </c>
      <c r="D115" s="127">
        <f>'Financial impact (cash)'!$D$15*'Capacity (local prices)'!$C115</f>
        <v>0</v>
      </c>
      <c r="E115" s="127">
        <f>'Financial impact (cash)'!$D$15*'Capacity (local prices)'!$C115</f>
        <v>0</v>
      </c>
      <c r="F115" s="127">
        <f>'Financial impact (cash)'!$D$15*'Capacity (local prices)'!$C115</f>
        <v>0</v>
      </c>
      <c r="G115" s="127">
        <f>'Financial impact (cash)'!$E$15*'Capacity (local prices)'!$C115</f>
        <v>0</v>
      </c>
      <c r="H115" s="127">
        <f>'Financial impact (cash)'!$F$15*'Capacity (local prices)'!$C115</f>
        <v>0</v>
      </c>
      <c r="I115" s="127">
        <f>'Financial impact (cash)'!$G$15*'Capacity (local prices)'!$C115</f>
        <v>0</v>
      </c>
      <c r="J115" s="856"/>
      <c r="K115" s="863"/>
      <c r="L115" s="864"/>
      <c r="M115" s="864"/>
      <c r="N115" s="864"/>
      <c r="O115" s="864"/>
      <c r="P115" s="864"/>
      <c r="Q115" s="864"/>
      <c r="R115" s="132"/>
      <c r="S115" s="132"/>
      <c r="T115" s="132"/>
      <c r="U115" s="132"/>
      <c r="V115" s="132"/>
      <c r="W115" s="132"/>
      <c r="X115" s="132"/>
      <c r="Y115" s="132"/>
      <c r="Z115" s="132"/>
      <c r="AJ115" s="281"/>
      <c r="AK115" s="281"/>
      <c r="AL115" s="281"/>
      <c r="AM115" s="281"/>
      <c r="AN115" s="281"/>
    </row>
    <row r="116" spans="1:40">
      <c r="A116" s="847"/>
      <c r="B116" s="326" t="s">
        <v>1156</v>
      </c>
      <c r="C116" s="673">
        <f>'Inputs and eligible population'!H61</f>
        <v>0</v>
      </c>
      <c r="D116" s="127">
        <f>'Financial impact (cash)'!$D$15*'Capacity (local prices)'!$C116</f>
        <v>0</v>
      </c>
      <c r="E116" s="127">
        <f>'Financial impact (cash)'!$D$15*'Capacity (local prices)'!$C116</f>
        <v>0</v>
      </c>
      <c r="F116" s="127">
        <f>'Financial impact (cash)'!$D$15*'Capacity (local prices)'!$C116</f>
        <v>0</v>
      </c>
      <c r="G116" s="127">
        <f>'Financial impact (cash)'!$D$15*'Capacity (local prices)'!$C116</f>
        <v>0</v>
      </c>
      <c r="H116" s="127">
        <f>'Financial impact (cash)'!$E$15*'Capacity (local prices)'!$C116</f>
        <v>0</v>
      </c>
      <c r="I116" s="127">
        <f>'Financial impact (cash)'!$F$15*'Capacity (local prices)'!$C116</f>
        <v>0</v>
      </c>
      <c r="J116" s="856"/>
      <c r="K116" s="863"/>
      <c r="L116" s="864"/>
      <c r="M116" s="864"/>
      <c r="N116" s="864"/>
      <c r="O116" s="864"/>
      <c r="P116" s="864"/>
      <c r="Q116" s="864"/>
      <c r="R116" s="132"/>
      <c r="S116" s="132"/>
      <c r="T116" s="132"/>
      <c r="U116" s="132"/>
      <c r="V116" s="132"/>
      <c r="W116" s="132"/>
      <c r="X116" s="132"/>
      <c r="Y116" s="132"/>
      <c r="Z116" s="132"/>
      <c r="AJ116" s="281"/>
      <c r="AK116" s="281"/>
      <c r="AL116" s="281"/>
      <c r="AM116" s="281"/>
      <c r="AN116" s="281"/>
    </row>
    <row r="117" spans="1:40">
      <c r="A117" s="847"/>
      <c r="B117" s="326" t="s">
        <v>1157</v>
      </c>
      <c r="C117" s="673">
        <f>'Inputs and eligible population'!I61</f>
        <v>0</v>
      </c>
      <c r="D117" s="127">
        <f>'Financial impact (cash)'!$D$15*'Capacity (local prices)'!$C117</f>
        <v>0</v>
      </c>
      <c r="E117" s="127">
        <f>'Financial impact (cash)'!$D$15*'Capacity (local prices)'!$C117</f>
        <v>0</v>
      </c>
      <c r="F117" s="127">
        <f>'Financial impact (cash)'!$D$15*'Capacity (local prices)'!$C117</f>
        <v>0</v>
      </c>
      <c r="G117" s="127">
        <f>'Financial impact (cash)'!$D$15*'Capacity (local prices)'!$C117</f>
        <v>0</v>
      </c>
      <c r="H117" s="127">
        <f>'Financial impact (cash)'!$D$15*'Capacity (local prices)'!$C117</f>
        <v>0</v>
      </c>
      <c r="I117" s="127">
        <f>'Financial impact (cash)'!$E$15*'Capacity (local prices)'!$C117</f>
        <v>0</v>
      </c>
      <c r="J117" s="856"/>
      <c r="K117" s="863"/>
      <c r="L117" s="864"/>
      <c r="M117" s="864"/>
      <c r="N117" s="864"/>
      <c r="O117" s="864"/>
      <c r="P117" s="864"/>
      <c r="Q117" s="864"/>
      <c r="R117" s="132"/>
      <c r="S117" s="132"/>
      <c r="T117" s="132"/>
      <c r="U117" s="132"/>
      <c r="V117" s="132"/>
      <c r="W117" s="132"/>
      <c r="X117" s="132"/>
      <c r="Y117" s="132"/>
      <c r="Z117" s="132"/>
      <c r="AJ117" s="281"/>
      <c r="AK117" s="281"/>
      <c r="AL117" s="281"/>
      <c r="AM117" s="281"/>
      <c r="AN117" s="281"/>
    </row>
    <row r="118" spans="1:40">
      <c r="A118" s="847"/>
      <c r="B118" s="326" t="s">
        <v>1158</v>
      </c>
      <c r="C118" s="673">
        <f>'Inputs and eligible population'!E62</f>
        <v>0</v>
      </c>
      <c r="D118" s="127">
        <f>'Financial impact (cash)'!$D$16*'Capacity (local prices)'!$C118</f>
        <v>0</v>
      </c>
      <c r="E118" s="127">
        <f>'Financial impact (cash)'!$E$16*'Capacity (local prices)'!$C118</f>
        <v>0</v>
      </c>
      <c r="F118" s="127">
        <f>'Financial impact (cash)'!$F$16*'Capacity (local prices)'!$C118</f>
        <v>0</v>
      </c>
      <c r="G118" s="127">
        <f>'Financial impact (cash)'!$G$16*'Capacity (local prices)'!$C118</f>
        <v>0</v>
      </c>
      <c r="H118" s="127">
        <f>'Financial impact (cash)'!$H$16*'Capacity (local prices)'!$C118</f>
        <v>0</v>
      </c>
      <c r="I118" s="127">
        <f>'Financial impact (cash)'!$I$16*'Capacity (local prices)'!$C118</f>
        <v>0</v>
      </c>
      <c r="J118" s="856"/>
      <c r="K118" s="863"/>
      <c r="L118" s="864"/>
      <c r="M118" s="864"/>
      <c r="N118" s="864"/>
      <c r="O118" s="864"/>
      <c r="P118" s="864"/>
      <c r="Q118" s="864"/>
      <c r="R118" s="132"/>
      <c r="S118" s="132"/>
      <c r="T118" s="132"/>
      <c r="U118" s="132"/>
      <c r="V118" s="132"/>
      <c r="W118" s="132"/>
      <c r="X118" s="132"/>
      <c r="Y118" s="132"/>
      <c r="Z118" s="132"/>
      <c r="AJ118" s="281"/>
      <c r="AK118" s="281"/>
      <c r="AL118" s="281"/>
      <c r="AM118" s="281"/>
      <c r="AN118" s="281"/>
    </row>
    <row r="119" spans="1:40">
      <c r="A119" s="847"/>
      <c r="B119" s="326" t="s">
        <v>1159</v>
      </c>
      <c r="C119" s="673">
        <f>'Inputs and eligible population'!F62</f>
        <v>0</v>
      </c>
      <c r="D119" s="127">
        <f>'Financial impact (cash)'!$D$16*'Capacity (local prices)'!$C119</f>
        <v>0</v>
      </c>
      <c r="E119" s="127">
        <f>'Financial impact (cash)'!$D$16*'Capacity (local prices)'!$C119</f>
        <v>0</v>
      </c>
      <c r="F119" s="127">
        <f>'Financial impact (cash)'!$E$16*'Capacity (local prices)'!$C119</f>
        <v>0</v>
      </c>
      <c r="G119" s="127">
        <f>'Financial impact (cash)'!$F$16*'Capacity (local prices)'!$C119</f>
        <v>0</v>
      </c>
      <c r="H119" s="127">
        <f>'Financial impact (cash)'!$G$16*'Capacity (local prices)'!$C119</f>
        <v>0</v>
      </c>
      <c r="I119" s="127">
        <f>'Financial impact (cash)'!$H$16*'Capacity (local prices)'!$C119</f>
        <v>0</v>
      </c>
      <c r="J119" s="856"/>
      <c r="K119" s="863"/>
      <c r="L119" s="864"/>
      <c r="M119" s="864"/>
      <c r="N119" s="864"/>
      <c r="O119" s="864"/>
      <c r="P119" s="864"/>
      <c r="Q119" s="864"/>
      <c r="R119" s="132"/>
      <c r="S119" s="132"/>
      <c r="T119" s="132"/>
      <c r="U119" s="132"/>
      <c r="V119" s="132"/>
      <c r="W119" s="132"/>
      <c r="X119" s="132"/>
      <c r="Y119" s="132"/>
      <c r="Z119" s="132"/>
      <c r="AJ119" s="281"/>
      <c r="AK119" s="281"/>
      <c r="AL119" s="281"/>
      <c r="AM119" s="281"/>
      <c r="AN119" s="281"/>
    </row>
    <row r="120" spans="1:40">
      <c r="A120" s="847"/>
      <c r="B120" s="326" t="s">
        <v>1160</v>
      </c>
      <c r="C120" s="673">
        <f>'Inputs and eligible population'!G62</f>
        <v>0</v>
      </c>
      <c r="D120" s="127">
        <f>'Financial impact (cash)'!$D$16*'Capacity (local prices)'!$C120</f>
        <v>0</v>
      </c>
      <c r="E120" s="127">
        <f>'Financial impact (cash)'!$D$16*'Capacity (local prices)'!$C120</f>
        <v>0</v>
      </c>
      <c r="F120" s="127">
        <f>'Financial impact (cash)'!$D$16*'Capacity (local prices)'!$C120</f>
        <v>0</v>
      </c>
      <c r="G120" s="127">
        <f>'Financial impact (cash)'!$E$16*'Capacity (local prices)'!$C120</f>
        <v>0</v>
      </c>
      <c r="H120" s="127">
        <f>'Financial impact (cash)'!$F$16*'Capacity (local prices)'!$C120</f>
        <v>0</v>
      </c>
      <c r="I120" s="127">
        <f>'Financial impact (cash)'!$G$16*'Capacity (local prices)'!$C120</f>
        <v>0</v>
      </c>
      <c r="J120" s="856"/>
      <c r="K120" s="863"/>
      <c r="L120" s="864"/>
      <c r="M120" s="864"/>
      <c r="N120" s="864"/>
      <c r="O120" s="864"/>
      <c r="P120" s="864"/>
      <c r="Q120" s="864"/>
      <c r="R120" s="132"/>
      <c r="S120" s="132"/>
      <c r="T120" s="132"/>
      <c r="U120" s="132"/>
      <c r="V120" s="132"/>
      <c r="W120" s="132"/>
      <c r="X120" s="132"/>
      <c r="Y120" s="132"/>
      <c r="Z120" s="132"/>
      <c r="AJ120" s="281"/>
      <c r="AK120" s="281"/>
      <c r="AL120" s="281"/>
      <c r="AM120" s="281"/>
      <c r="AN120" s="281"/>
    </row>
    <row r="121" spans="1:40">
      <c r="A121" s="847"/>
      <c r="B121" s="326" t="s">
        <v>1161</v>
      </c>
      <c r="C121" s="673">
        <f>'Inputs and eligible population'!H62</f>
        <v>0</v>
      </c>
      <c r="D121" s="127">
        <f>'Financial impact (cash)'!$D$16*'Capacity (local prices)'!$C121</f>
        <v>0</v>
      </c>
      <c r="E121" s="127">
        <f>'Financial impact (cash)'!$D$16*'Capacity (local prices)'!$C121</f>
        <v>0</v>
      </c>
      <c r="F121" s="127">
        <f>'Financial impact (cash)'!$D$16*'Capacity (local prices)'!$C121</f>
        <v>0</v>
      </c>
      <c r="G121" s="127">
        <f>'Financial impact (cash)'!$D$16*'Capacity (local prices)'!$C121</f>
        <v>0</v>
      </c>
      <c r="H121" s="127">
        <f>'Financial impact (cash)'!$E$16*'Capacity (local prices)'!$C121</f>
        <v>0</v>
      </c>
      <c r="I121" s="127">
        <f>'Financial impact (cash)'!$F$16*'Capacity (local prices)'!$C121</f>
        <v>0</v>
      </c>
      <c r="J121" s="856"/>
      <c r="K121" s="863"/>
      <c r="L121" s="864"/>
      <c r="M121" s="864"/>
      <c r="N121" s="864"/>
      <c r="O121" s="864"/>
      <c r="P121" s="864"/>
      <c r="Q121" s="864"/>
      <c r="R121" s="132"/>
      <c r="S121" s="132"/>
      <c r="T121" s="132"/>
      <c r="U121" s="132"/>
      <c r="V121" s="132"/>
      <c r="W121" s="132"/>
      <c r="X121" s="132"/>
      <c r="Y121" s="132"/>
      <c r="Z121" s="132"/>
      <c r="AJ121" s="281"/>
      <c r="AK121" s="281"/>
      <c r="AL121" s="281"/>
      <c r="AM121" s="281"/>
      <c r="AN121" s="281"/>
    </row>
    <row r="122" spans="1:40">
      <c r="A122" s="847"/>
      <c r="B122" s="326" t="s">
        <v>1162</v>
      </c>
      <c r="C122" s="673">
        <f>'Inputs and eligible population'!I62</f>
        <v>0</v>
      </c>
      <c r="D122" s="127">
        <f>'Financial impact (cash)'!$D$16*'Capacity (local prices)'!$C122</f>
        <v>0</v>
      </c>
      <c r="E122" s="127">
        <f>'Financial impact (cash)'!$D$16*'Capacity (local prices)'!$C122</f>
        <v>0</v>
      </c>
      <c r="F122" s="127">
        <f>'Financial impact (cash)'!$D$16*'Capacity (local prices)'!$C122</f>
        <v>0</v>
      </c>
      <c r="G122" s="127">
        <f>'Financial impact (cash)'!$D$16*'Capacity (local prices)'!$C122</f>
        <v>0</v>
      </c>
      <c r="H122" s="127">
        <f>'Financial impact (cash)'!$D$16*'Capacity (local prices)'!$C122</f>
        <v>0</v>
      </c>
      <c r="I122" s="127">
        <f>'Financial impact (cash)'!$E$16*'Capacity (local prices)'!$C122</f>
        <v>0</v>
      </c>
      <c r="J122" s="856"/>
      <c r="K122" s="863"/>
      <c r="L122" s="864"/>
      <c r="M122" s="864"/>
      <c r="N122" s="864"/>
      <c r="O122" s="864"/>
      <c r="P122" s="864"/>
      <c r="Q122" s="864"/>
      <c r="R122" s="132"/>
      <c r="S122" s="132"/>
      <c r="T122" s="132"/>
      <c r="U122" s="132"/>
      <c r="V122" s="132"/>
      <c r="W122" s="132"/>
      <c r="X122" s="132"/>
      <c r="Y122" s="132"/>
      <c r="Z122" s="132"/>
      <c r="AJ122" s="281"/>
      <c r="AK122" s="281"/>
      <c r="AL122" s="281"/>
      <c r="AM122" s="281"/>
      <c r="AN122" s="281"/>
    </row>
    <row r="123" spans="1:40">
      <c r="A123" s="847"/>
      <c r="B123" s="326" t="s">
        <v>1163</v>
      </c>
      <c r="C123" s="673">
        <f>'Inputs and eligible population'!E63</f>
        <v>0</v>
      </c>
      <c r="D123" s="127">
        <f>'Financial impact (cash)'!$D$17*'Capacity (local prices)'!$C123</f>
        <v>0</v>
      </c>
      <c r="E123" s="127">
        <f>'Financial impact (cash)'!$E$17*'Capacity (local prices)'!$C123</f>
        <v>0</v>
      </c>
      <c r="F123" s="127">
        <f>'Financial impact (cash)'!$F$17*'Capacity (local prices)'!$C123</f>
        <v>0</v>
      </c>
      <c r="G123" s="127">
        <f>'Financial impact (cash)'!$G$17*'Capacity (local prices)'!$C123</f>
        <v>0</v>
      </c>
      <c r="H123" s="127">
        <f>'Financial impact (cash)'!$H$17*'Capacity (local prices)'!$C123</f>
        <v>0</v>
      </c>
      <c r="I123" s="127">
        <f>'Financial impact (cash)'!$I$17*'Capacity (local prices)'!$C123</f>
        <v>0</v>
      </c>
      <c r="J123" s="856"/>
      <c r="K123" s="863"/>
      <c r="L123" s="864"/>
      <c r="M123" s="864"/>
      <c r="N123" s="864"/>
      <c r="O123" s="864"/>
      <c r="P123" s="864"/>
      <c r="Q123" s="864"/>
      <c r="R123" s="132"/>
      <c r="S123" s="132"/>
      <c r="T123" s="132"/>
      <c r="U123" s="132"/>
      <c r="V123" s="132"/>
      <c r="W123" s="132"/>
      <c r="X123" s="132"/>
      <c r="Y123" s="132"/>
      <c r="Z123" s="132"/>
      <c r="AJ123" s="281"/>
      <c r="AK123" s="281"/>
      <c r="AL123" s="281"/>
      <c r="AM123" s="281"/>
      <c r="AN123" s="281"/>
    </row>
    <row r="124" spans="1:40">
      <c r="A124" s="847"/>
      <c r="B124" s="326" t="s">
        <v>1164</v>
      </c>
      <c r="C124" s="673">
        <f>'Inputs and eligible population'!F63</f>
        <v>0</v>
      </c>
      <c r="D124" s="127">
        <f>'Financial impact (cash)'!$D$17*'Capacity (local prices)'!$C124</f>
        <v>0</v>
      </c>
      <c r="E124" s="127">
        <f>'Financial impact (cash)'!$D$17*'Capacity (local prices)'!$C124</f>
        <v>0</v>
      </c>
      <c r="F124" s="127">
        <f>'Financial impact (cash)'!$E$17*'Capacity (local prices)'!$C124</f>
        <v>0</v>
      </c>
      <c r="G124" s="127">
        <f>'Financial impact (cash)'!$F$17*'Capacity (local prices)'!$C124</f>
        <v>0</v>
      </c>
      <c r="H124" s="127">
        <f>'Financial impact (cash)'!$G$17*'Capacity (local prices)'!$C124</f>
        <v>0</v>
      </c>
      <c r="I124" s="127">
        <f>'Financial impact (cash)'!$H$17*'Capacity (local prices)'!$C124</f>
        <v>0</v>
      </c>
      <c r="J124" s="856"/>
      <c r="K124" s="863"/>
      <c r="L124" s="864"/>
      <c r="M124" s="864"/>
      <c r="N124" s="864"/>
      <c r="O124" s="864"/>
      <c r="P124" s="864"/>
      <c r="Q124" s="864"/>
      <c r="R124" s="132"/>
      <c r="S124" s="132"/>
      <c r="T124" s="132"/>
      <c r="U124" s="132"/>
      <c r="V124" s="132"/>
      <c r="W124" s="132"/>
      <c r="X124" s="132"/>
      <c r="Y124" s="132"/>
      <c r="Z124" s="132"/>
      <c r="AJ124" s="281"/>
      <c r="AK124" s="281"/>
      <c r="AL124" s="281"/>
      <c r="AM124" s="281"/>
      <c r="AN124" s="281"/>
    </row>
    <row r="125" spans="1:40">
      <c r="A125" s="847"/>
      <c r="B125" s="326" t="s">
        <v>1165</v>
      </c>
      <c r="C125" s="673">
        <f>'Inputs and eligible population'!G63</f>
        <v>0</v>
      </c>
      <c r="D125" s="127">
        <f>'Financial impact (cash)'!$D$17*'Capacity (local prices)'!$C125</f>
        <v>0</v>
      </c>
      <c r="E125" s="127">
        <f>'Financial impact (cash)'!$D$17*'Capacity (local prices)'!$C125</f>
        <v>0</v>
      </c>
      <c r="F125" s="127">
        <f>'Financial impact (cash)'!$D$17*'Capacity (local prices)'!$C125</f>
        <v>0</v>
      </c>
      <c r="G125" s="127">
        <f>'Financial impact (cash)'!$E$17*'Capacity (local prices)'!$C125</f>
        <v>0</v>
      </c>
      <c r="H125" s="127">
        <f>'Financial impact (cash)'!$F$17*'Capacity (local prices)'!$C125</f>
        <v>0</v>
      </c>
      <c r="I125" s="127">
        <f>'Financial impact (cash)'!$G$17*'Capacity (local prices)'!$C125</f>
        <v>0</v>
      </c>
      <c r="J125" s="856"/>
      <c r="K125" s="863"/>
      <c r="L125" s="864"/>
      <c r="M125" s="864"/>
      <c r="N125" s="864"/>
      <c r="O125" s="864"/>
      <c r="P125" s="864"/>
      <c r="Q125" s="864"/>
      <c r="R125" s="132"/>
      <c r="S125" s="132"/>
      <c r="T125" s="132"/>
      <c r="U125" s="132"/>
      <c r="V125" s="132"/>
      <c r="W125" s="132"/>
      <c r="X125" s="132"/>
      <c r="Y125" s="132"/>
      <c r="Z125" s="132"/>
      <c r="AJ125" s="281"/>
      <c r="AK125" s="281"/>
      <c r="AL125" s="281"/>
      <c r="AM125" s="281"/>
      <c r="AN125" s="281"/>
    </row>
    <row r="126" spans="1:40">
      <c r="A126" s="847"/>
      <c r="B126" s="326" t="s">
        <v>1166</v>
      </c>
      <c r="C126" s="673">
        <f>'Inputs and eligible population'!H63</f>
        <v>0</v>
      </c>
      <c r="D126" s="127">
        <f>'Financial impact (cash)'!$D$17*'Capacity (local prices)'!$C126</f>
        <v>0</v>
      </c>
      <c r="E126" s="127">
        <f>'Financial impact (cash)'!$D$17*'Capacity (local prices)'!$C126</f>
        <v>0</v>
      </c>
      <c r="F126" s="127">
        <f>'Financial impact (cash)'!$D$17*'Capacity (local prices)'!$C126</f>
        <v>0</v>
      </c>
      <c r="G126" s="127">
        <f>'Financial impact (cash)'!$D$17*'Capacity (local prices)'!$C126</f>
        <v>0</v>
      </c>
      <c r="H126" s="127">
        <f>'Financial impact (cash)'!$E$17*'Capacity (local prices)'!$C126</f>
        <v>0</v>
      </c>
      <c r="I126" s="127">
        <f>'Financial impact (cash)'!$F$17*'Capacity (local prices)'!$C126</f>
        <v>0</v>
      </c>
      <c r="J126" s="856"/>
      <c r="K126" s="863"/>
      <c r="L126" s="864"/>
      <c r="M126" s="864"/>
      <c r="N126" s="864"/>
      <c r="O126" s="864"/>
      <c r="P126" s="864"/>
      <c r="Q126" s="864"/>
      <c r="R126" s="132"/>
      <c r="S126" s="132"/>
      <c r="T126" s="132"/>
      <c r="U126" s="132"/>
      <c r="V126" s="132"/>
      <c r="W126" s="132"/>
      <c r="X126" s="132"/>
      <c r="Y126" s="132"/>
      <c r="Z126" s="132"/>
      <c r="AJ126" s="281"/>
      <c r="AK126" s="281"/>
      <c r="AL126" s="281"/>
      <c r="AM126" s="281"/>
      <c r="AN126" s="281"/>
    </row>
    <row r="127" spans="1:40">
      <c r="A127" s="847"/>
      <c r="B127" s="326" t="s">
        <v>1167</v>
      </c>
      <c r="C127" s="673">
        <f>'Inputs and eligible population'!I63</f>
        <v>0</v>
      </c>
      <c r="D127" s="127">
        <f>'Financial impact (cash)'!$D$17*'Capacity (local prices)'!$C127</f>
        <v>0</v>
      </c>
      <c r="E127" s="127">
        <f>'Financial impact (cash)'!$D$17*'Capacity (local prices)'!$C127</f>
        <v>0</v>
      </c>
      <c r="F127" s="127">
        <f>'Financial impact (cash)'!$D$17*'Capacity (local prices)'!$C127</f>
        <v>0</v>
      </c>
      <c r="G127" s="127">
        <f>'Financial impact (cash)'!$D$17*'Capacity (local prices)'!$C127</f>
        <v>0</v>
      </c>
      <c r="H127" s="127">
        <f>'Financial impact (cash)'!$D$17*'Capacity (local prices)'!$C127</f>
        <v>0</v>
      </c>
      <c r="I127" s="127">
        <f>'Financial impact (cash)'!$E$17*'Capacity (local prices)'!$C127</f>
        <v>0</v>
      </c>
      <c r="J127" s="856"/>
      <c r="K127" s="863"/>
      <c r="L127" s="864"/>
      <c r="M127" s="864"/>
      <c r="N127" s="864"/>
      <c r="O127" s="864"/>
      <c r="P127" s="864"/>
      <c r="Q127" s="864"/>
      <c r="R127" s="132"/>
      <c r="S127" s="132"/>
      <c r="T127" s="132"/>
      <c r="U127" s="132"/>
      <c r="V127" s="132"/>
      <c r="W127" s="132"/>
      <c r="X127" s="132"/>
      <c r="Y127" s="132"/>
      <c r="Z127" s="132"/>
      <c r="AJ127" s="281"/>
      <c r="AK127" s="281"/>
      <c r="AL127" s="281"/>
      <c r="AM127" s="281"/>
      <c r="AN127" s="281"/>
    </row>
    <row r="128" spans="1:40">
      <c r="A128" s="847"/>
      <c r="B128" s="278"/>
      <c r="C128" s="205" t="s">
        <v>1075</v>
      </c>
      <c r="D128" s="184">
        <f>SUM(D103:D127)</f>
        <v>0</v>
      </c>
      <c r="E128" s="184">
        <f>SUM(E103:E127)</f>
        <v>0</v>
      </c>
      <c r="F128" s="184">
        <f t="shared" ref="F128:I128" si="57">SUM(F103:F127)</f>
        <v>0</v>
      </c>
      <c r="G128" s="184">
        <f t="shared" si="57"/>
        <v>0</v>
      </c>
      <c r="H128" s="184">
        <f t="shared" si="57"/>
        <v>0</v>
      </c>
      <c r="I128" s="184">
        <f t="shared" si="57"/>
        <v>0</v>
      </c>
      <c r="J128" s="847"/>
      <c r="K128" s="847"/>
      <c r="L128" s="866"/>
      <c r="M128" s="866"/>
      <c r="N128" s="866"/>
      <c r="O128" s="866"/>
      <c r="P128" s="866"/>
      <c r="Q128" s="866"/>
      <c r="V128" s="132"/>
    </row>
    <row r="129" spans="1:40">
      <c r="A129" s="847"/>
      <c r="B129" s="289"/>
      <c r="C129" s="220"/>
      <c r="D129" s="280" t="s">
        <v>1185</v>
      </c>
      <c r="E129" s="184">
        <f>E128-$D$128</f>
        <v>0</v>
      </c>
      <c r="F129" s="184">
        <f t="shared" ref="F129:I129" si="58">F128-$D$128</f>
        <v>0</v>
      </c>
      <c r="G129" s="184">
        <f t="shared" si="58"/>
        <v>0</v>
      </c>
      <c r="H129" s="184">
        <f t="shared" si="58"/>
        <v>0</v>
      </c>
      <c r="I129" s="184">
        <f t="shared" si="58"/>
        <v>0</v>
      </c>
      <c r="J129" s="847"/>
      <c r="K129" s="847"/>
      <c r="L129" s="847"/>
      <c r="M129" s="866"/>
      <c r="N129" s="866"/>
      <c r="O129" s="866"/>
      <c r="P129" s="866"/>
      <c r="Q129" s="866"/>
      <c r="V129" s="132"/>
    </row>
    <row r="130" spans="1:40">
      <c r="A130" s="847"/>
      <c r="B130" s="871"/>
      <c r="C130" s="853"/>
      <c r="D130" s="856"/>
      <c r="E130" s="856"/>
      <c r="F130" s="856"/>
      <c r="G130" s="856"/>
      <c r="H130" s="856"/>
      <c r="I130" s="856"/>
      <c r="J130" s="856"/>
      <c r="K130" s="856"/>
      <c r="L130" s="856"/>
      <c r="M130" s="856"/>
      <c r="N130" s="856"/>
      <c r="O130" s="856"/>
      <c r="P130" s="856"/>
      <c r="Q130" s="856"/>
      <c r="R130" s="132"/>
      <c r="S130" s="132"/>
      <c r="T130" s="132"/>
      <c r="U130" s="132"/>
      <c r="V130" s="132"/>
      <c r="W130" s="132"/>
      <c r="X130" s="132"/>
      <c r="Y130" s="132"/>
      <c r="Z130" s="132"/>
      <c r="AJ130" s="281"/>
      <c r="AK130" s="281"/>
      <c r="AL130" s="281"/>
      <c r="AM130" s="281"/>
      <c r="AN130" s="281"/>
    </row>
    <row r="131" spans="1:40">
      <c r="A131" s="283"/>
      <c r="B131" s="764" t="s">
        <v>838</v>
      </c>
      <c r="C131" s="767"/>
      <c r="D131" s="216"/>
      <c r="E131" s="216"/>
      <c r="F131" s="216"/>
      <c r="G131" s="216"/>
      <c r="H131" s="765"/>
      <c r="I131" s="765"/>
      <c r="J131" s="283"/>
      <c r="K131" s="283"/>
      <c r="L131" s="216"/>
      <c r="M131" s="216"/>
      <c r="N131" s="283"/>
      <c r="O131" s="216"/>
      <c r="P131" s="216"/>
      <c r="Q131" s="216"/>
      <c r="V131" s="132"/>
    </row>
    <row r="132" spans="1:40">
      <c r="A132" s="283"/>
      <c r="B132" s="366" t="s">
        <v>839</v>
      </c>
      <c r="C132" s="367"/>
      <c r="D132" s="367"/>
      <c r="E132" s="367"/>
      <c r="F132" s="367"/>
      <c r="G132" s="367"/>
      <c r="H132" s="367"/>
      <c r="I132" s="215"/>
      <c r="J132" s="283"/>
      <c r="K132" s="283"/>
      <c r="L132" s="283"/>
      <c r="M132" s="283"/>
      <c r="N132" s="283"/>
      <c r="O132" s="283"/>
      <c r="P132" s="283"/>
      <c r="Q132" s="283"/>
      <c r="V132" s="132"/>
    </row>
    <row r="133" spans="1:40" ht="45">
      <c r="A133" s="283"/>
      <c r="B133" s="274" t="s">
        <v>757</v>
      </c>
      <c r="C133" s="165" t="s">
        <v>718</v>
      </c>
      <c r="D133" s="392" t="s">
        <v>825</v>
      </c>
      <c r="E133" s="251" t="s">
        <v>674</v>
      </c>
      <c r="F133" s="251" t="s">
        <v>675</v>
      </c>
      <c r="G133" s="164" t="s">
        <v>792</v>
      </c>
      <c r="H133" s="164" t="s">
        <v>793</v>
      </c>
      <c r="I133" s="251" t="s">
        <v>794</v>
      </c>
      <c r="J133" s="283"/>
      <c r="K133" s="515" t="s">
        <v>834</v>
      </c>
      <c r="L133" s="392" t="s">
        <v>825</v>
      </c>
      <c r="M133" s="251" t="s">
        <v>674</v>
      </c>
      <c r="N133" s="251" t="s">
        <v>675</v>
      </c>
      <c r="O133" s="164" t="s">
        <v>792</v>
      </c>
      <c r="P133" s="164" t="s">
        <v>793</v>
      </c>
      <c r="Q133" s="251" t="s">
        <v>794</v>
      </c>
      <c r="V133" s="132"/>
    </row>
    <row r="134" spans="1:40">
      <c r="A134" s="283"/>
      <c r="B134" s="326" t="s">
        <v>1143</v>
      </c>
      <c r="C134" s="148">
        <f>'Inputs and eligible population'!F$104</f>
        <v>20</v>
      </c>
      <c r="D134" s="127">
        <f>('Financial impact (cash)'!D13*'Inputs and eligible population'!$E59)*$C134/60</f>
        <v>0</v>
      </c>
      <c r="E134" s="127">
        <f>(('Financial impact (cash)'!E13)*'Inputs and eligible population'!$E$59*'Capacity (local prices)'!$C134)/60</f>
        <v>0</v>
      </c>
      <c r="F134" s="127">
        <f>(('Financial impact (cash)'!F13)*'Inputs and eligible population'!$E$59*'Capacity (local prices)'!$C134)/60</f>
        <v>0</v>
      </c>
      <c r="G134" s="127">
        <f>(('Financial impact (cash)'!G13)*'Inputs and eligible population'!$E$59*'Capacity (local prices)'!$C134)/60</f>
        <v>0</v>
      </c>
      <c r="H134" s="127">
        <f>(('Financial impact (cash)'!H13)*'Inputs and eligible population'!$E$59*'Capacity (local prices)'!$C134)/60</f>
        <v>0</v>
      </c>
      <c r="I134" s="127">
        <f>(('Financial impact (cash)'!I13)*'Inputs and eligible population'!$E$59*'Capacity (local prices)'!$C134)/60</f>
        <v>0</v>
      </c>
      <c r="J134" s="216"/>
      <c r="K134" s="528">
        <f>'Inputs and eligible population'!K$104</f>
        <v>49.16</v>
      </c>
      <c r="L134" s="530">
        <f>$K134/1000*D134</f>
        <v>0</v>
      </c>
      <c r="M134" s="530">
        <f t="shared" ref="M134:M158" si="59">$K134/1000*E134</f>
        <v>0</v>
      </c>
      <c r="N134" s="530">
        <f t="shared" ref="N134:N158" si="60">$K134/1000*F134</f>
        <v>0</v>
      </c>
      <c r="O134" s="530">
        <f t="shared" ref="O134:O158" si="61">$K134/1000*G134</f>
        <v>0</v>
      </c>
      <c r="P134" s="530">
        <f t="shared" ref="P134:P158" si="62">$K134/1000*H134</f>
        <v>0</v>
      </c>
      <c r="Q134" s="530">
        <f t="shared" ref="Q134:Q158" si="63">$K134/1000*I134</f>
        <v>0</v>
      </c>
      <c r="R134" s="132"/>
      <c r="S134" s="132"/>
      <c r="T134" s="132"/>
      <c r="U134" s="132"/>
      <c r="V134" s="132"/>
      <c r="W134" s="132"/>
      <c r="X134" s="132"/>
      <c r="Y134" s="132"/>
      <c r="Z134" s="132"/>
      <c r="AJ134" s="281"/>
      <c r="AK134" s="281"/>
      <c r="AL134" s="281"/>
      <c r="AM134" s="281"/>
      <c r="AN134" s="281"/>
    </row>
    <row r="135" spans="1:40">
      <c r="A135" s="283"/>
      <c r="B135" s="326" t="s">
        <v>1144</v>
      </c>
      <c r="C135" s="148">
        <f>'Inputs and eligible population'!F$104</f>
        <v>20</v>
      </c>
      <c r="D135" s="127">
        <f>(('Financial impact (cash)'!D13)*'Inputs and eligible population'!$F$59*'Capacity (local prices)'!$C135/60)</f>
        <v>0</v>
      </c>
      <c r="E135" s="127">
        <f>'Financial impact (cash)'!D13*'Inputs and eligible population'!$F$59*'Capacity (local prices)'!$C135/60</f>
        <v>0</v>
      </c>
      <c r="F135" s="127">
        <f>(('Financial impact (cash)'!E13)*'Inputs and eligible population'!$F$59*'Capacity (local prices)'!$C135)/60</f>
        <v>0</v>
      </c>
      <c r="G135" s="127">
        <f>(('Financial impact (cash)'!F13)*'Inputs and eligible population'!$F$59)*'Capacity (local prices)'!$C135/60</f>
        <v>0</v>
      </c>
      <c r="H135" s="127">
        <f>(('Financial impact (cash)'!G13)*'Inputs and eligible population'!$F$59)*'Capacity (local prices)'!$C135/60</f>
        <v>0</v>
      </c>
      <c r="I135" s="127">
        <f>(('Financial impact (cash)'!H13)*'Inputs and eligible population'!$F$59)*'Capacity (local prices)'!$C135/60</f>
        <v>0</v>
      </c>
      <c r="J135" s="216"/>
      <c r="K135" s="528">
        <f>'Inputs and eligible population'!K$104</f>
        <v>49.16</v>
      </c>
      <c r="L135" s="530">
        <f t="shared" ref="L135:L158" si="64">$K135/1000*D135</f>
        <v>0</v>
      </c>
      <c r="M135" s="530">
        <f t="shared" si="59"/>
        <v>0</v>
      </c>
      <c r="N135" s="530">
        <f t="shared" si="60"/>
        <v>0</v>
      </c>
      <c r="O135" s="530">
        <f t="shared" si="61"/>
        <v>0</v>
      </c>
      <c r="P135" s="530">
        <f t="shared" si="62"/>
        <v>0</v>
      </c>
      <c r="Q135" s="530">
        <f t="shared" si="63"/>
        <v>0</v>
      </c>
      <c r="R135" s="132"/>
      <c r="S135" s="132"/>
      <c r="T135" s="132"/>
      <c r="U135" s="132"/>
      <c r="V135" s="132"/>
      <c r="W135" s="132"/>
      <c r="X135" s="132"/>
      <c r="Y135" s="132"/>
      <c r="Z135" s="132"/>
      <c r="AJ135" s="281"/>
      <c r="AK135" s="281"/>
      <c r="AL135" s="281"/>
      <c r="AM135" s="281"/>
      <c r="AN135" s="281"/>
    </row>
    <row r="136" spans="1:40">
      <c r="A136" s="283"/>
      <c r="B136" s="326" t="s">
        <v>1145</v>
      </c>
      <c r="C136" s="148">
        <f>'Inputs and eligible population'!F$104</f>
        <v>20</v>
      </c>
      <c r="D136" s="127">
        <f>(('Financial impact (cash)'!D13)*'Inputs and eligible population'!$G$59)*'Capacity (local prices)'!$C136/60</f>
        <v>0</v>
      </c>
      <c r="E136" s="127">
        <f>(('Financial impact (cash)'!D13)*'Inputs and eligible population'!$G$59)*'Capacity (local prices)'!$C136/60</f>
        <v>0</v>
      </c>
      <c r="F136" s="127">
        <f>(('Financial impact (cash)'!D13)*'Inputs and eligible population'!$G$59)*'Capacity (local prices)'!$C136/60</f>
        <v>0</v>
      </c>
      <c r="G136" s="127">
        <f>(('Financial impact (cash)'!E13)*'Inputs and eligible population'!$G$59)*'Capacity (local prices)'!$C136/60</f>
        <v>0</v>
      </c>
      <c r="H136" s="127">
        <f>(('Financial impact (cash)'!F13)*'Inputs and eligible population'!$G$59)*'Capacity (local prices)'!$C136/60</f>
        <v>0</v>
      </c>
      <c r="I136" s="127">
        <f>(('Financial impact (cash)'!G13)*'Inputs and eligible population'!$G$59)*'Capacity (local prices)'!$C136/60</f>
        <v>0</v>
      </c>
      <c r="J136" s="216"/>
      <c r="K136" s="528">
        <f>'Inputs and eligible population'!K$104</f>
        <v>49.16</v>
      </c>
      <c r="L136" s="530">
        <f t="shared" si="64"/>
        <v>0</v>
      </c>
      <c r="M136" s="530">
        <f t="shared" si="59"/>
        <v>0</v>
      </c>
      <c r="N136" s="530">
        <f t="shared" si="60"/>
        <v>0</v>
      </c>
      <c r="O136" s="530">
        <f t="shared" si="61"/>
        <v>0</v>
      </c>
      <c r="P136" s="530">
        <f t="shared" si="62"/>
        <v>0</v>
      </c>
      <c r="Q136" s="530">
        <f t="shared" si="63"/>
        <v>0</v>
      </c>
      <c r="R136" s="132"/>
      <c r="S136" s="132"/>
      <c r="T136" s="132"/>
      <c r="U136" s="132"/>
      <c r="V136" s="132"/>
      <c r="W136" s="132"/>
      <c r="X136" s="132"/>
      <c r="Y136" s="132"/>
      <c r="Z136" s="132"/>
      <c r="AJ136" s="281"/>
      <c r="AK136" s="281"/>
      <c r="AL136" s="281"/>
      <c r="AM136" s="281"/>
      <c r="AN136" s="281"/>
    </row>
    <row r="137" spans="1:40">
      <c r="A137" s="283"/>
      <c r="B137" s="326" t="s">
        <v>1146</v>
      </c>
      <c r="C137" s="148">
        <f>'Inputs and eligible population'!F$104</f>
        <v>20</v>
      </c>
      <c r="D137" s="127">
        <f>(('Financial impact (cash)'!D13)*'Inputs and eligible population'!$H$59)*'Capacity (local prices)'!$C137/60</f>
        <v>0</v>
      </c>
      <c r="E137" s="127">
        <f>(('Financial impact (cash)'!D13)*'Inputs and eligible population'!$H$59)*'Capacity (local prices)'!$C137/60</f>
        <v>0</v>
      </c>
      <c r="F137" s="127">
        <f>(('Financial impact (cash)'!D13)*'Inputs and eligible population'!$H$59)*'Capacity (local prices)'!$C137/60</f>
        <v>0</v>
      </c>
      <c r="G137" s="127">
        <f>(('Financial impact (cash)'!D13)*'Inputs and eligible population'!$H$59)*'Capacity (local prices)'!$C137/60</f>
        <v>0</v>
      </c>
      <c r="H137" s="127">
        <f>(('Financial impact (cash)'!E13)*'Inputs and eligible population'!$H$59)*'Capacity (local prices)'!$C137/60</f>
        <v>0</v>
      </c>
      <c r="I137" s="127">
        <f>(('Financial impact (cash)'!F13)*'Inputs and eligible population'!$H$59)*'Capacity (local prices)'!$C137/60</f>
        <v>0</v>
      </c>
      <c r="J137" s="216"/>
      <c r="K137" s="528">
        <f>'Inputs and eligible population'!K$104</f>
        <v>49.16</v>
      </c>
      <c r="L137" s="530">
        <f t="shared" si="64"/>
        <v>0</v>
      </c>
      <c r="M137" s="530">
        <f t="shared" si="59"/>
        <v>0</v>
      </c>
      <c r="N137" s="530">
        <f t="shared" si="60"/>
        <v>0</v>
      </c>
      <c r="O137" s="530">
        <f t="shared" si="61"/>
        <v>0</v>
      </c>
      <c r="P137" s="530">
        <f t="shared" si="62"/>
        <v>0</v>
      </c>
      <c r="Q137" s="530">
        <f t="shared" si="63"/>
        <v>0</v>
      </c>
      <c r="R137" s="132"/>
      <c r="S137" s="132"/>
      <c r="T137" s="132"/>
      <c r="U137" s="132"/>
      <c r="V137" s="132"/>
      <c r="W137" s="132"/>
      <c r="X137" s="132"/>
      <c r="Y137" s="132"/>
      <c r="Z137" s="132"/>
      <c r="AJ137" s="281"/>
      <c r="AK137" s="281"/>
      <c r="AL137" s="281"/>
      <c r="AM137" s="281"/>
      <c r="AN137" s="281"/>
    </row>
    <row r="138" spans="1:40">
      <c r="A138" s="283"/>
      <c r="B138" s="326" t="s">
        <v>1147</v>
      </c>
      <c r="C138" s="148">
        <f>'Inputs and eligible population'!F$104</f>
        <v>20</v>
      </c>
      <c r="D138" s="127">
        <f>(('Financial impact (cash)'!D13)*'Inputs and eligible population'!$I$59)*'Capacity (local prices)'!$C138/60</f>
        <v>0</v>
      </c>
      <c r="E138" s="127">
        <f>(('Financial impact (cash)'!D13)*'Inputs and eligible population'!$I$59)*'Capacity (local prices)'!$C138/60</f>
        <v>0</v>
      </c>
      <c r="F138" s="127">
        <f>(('Financial impact (cash)'!D13)*'Inputs and eligible population'!$I$59)*'Capacity (local prices)'!$C138/60</f>
        <v>0</v>
      </c>
      <c r="G138" s="127">
        <f>(('Financial impact (cash)'!D13)*'Inputs and eligible population'!$I$59)*'Capacity (local prices)'!$C138/60</f>
        <v>0</v>
      </c>
      <c r="H138" s="127">
        <f>(('Financial impact (cash)'!D13)*'Inputs and eligible population'!$I$59)*'Capacity (local prices)'!$C138/60</f>
        <v>0</v>
      </c>
      <c r="I138" s="127">
        <f>(('Financial impact (cash)'!E13)*'Inputs and eligible population'!$I$59)*'Capacity (local prices)'!$C138/60</f>
        <v>0</v>
      </c>
      <c r="J138" s="216"/>
      <c r="K138" s="528">
        <f>'Inputs and eligible population'!K$104</f>
        <v>49.16</v>
      </c>
      <c r="L138" s="530">
        <f t="shared" si="64"/>
        <v>0</v>
      </c>
      <c r="M138" s="530">
        <f t="shared" si="59"/>
        <v>0</v>
      </c>
      <c r="N138" s="530">
        <f t="shared" si="60"/>
        <v>0</v>
      </c>
      <c r="O138" s="530">
        <f t="shared" si="61"/>
        <v>0</v>
      </c>
      <c r="P138" s="530">
        <f t="shared" si="62"/>
        <v>0</v>
      </c>
      <c r="Q138" s="530">
        <f t="shared" si="63"/>
        <v>0</v>
      </c>
      <c r="R138" s="132"/>
      <c r="S138" s="132"/>
      <c r="T138" s="132"/>
      <c r="U138" s="132"/>
      <c r="V138" s="132"/>
      <c r="W138" s="132"/>
      <c r="X138" s="132"/>
      <c r="Y138" s="132"/>
      <c r="Z138" s="132"/>
      <c r="AJ138" s="281"/>
      <c r="AK138" s="281"/>
      <c r="AL138" s="281"/>
      <c r="AM138" s="281"/>
      <c r="AN138" s="281"/>
    </row>
    <row r="139" spans="1:40">
      <c r="A139" s="283"/>
      <c r="B139" s="326" t="s">
        <v>1148</v>
      </c>
      <c r="C139" s="148">
        <f>'Inputs and eligible population'!F$104</f>
        <v>20</v>
      </c>
      <c r="D139" s="127">
        <f>('Financial impact (cash)'!D14*'Inputs and eligible population'!$E91)*$C139/60</f>
        <v>0</v>
      </c>
      <c r="E139" s="127">
        <f>(('Financial impact (cash)'!E14)*'Inputs and eligible population'!$E$60)*'Capacity (local prices)'!$C139/60</f>
        <v>0</v>
      </c>
      <c r="F139" s="127">
        <f>(('Financial impact (cash)'!F14)*'Inputs and eligible population'!$E$60)*'Capacity (local prices)'!$C139/60</f>
        <v>0</v>
      </c>
      <c r="G139" s="127">
        <f>(('Financial impact (cash)'!G14)*'Inputs and eligible population'!$E$60)*'Capacity (local prices)'!$C139/60</f>
        <v>0</v>
      </c>
      <c r="H139" s="127">
        <f>(('Financial impact (cash)'!H14)*'Inputs and eligible population'!$E$60)*'Capacity (local prices)'!$C139/60</f>
        <v>0</v>
      </c>
      <c r="I139" s="127">
        <f>(('Financial impact (cash)'!$I$14)*'Inputs and eligible population'!$E$60)*'Capacity (local prices)'!$C139/60</f>
        <v>0</v>
      </c>
      <c r="J139" s="216"/>
      <c r="K139" s="528">
        <f>'Inputs and eligible population'!K$104</f>
        <v>49.16</v>
      </c>
      <c r="L139" s="530">
        <f t="shared" si="64"/>
        <v>0</v>
      </c>
      <c r="M139" s="530">
        <f t="shared" si="59"/>
        <v>0</v>
      </c>
      <c r="N139" s="530">
        <f t="shared" si="60"/>
        <v>0</v>
      </c>
      <c r="O139" s="530">
        <f t="shared" si="61"/>
        <v>0</v>
      </c>
      <c r="P139" s="530">
        <f t="shared" si="62"/>
        <v>0</v>
      </c>
      <c r="Q139" s="530">
        <f t="shared" si="63"/>
        <v>0</v>
      </c>
      <c r="R139" s="132"/>
      <c r="S139" s="132"/>
      <c r="T139" s="132"/>
      <c r="U139" s="132"/>
      <c r="V139" s="132"/>
      <c r="W139" s="132"/>
      <c r="X139" s="132"/>
      <c r="Y139" s="132"/>
      <c r="Z139" s="132"/>
      <c r="AJ139" s="281"/>
      <c r="AK139" s="281"/>
      <c r="AL139" s="281"/>
      <c r="AM139" s="281"/>
      <c r="AN139" s="281"/>
    </row>
    <row r="140" spans="1:40">
      <c r="A140" s="283"/>
      <c r="B140" s="326" t="s">
        <v>1149</v>
      </c>
      <c r="C140" s="148">
        <f>'Inputs and eligible population'!F$104</f>
        <v>20</v>
      </c>
      <c r="D140" s="127">
        <f>(('Financial impact (cash)'!D14)*'Inputs and eligible population'!$F$60)*'Capacity (local prices)'!$C140/60</f>
        <v>0</v>
      </c>
      <c r="E140" s="127">
        <f>(('Financial impact (cash)'!D14)*'Inputs and eligible population'!$F$60)*'Capacity (local prices)'!$C140/60</f>
        <v>0</v>
      </c>
      <c r="F140" s="127">
        <f>(('Financial impact (cash)'!E14)*'Inputs and eligible population'!$F$60*'Capacity (local prices)'!$C140/60)</f>
        <v>0</v>
      </c>
      <c r="G140" s="127">
        <f>(('Financial impact (cash)'!F14)*'Inputs and eligible population'!$F$60)*'Capacity (local prices)'!$C140/60</f>
        <v>0</v>
      </c>
      <c r="H140" s="127">
        <f>(('Financial impact (cash)'!G14)*'Inputs and eligible population'!$F$60)*'Capacity (local prices)'!$C140/60</f>
        <v>0</v>
      </c>
      <c r="I140" s="127">
        <f>(('Financial impact (cash)'!H14)*'Inputs and eligible population'!$F$60)*'Capacity (local prices)'!$C140/60</f>
        <v>0</v>
      </c>
      <c r="J140" s="216"/>
      <c r="K140" s="528">
        <f>'Inputs and eligible population'!K$104</f>
        <v>49.16</v>
      </c>
      <c r="L140" s="530">
        <f t="shared" si="64"/>
        <v>0</v>
      </c>
      <c r="M140" s="530">
        <f t="shared" si="59"/>
        <v>0</v>
      </c>
      <c r="N140" s="530">
        <f t="shared" si="60"/>
        <v>0</v>
      </c>
      <c r="O140" s="530">
        <f t="shared" si="61"/>
        <v>0</v>
      </c>
      <c r="P140" s="530">
        <f t="shared" si="62"/>
        <v>0</v>
      </c>
      <c r="Q140" s="530">
        <f t="shared" si="63"/>
        <v>0</v>
      </c>
      <c r="R140" s="132"/>
      <c r="S140" s="132"/>
      <c r="T140" s="132"/>
      <c r="U140" s="132"/>
      <c r="V140" s="132"/>
      <c r="W140" s="132"/>
      <c r="X140" s="132"/>
      <c r="Y140" s="132"/>
      <c r="Z140" s="132"/>
      <c r="AJ140" s="281"/>
      <c r="AK140" s="281"/>
      <c r="AL140" s="281"/>
      <c r="AM140" s="281"/>
      <c r="AN140" s="281"/>
    </row>
    <row r="141" spans="1:40">
      <c r="A141" s="283"/>
      <c r="B141" s="326" t="s">
        <v>1150</v>
      </c>
      <c r="C141" s="148">
        <f>'Inputs and eligible population'!F$104</f>
        <v>20</v>
      </c>
      <c r="D141" s="127">
        <f>(('Financial impact (cash)'!D14)*'Inputs and eligible population'!$G$60)*'Capacity (local prices)'!$C141/60</f>
        <v>0</v>
      </c>
      <c r="E141" s="127">
        <f>(('Financial impact (cash)'!D14)*'Inputs and eligible population'!$G$60)*'Capacity (local prices)'!$C141/60</f>
        <v>0</v>
      </c>
      <c r="F141" s="127">
        <f>(('Financial impact (cash)'!D14)*'Inputs and eligible population'!$G$60)*'Capacity (local prices)'!$C141/60</f>
        <v>0</v>
      </c>
      <c r="G141" s="127">
        <f>(('Financial impact (cash)'!E14)*'Inputs and eligible population'!$G$60)*'Capacity (local prices)'!$C141/60</f>
        <v>0</v>
      </c>
      <c r="H141" s="127">
        <f>(('Financial impact (cash)'!F14)*'Inputs and eligible population'!$G$60*'Capacity (local prices)'!$C141/60)</f>
        <v>0</v>
      </c>
      <c r="I141" s="127">
        <f>(('Financial impact (cash)'!G14)*'Inputs and eligible population'!$G$60)*'Capacity (local prices)'!$C141/60</f>
        <v>0</v>
      </c>
      <c r="J141" s="216"/>
      <c r="K141" s="528">
        <f>'Inputs and eligible population'!K$104</f>
        <v>49.16</v>
      </c>
      <c r="L141" s="530">
        <f t="shared" si="64"/>
        <v>0</v>
      </c>
      <c r="M141" s="530">
        <f t="shared" si="59"/>
        <v>0</v>
      </c>
      <c r="N141" s="530">
        <f t="shared" si="60"/>
        <v>0</v>
      </c>
      <c r="O141" s="530">
        <f t="shared" si="61"/>
        <v>0</v>
      </c>
      <c r="P141" s="530">
        <f t="shared" si="62"/>
        <v>0</v>
      </c>
      <c r="Q141" s="530">
        <f t="shared" si="63"/>
        <v>0</v>
      </c>
      <c r="R141" s="132"/>
      <c r="S141" s="132"/>
      <c r="T141" s="132"/>
      <c r="U141" s="132"/>
      <c r="V141" s="132"/>
      <c r="W141" s="132"/>
      <c r="X141" s="132"/>
      <c r="Y141" s="132"/>
      <c r="Z141" s="132"/>
      <c r="AJ141" s="281"/>
      <c r="AK141" s="281"/>
      <c r="AL141" s="281"/>
      <c r="AM141" s="281"/>
      <c r="AN141" s="281"/>
    </row>
    <row r="142" spans="1:40">
      <c r="A142" s="283"/>
      <c r="B142" s="326" t="s">
        <v>1151</v>
      </c>
      <c r="C142" s="148">
        <f>'Inputs and eligible population'!F$104</f>
        <v>20</v>
      </c>
      <c r="D142" s="127">
        <f>(('Financial impact (cash)'!D14)*'Inputs and eligible population'!$H$60)*'Capacity (local prices)'!$C142/60</f>
        <v>0</v>
      </c>
      <c r="E142" s="127">
        <f>(('Financial impact (cash)'!D14)*'Inputs and eligible population'!$H$60)*'Capacity (local prices)'!$C142/60</f>
        <v>0</v>
      </c>
      <c r="F142" s="127">
        <f>(('Financial impact (cash)'!D14)*'Inputs and eligible population'!$H$60)*'Capacity (local prices)'!$C142/60</f>
        <v>0</v>
      </c>
      <c r="G142" s="127">
        <f>(('Financial impact (cash)'!D14)*'Inputs and eligible population'!$H$60)*'Capacity (local prices)'!$C142/60</f>
        <v>0</v>
      </c>
      <c r="H142" s="127">
        <f>(('Financial impact (cash)'!E14)*'Inputs and eligible population'!$H$60)*'Capacity (local prices)'!$C142/60</f>
        <v>0</v>
      </c>
      <c r="I142" s="127">
        <f>(('Financial impact (cash)'!F14)*'Inputs and eligible population'!$H$60)*'Capacity (local prices)'!$C142/60</f>
        <v>0</v>
      </c>
      <c r="J142" s="216"/>
      <c r="K142" s="528">
        <f>'Inputs and eligible population'!K$104</f>
        <v>49.16</v>
      </c>
      <c r="L142" s="530">
        <f t="shared" si="64"/>
        <v>0</v>
      </c>
      <c r="M142" s="530">
        <f t="shared" si="59"/>
        <v>0</v>
      </c>
      <c r="N142" s="530">
        <f t="shared" si="60"/>
        <v>0</v>
      </c>
      <c r="O142" s="530">
        <f t="shared" si="61"/>
        <v>0</v>
      </c>
      <c r="P142" s="530">
        <f t="shared" si="62"/>
        <v>0</v>
      </c>
      <c r="Q142" s="530">
        <f t="shared" si="63"/>
        <v>0</v>
      </c>
      <c r="R142" s="132"/>
      <c r="S142" s="132"/>
      <c r="T142" s="132"/>
      <c r="U142" s="132"/>
      <c r="V142" s="132"/>
      <c r="W142" s="132"/>
      <c r="X142" s="132"/>
      <c r="Y142" s="132"/>
      <c r="Z142" s="132"/>
      <c r="AJ142" s="281"/>
      <c r="AK142" s="281"/>
      <c r="AL142" s="281"/>
      <c r="AM142" s="281"/>
      <c r="AN142" s="281"/>
    </row>
    <row r="143" spans="1:40">
      <c r="A143" s="283"/>
      <c r="B143" s="326" t="s">
        <v>1152</v>
      </c>
      <c r="C143" s="148">
        <f>'Inputs and eligible population'!F$104</f>
        <v>20</v>
      </c>
      <c r="D143" s="127">
        <f>(('Financial impact (cash)'!D14)*'Inputs and eligible population'!$I$60)*'Capacity (local prices)'!$C143/60</f>
        <v>0</v>
      </c>
      <c r="E143" s="127">
        <f>(('Financial impact (cash)'!D14)*'Inputs and eligible population'!$I$60)*'Capacity (local prices)'!$C143/60</f>
        <v>0</v>
      </c>
      <c r="F143" s="127">
        <f>('Financial impact (cash)'!D14)*'Inputs and eligible population'!$I$60*'Capacity (local prices)'!$C143/60</f>
        <v>0</v>
      </c>
      <c r="G143" s="127">
        <f>(('Financial impact (cash)'!D14)*'Inputs and eligible population'!$I$60)*'Capacity (local prices)'!$C143/60</f>
        <v>0</v>
      </c>
      <c r="H143" s="127">
        <f>(('Financial impact (cash)'!D14)*'Inputs and eligible population'!$I$60)*'Capacity (local prices)'!$C143/60</f>
        <v>0</v>
      </c>
      <c r="I143" s="127">
        <f>(('Financial impact (cash)'!E14)*'Inputs and eligible population'!$I$60)*'Capacity (local prices)'!$C143/60</f>
        <v>0</v>
      </c>
      <c r="J143" s="216"/>
      <c r="K143" s="528">
        <f>'Inputs and eligible population'!K$104</f>
        <v>49.16</v>
      </c>
      <c r="L143" s="530">
        <f t="shared" si="64"/>
        <v>0</v>
      </c>
      <c r="M143" s="530">
        <f t="shared" si="59"/>
        <v>0</v>
      </c>
      <c r="N143" s="530">
        <f t="shared" si="60"/>
        <v>0</v>
      </c>
      <c r="O143" s="530">
        <f t="shared" si="61"/>
        <v>0</v>
      </c>
      <c r="P143" s="530">
        <f t="shared" si="62"/>
        <v>0</v>
      </c>
      <c r="Q143" s="530">
        <f t="shared" si="63"/>
        <v>0</v>
      </c>
      <c r="R143" s="132"/>
      <c r="S143" s="132"/>
      <c r="T143" s="132"/>
      <c r="U143" s="132"/>
      <c r="V143" s="132"/>
      <c r="W143" s="132"/>
      <c r="X143" s="132"/>
      <c r="Y143" s="132"/>
      <c r="Z143" s="132"/>
      <c r="AJ143" s="281"/>
      <c r="AK143" s="281"/>
      <c r="AL143" s="281"/>
      <c r="AM143" s="281"/>
      <c r="AN143" s="281"/>
    </row>
    <row r="144" spans="1:40">
      <c r="A144" s="283"/>
      <c r="B144" s="326" t="s">
        <v>1153</v>
      </c>
      <c r="C144" s="673">
        <f>'Inputs and eligible population'!$G$104</f>
        <v>20</v>
      </c>
      <c r="D144" s="127">
        <f>('Financial impact (cash)'!D15*'Inputs and eligible population'!$E61)*$C144/60</f>
        <v>0</v>
      </c>
      <c r="E144" s="127">
        <f>(('Financial impact (cash)'!E15)*'Inputs and eligible population'!$E$61)*'Capacity (local prices)'!$C144/60</f>
        <v>0</v>
      </c>
      <c r="F144" s="127">
        <f>(('Financial impact (cash)'!F15)*'Inputs and eligible population'!$E$61)*'Capacity (local prices)'!$C144/60</f>
        <v>0</v>
      </c>
      <c r="G144" s="127">
        <f>(('Financial impact (cash)'!G15)*'Inputs and eligible population'!$E$61*'Capacity (local prices)'!$C144)/60</f>
        <v>0</v>
      </c>
      <c r="H144" s="127">
        <f>(('Financial impact (cash)'!H15)*'Inputs and eligible population'!$E$61)*'Capacity (local prices)'!$C144/60</f>
        <v>0</v>
      </c>
      <c r="I144" s="127">
        <f>(('Financial impact (cash)'!I15)*'Inputs and eligible population'!$E$61)*'Capacity (local prices)'!$C144/60</f>
        <v>0</v>
      </c>
      <c r="J144" s="216"/>
      <c r="K144" s="528">
        <f>'Inputs and eligible population'!K$104</f>
        <v>49.16</v>
      </c>
      <c r="L144" s="530">
        <f t="shared" si="64"/>
        <v>0</v>
      </c>
      <c r="M144" s="530">
        <f t="shared" si="59"/>
        <v>0</v>
      </c>
      <c r="N144" s="530">
        <f t="shared" si="60"/>
        <v>0</v>
      </c>
      <c r="O144" s="530">
        <f t="shared" si="61"/>
        <v>0</v>
      </c>
      <c r="P144" s="530">
        <f t="shared" si="62"/>
        <v>0</v>
      </c>
      <c r="Q144" s="530">
        <f t="shared" si="63"/>
        <v>0</v>
      </c>
      <c r="R144" s="132"/>
      <c r="S144" s="132"/>
      <c r="T144" s="132"/>
      <c r="U144" s="132"/>
      <c r="V144" s="132"/>
      <c r="W144" s="132"/>
      <c r="X144" s="132"/>
      <c r="Y144" s="132"/>
      <c r="Z144" s="132"/>
      <c r="AJ144" s="281"/>
      <c r="AK144" s="281"/>
      <c r="AL144" s="281"/>
      <c r="AM144" s="281"/>
      <c r="AN144" s="281"/>
    </row>
    <row r="145" spans="1:40">
      <c r="A145" s="283"/>
      <c r="B145" s="326" t="s">
        <v>1154</v>
      </c>
      <c r="C145" s="673">
        <f>'Inputs and eligible population'!$G$104</f>
        <v>20</v>
      </c>
      <c r="D145" s="127">
        <f>(('Financial impact (cash)'!D15)*'Inputs and eligible population'!$F$61)*'Capacity (local prices)'!$C145/60</f>
        <v>0</v>
      </c>
      <c r="E145" s="127">
        <f>(('Financial impact (cash)'!D15)*'Inputs and eligible population'!$F$61)*'Capacity (local prices)'!$C145/60</f>
        <v>0</v>
      </c>
      <c r="F145" s="127">
        <f>(('Financial impact (cash)'!E15)*'Inputs and eligible population'!$F$61)*'Capacity (local prices)'!$C145/60</f>
        <v>0</v>
      </c>
      <c r="G145" s="127">
        <f>(('Financial impact (cash)'!F15)*'Inputs and eligible population'!$F$61)*'Capacity (local prices)'!$C145/60</f>
        <v>0</v>
      </c>
      <c r="H145" s="127">
        <f>(('Financial impact (cash)'!G15)*'Inputs and eligible population'!$F$61)*'Capacity (local prices)'!$C145/60</f>
        <v>0</v>
      </c>
      <c r="I145" s="127">
        <f>(('Financial impact (cash)'!H15)*'Inputs and eligible population'!$F$61)*'Capacity (local prices)'!$C145/60</f>
        <v>0</v>
      </c>
      <c r="J145" s="216"/>
      <c r="K145" s="528">
        <f>'Inputs and eligible population'!K$104</f>
        <v>49.16</v>
      </c>
      <c r="L145" s="530">
        <f t="shared" si="64"/>
        <v>0</v>
      </c>
      <c r="M145" s="530">
        <f t="shared" si="59"/>
        <v>0</v>
      </c>
      <c r="N145" s="530">
        <f t="shared" si="60"/>
        <v>0</v>
      </c>
      <c r="O145" s="530">
        <f t="shared" si="61"/>
        <v>0</v>
      </c>
      <c r="P145" s="530">
        <f t="shared" si="62"/>
        <v>0</v>
      </c>
      <c r="Q145" s="530">
        <f t="shared" si="63"/>
        <v>0</v>
      </c>
      <c r="R145" s="132"/>
      <c r="S145" s="132"/>
      <c r="T145" s="132"/>
      <c r="U145" s="132"/>
      <c r="V145" s="132"/>
      <c r="W145" s="132"/>
      <c r="X145" s="132"/>
      <c r="Y145" s="132"/>
      <c r="Z145" s="132"/>
      <c r="AJ145" s="281"/>
      <c r="AK145" s="281"/>
      <c r="AL145" s="281"/>
      <c r="AM145" s="281"/>
      <c r="AN145" s="281"/>
    </row>
    <row r="146" spans="1:40">
      <c r="A146" s="283"/>
      <c r="B146" s="326" t="s">
        <v>1155</v>
      </c>
      <c r="C146" s="673">
        <f>'Inputs and eligible population'!$G$104</f>
        <v>20</v>
      </c>
      <c r="D146" s="127">
        <f>(('Financial impact (cash)'!D15)*'Inputs and eligible population'!$G$61)*'Capacity (local prices)'!$C146/60</f>
        <v>0</v>
      </c>
      <c r="E146" s="127">
        <f>(('Financial impact (cash)'!D15)*'Inputs and eligible population'!$G$61)*'Capacity (local prices)'!$C146/60</f>
        <v>0</v>
      </c>
      <c r="F146" s="127">
        <f>(('Financial impact (cash)'!D15)*'Inputs and eligible population'!$G$61)*'Capacity (local prices)'!$C146/60</f>
        <v>0</v>
      </c>
      <c r="G146" s="127">
        <f>(('Financial impact (cash)'!E15)*'Inputs and eligible population'!$G$61)*'Capacity (local prices)'!$C146/60</f>
        <v>0</v>
      </c>
      <c r="H146" s="127">
        <f>(('Financial impact (cash)'!F15)*'Inputs and eligible population'!$G$61)*'Capacity (local prices)'!$C146/60</f>
        <v>0</v>
      </c>
      <c r="I146" s="127">
        <f>(('Financial impact (cash)'!G15)*'Inputs and eligible population'!$G$61)*'Capacity (local prices)'!$C146/60</f>
        <v>0</v>
      </c>
      <c r="J146" s="216"/>
      <c r="K146" s="528">
        <f>'Inputs and eligible population'!K$104</f>
        <v>49.16</v>
      </c>
      <c r="L146" s="530">
        <f t="shared" si="64"/>
        <v>0</v>
      </c>
      <c r="M146" s="530">
        <f t="shared" si="59"/>
        <v>0</v>
      </c>
      <c r="N146" s="530">
        <f t="shared" si="60"/>
        <v>0</v>
      </c>
      <c r="O146" s="530">
        <f t="shared" si="61"/>
        <v>0</v>
      </c>
      <c r="P146" s="530">
        <f t="shared" si="62"/>
        <v>0</v>
      </c>
      <c r="Q146" s="530">
        <f t="shared" si="63"/>
        <v>0</v>
      </c>
      <c r="R146" s="132"/>
      <c r="S146" s="132"/>
      <c r="T146" s="132"/>
      <c r="U146" s="132"/>
      <c r="V146" s="132"/>
      <c r="W146" s="132"/>
      <c r="X146" s="132"/>
      <c r="Y146" s="132"/>
      <c r="Z146" s="132"/>
      <c r="AJ146" s="281"/>
      <c r="AK146" s="281"/>
      <c r="AL146" s="281"/>
      <c r="AM146" s="281"/>
      <c r="AN146" s="281"/>
    </row>
    <row r="147" spans="1:40">
      <c r="A147" s="283"/>
      <c r="B147" s="326" t="s">
        <v>1156</v>
      </c>
      <c r="C147" s="673">
        <f>'Inputs and eligible population'!$G$104</f>
        <v>20</v>
      </c>
      <c r="D147" s="127">
        <f>(('Financial impact (cash)'!D15)*'Inputs and eligible population'!$H$61)*'Capacity (local prices)'!$C147/60</f>
        <v>0</v>
      </c>
      <c r="E147" s="127">
        <f>(('Financial impact (cash)'!D15)*'Inputs and eligible population'!$H$61)*'Capacity (local prices)'!$C147/60</f>
        <v>0</v>
      </c>
      <c r="F147" s="127">
        <f>(('Financial impact (cash)'!D15)*'Inputs and eligible population'!$H$61)*'Capacity (local prices)'!$C147/60</f>
        <v>0</v>
      </c>
      <c r="G147" s="127">
        <f>(('Financial impact (cash)'!D15)*'Inputs and eligible population'!$H$61)*'Capacity (local prices)'!$C147/60</f>
        <v>0</v>
      </c>
      <c r="H147" s="127">
        <f>(('Financial impact (cash)'!E15)*'Inputs and eligible population'!$H$61)*'Capacity (local prices)'!$C147/60</f>
        <v>0</v>
      </c>
      <c r="I147" s="127">
        <f>(('Financial impact (cash)'!F15)*'Inputs and eligible population'!$H$61)*'Capacity (local prices)'!$C147/60</f>
        <v>0</v>
      </c>
      <c r="J147" s="216"/>
      <c r="K147" s="528">
        <f>'Inputs and eligible population'!K$104</f>
        <v>49.16</v>
      </c>
      <c r="L147" s="530">
        <f t="shared" si="64"/>
        <v>0</v>
      </c>
      <c r="M147" s="530">
        <f t="shared" si="59"/>
        <v>0</v>
      </c>
      <c r="N147" s="530">
        <f t="shared" si="60"/>
        <v>0</v>
      </c>
      <c r="O147" s="530">
        <f t="shared" si="61"/>
        <v>0</v>
      </c>
      <c r="P147" s="530">
        <f t="shared" si="62"/>
        <v>0</v>
      </c>
      <c r="Q147" s="530">
        <f t="shared" si="63"/>
        <v>0</v>
      </c>
      <c r="R147" s="132"/>
      <c r="S147" s="132"/>
      <c r="T147" s="132"/>
      <c r="U147" s="132"/>
      <c r="V147" s="132"/>
      <c r="W147" s="132"/>
      <c r="X147" s="132"/>
      <c r="Y147" s="132"/>
      <c r="Z147" s="132"/>
      <c r="AJ147" s="281"/>
      <c r="AK147" s="281"/>
      <c r="AL147" s="281"/>
      <c r="AM147" s="281"/>
      <c r="AN147" s="281"/>
    </row>
    <row r="148" spans="1:40">
      <c r="A148" s="283"/>
      <c r="B148" s="326" t="s">
        <v>1157</v>
      </c>
      <c r="C148" s="673">
        <f>'Inputs and eligible population'!$G$104</f>
        <v>20</v>
      </c>
      <c r="D148" s="127">
        <f>(('Financial impact (cash)'!D15)*'Inputs and eligible population'!$I$61)*'Capacity (local prices)'!$C148/60</f>
        <v>0</v>
      </c>
      <c r="E148" s="127">
        <f>(('Financial impact (cash)'!D15)*'Inputs and eligible population'!$I$61)*'Capacity (local prices)'!$C148/60</f>
        <v>0</v>
      </c>
      <c r="F148" s="127">
        <f>(('Financial impact (cash)'!D15)*'Inputs and eligible population'!$I$61)*'Capacity (local prices)'!$C148/60</f>
        <v>0</v>
      </c>
      <c r="G148" s="127">
        <f>(('Financial impact (cash)'!D15)*'Inputs and eligible population'!$I$61)*'Capacity (local prices)'!$C148/60</f>
        <v>0</v>
      </c>
      <c r="H148" s="127">
        <f>(('Financial impact (cash)'!D15)*'Inputs and eligible population'!$I$61)*'Capacity (local prices)'!$C148/60</f>
        <v>0</v>
      </c>
      <c r="I148" s="127">
        <f>(('Financial impact (cash)'!E15)*'Inputs and eligible population'!$I$61)*'Capacity (local prices)'!$C148/60</f>
        <v>0</v>
      </c>
      <c r="J148" s="216"/>
      <c r="K148" s="528">
        <f>'Inputs and eligible population'!K$104</f>
        <v>49.16</v>
      </c>
      <c r="L148" s="530">
        <f t="shared" si="64"/>
        <v>0</v>
      </c>
      <c r="M148" s="530">
        <f t="shared" si="59"/>
        <v>0</v>
      </c>
      <c r="N148" s="530">
        <f t="shared" si="60"/>
        <v>0</v>
      </c>
      <c r="O148" s="530">
        <f t="shared" si="61"/>
        <v>0</v>
      </c>
      <c r="P148" s="530">
        <f t="shared" si="62"/>
        <v>0</v>
      </c>
      <c r="Q148" s="530">
        <f t="shared" si="63"/>
        <v>0</v>
      </c>
      <c r="R148" s="132"/>
      <c r="S148" s="132"/>
      <c r="T148" s="132"/>
      <c r="U148" s="132"/>
      <c r="V148" s="132"/>
      <c r="W148" s="132"/>
      <c r="X148" s="132"/>
      <c r="Y148" s="132"/>
      <c r="Z148" s="132"/>
      <c r="AJ148" s="281"/>
      <c r="AK148" s="281"/>
      <c r="AL148" s="281"/>
      <c r="AM148" s="281"/>
      <c r="AN148" s="281"/>
    </row>
    <row r="149" spans="1:40">
      <c r="A149" s="283"/>
      <c r="B149" s="326" t="s">
        <v>1158</v>
      </c>
      <c r="C149" s="673">
        <f>'Inputs and eligible population'!$H$104</f>
        <v>20</v>
      </c>
      <c r="D149" s="127">
        <f>('Financial impact (cash)'!D16*'Inputs and eligible population'!$E62)*$C149/60</f>
        <v>0</v>
      </c>
      <c r="E149" s="127">
        <f>(('Financial impact (cash)'!E16)*'Inputs and eligible population'!$E$62)*'Capacity (local prices)'!$C149/60</f>
        <v>0</v>
      </c>
      <c r="F149" s="127">
        <f>(('Financial impact (cash)'!F16)*'Inputs and eligible population'!$E$62)*'Capacity (local prices)'!$C149/60</f>
        <v>0</v>
      </c>
      <c r="G149" s="127">
        <f>(('Financial impact (cash)'!G16)*'Inputs and eligible population'!$E$62)*'Capacity (local prices)'!$C149/60</f>
        <v>0</v>
      </c>
      <c r="H149" s="127">
        <f>(('Financial impact (cash)'!H16)*'Inputs and eligible population'!$E$62)*'Capacity (local prices)'!$C149/60</f>
        <v>0</v>
      </c>
      <c r="I149" s="127">
        <f>(('Financial impact (cash)'!I16)*'Inputs and eligible population'!$E$62)*'Capacity (local prices)'!$C149/60</f>
        <v>0</v>
      </c>
      <c r="J149" s="216"/>
      <c r="K149" s="528">
        <f>'Inputs and eligible population'!K$104</f>
        <v>49.16</v>
      </c>
      <c r="L149" s="530">
        <f t="shared" si="64"/>
        <v>0</v>
      </c>
      <c r="M149" s="530">
        <f t="shared" si="59"/>
        <v>0</v>
      </c>
      <c r="N149" s="530">
        <f t="shared" si="60"/>
        <v>0</v>
      </c>
      <c r="O149" s="530">
        <f t="shared" si="61"/>
        <v>0</v>
      </c>
      <c r="P149" s="530">
        <f t="shared" si="62"/>
        <v>0</v>
      </c>
      <c r="Q149" s="530">
        <f t="shared" si="63"/>
        <v>0</v>
      </c>
      <c r="R149" s="132"/>
      <c r="S149" s="132"/>
      <c r="T149" s="132"/>
      <c r="U149" s="132"/>
      <c r="V149" s="132"/>
      <c r="W149" s="132"/>
      <c r="X149" s="132"/>
      <c r="Y149" s="132"/>
      <c r="Z149" s="132"/>
      <c r="AJ149" s="281"/>
      <c r="AK149" s="281"/>
      <c r="AL149" s="281"/>
      <c r="AM149" s="281"/>
      <c r="AN149" s="281"/>
    </row>
    <row r="150" spans="1:40">
      <c r="A150" s="283"/>
      <c r="B150" s="326" t="s">
        <v>1159</v>
      </c>
      <c r="C150" s="673">
        <f>'Inputs and eligible population'!$H$104</f>
        <v>20</v>
      </c>
      <c r="D150" s="127">
        <f>(('Financial impact (cash)'!D16)*'Inputs and eligible population'!$F$62)*'Capacity (local prices)'!$C150/60</f>
        <v>0</v>
      </c>
      <c r="E150" s="127">
        <f>(('Financial impact (cash)'!D16)*'Inputs and eligible population'!$F$62)*'Capacity (local prices)'!$C150/60</f>
        <v>0</v>
      </c>
      <c r="F150" s="127">
        <f>((('Financial impact (cash)'!E16)*'Inputs and eligible population'!$F$62)*'Capacity (local prices)'!$C150)/60</f>
        <v>0</v>
      </c>
      <c r="G150" s="127">
        <f>(('Financial impact (cash)'!F16)*'Inputs and eligible population'!$F$62)*'Capacity (local prices)'!$C150/60</f>
        <v>0</v>
      </c>
      <c r="H150" s="127">
        <f>(('Financial impact (cash)'!G16)*'Inputs and eligible population'!$F$62)*'Capacity (local prices)'!$C150/60</f>
        <v>0</v>
      </c>
      <c r="I150" s="127">
        <f>(('Financial impact (cash)'!H16)*'Inputs and eligible population'!$F$62)*'Capacity (local prices)'!$C150/60</f>
        <v>0</v>
      </c>
      <c r="J150" s="216"/>
      <c r="K150" s="528">
        <f>'Inputs and eligible population'!K$104</f>
        <v>49.16</v>
      </c>
      <c r="L150" s="530">
        <f t="shared" si="64"/>
        <v>0</v>
      </c>
      <c r="M150" s="530">
        <f t="shared" si="59"/>
        <v>0</v>
      </c>
      <c r="N150" s="530">
        <f t="shared" si="60"/>
        <v>0</v>
      </c>
      <c r="O150" s="530">
        <f t="shared" si="61"/>
        <v>0</v>
      </c>
      <c r="P150" s="530">
        <f t="shared" si="62"/>
        <v>0</v>
      </c>
      <c r="Q150" s="530">
        <f t="shared" si="63"/>
        <v>0</v>
      </c>
      <c r="R150" s="132"/>
      <c r="S150" s="132"/>
      <c r="T150" s="132"/>
      <c r="U150" s="132"/>
      <c r="V150" s="132"/>
      <c r="W150" s="132"/>
      <c r="X150" s="132"/>
      <c r="Y150" s="132"/>
      <c r="Z150" s="132"/>
      <c r="AJ150" s="281"/>
      <c r="AK150" s="281"/>
      <c r="AL150" s="281"/>
      <c r="AM150" s="281"/>
      <c r="AN150" s="281"/>
    </row>
    <row r="151" spans="1:40">
      <c r="A151" s="283"/>
      <c r="B151" s="326" t="s">
        <v>1160</v>
      </c>
      <c r="C151" s="673">
        <f>'Inputs and eligible population'!$H$104</f>
        <v>20</v>
      </c>
      <c r="D151" s="127">
        <f>(('Financial impact (cash)'!D16)*'Inputs and eligible population'!$G$62)*'Capacity (local prices)'!$C151/60</f>
        <v>0</v>
      </c>
      <c r="E151" s="127">
        <f>(('Financial impact (cash)'!D16)*'Inputs and eligible population'!$G$62)*'Capacity (local prices)'!$C151/60</f>
        <v>0</v>
      </c>
      <c r="F151" s="127">
        <f>(('Financial impact (cash)'!D16)*'Inputs and eligible population'!$G$62)*'Capacity (local prices)'!$C151/60</f>
        <v>0</v>
      </c>
      <c r="G151" s="127">
        <f>(('Financial impact (cash)'!E16)*'Inputs and eligible population'!$G$62)*'Capacity (local prices)'!$C151/60</f>
        <v>0</v>
      </c>
      <c r="H151" s="127">
        <f>(('Financial impact (cash)'!F16)*'Inputs and eligible population'!$G$62)*'Capacity (local prices)'!$C151/60</f>
        <v>0</v>
      </c>
      <c r="I151" s="127">
        <f>(('Financial impact (cash)'!G16)*'Inputs and eligible population'!$G$62)*'Capacity (local prices)'!$C151/60</f>
        <v>0</v>
      </c>
      <c r="J151" s="216"/>
      <c r="K151" s="528">
        <f>'Inputs and eligible population'!K$104</f>
        <v>49.16</v>
      </c>
      <c r="L151" s="530">
        <f t="shared" si="64"/>
        <v>0</v>
      </c>
      <c r="M151" s="530">
        <f t="shared" si="59"/>
        <v>0</v>
      </c>
      <c r="N151" s="530">
        <f t="shared" si="60"/>
        <v>0</v>
      </c>
      <c r="O151" s="530">
        <f t="shared" si="61"/>
        <v>0</v>
      </c>
      <c r="P151" s="530">
        <f t="shared" si="62"/>
        <v>0</v>
      </c>
      <c r="Q151" s="530">
        <f t="shared" si="63"/>
        <v>0</v>
      </c>
      <c r="R151" s="132"/>
      <c r="S151" s="132"/>
      <c r="T151" s="132"/>
      <c r="U151" s="132"/>
      <c r="V151" s="132"/>
      <c r="W151" s="132"/>
      <c r="X151" s="132"/>
      <c r="Y151" s="132"/>
      <c r="Z151" s="132"/>
      <c r="AJ151" s="281"/>
      <c r="AK151" s="281"/>
      <c r="AL151" s="281"/>
      <c r="AM151" s="281"/>
      <c r="AN151" s="281"/>
    </row>
    <row r="152" spans="1:40">
      <c r="A152" s="283"/>
      <c r="B152" s="326" t="s">
        <v>1161</v>
      </c>
      <c r="C152" s="673">
        <f>'Inputs and eligible population'!$H$104</f>
        <v>20</v>
      </c>
      <c r="D152" s="127">
        <f>(('Financial impact (cash)'!D16)*'Inputs and eligible population'!$H$62)*'Capacity (local prices)'!$C152/60</f>
        <v>0</v>
      </c>
      <c r="E152" s="127">
        <f>(('Financial impact (cash)'!D16)*'Inputs and eligible population'!$H$62)*'Capacity (local prices)'!$C152/60</f>
        <v>0</v>
      </c>
      <c r="F152" s="127">
        <f>(('Financial impact (cash)'!D16)*'Inputs and eligible population'!$H$62)*'Capacity (local prices)'!$C152/60</f>
        <v>0</v>
      </c>
      <c r="G152" s="127">
        <f>(('Financial impact (cash)'!D16)*'Inputs and eligible population'!$H$62)*'Capacity (local prices)'!$C152/60</f>
        <v>0</v>
      </c>
      <c r="H152" s="127">
        <f>(('Financial impact (cash)'!E16)*'Inputs and eligible population'!$H$62)*'Capacity (local prices)'!$C152/60</f>
        <v>0</v>
      </c>
      <c r="I152" s="127">
        <f>(('Financial impact (cash)'!F16)*'Inputs and eligible population'!$H$62)*'Capacity (local prices)'!$C152/60</f>
        <v>0</v>
      </c>
      <c r="J152" s="216"/>
      <c r="K152" s="528">
        <f>'Inputs and eligible population'!K$104</f>
        <v>49.16</v>
      </c>
      <c r="L152" s="530">
        <f t="shared" si="64"/>
        <v>0</v>
      </c>
      <c r="M152" s="530">
        <f t="shared" si="59"/>
        <v>0</v>
      </c>
      <c r="N152" s="530">
        <f t="shared" si="60"/>
        <v>0</v>
      </c>
      <c r="O152" s="530">
        <f t="shared" si="61"/>
        <v>0</v>
      </c>
      <c r="P152" s="530">
        <f t="shared" si="62"/>
        <v>0</v>
      </c>
      <c r="Q152" s="530">
        <f t="shared" si="63"/>
        <v>0</v>
      </c>
      <c r="R152" s="132"/>
      <c r="S152" s="132"/>
      <c r="T152" s="132"/>
      <c r="U152" s="132"/>
      <c r="V152" s="132"/>
      <c r="W152" s="132"/>
      <c r="X152" s="132"/>
      <c r="Y152" s="132"/>
      <c r="Z152" s="132"/>
      <c r="AJ152" s="281"/>
      <c r="AK152" s="281"/>
      <c r="AL152" s="281"/>
      <c r="AM152" s="281"/>
      <c r="AN152" s="281"/>
    </row>
    <row r="153" spans="1:40">
      <c r="A153" s="283"/>
      <c r="B153" s="326" t="s">
        <v>1162</v>
      </c>
      <c r="C153" s="673">
        <f>'Inputs and eligible population'!$H$104</f>
        <v>20</v>
      </c>
      <c r="D153" s="127">
        <f>(('Financial impact (cash)'!D16)*'Inputs and eligible population'!$I$62)*'Capacity (local prices)'!$C153/60</f>
        <v>0</v>
      </c>
      <c r="E153" s="127">
        <f>(('Financial impact (cash)'!D16)*'Inputs and eligible population'!$I$62)*'Capacity (local prices)'!$C153/60</f>
        <v>0</v>
      </c>
      <c r="F153" s="127">
        <f>(('Financial impact (cash)'!D16)*'Inputs and eligible population'!$I$62)*'Capacity (local prices)'!$C153/60</f>
        <v>0</v>
      </c>
      <c r="G153" s="127">
        <f>(('Financial impact (cash)'!D16)*'Inputs and eligible population'!$I$62)*'Capacity (local prices)'!$C153/60</f>
        <v>0</v>
      </c>
      <c r="H153" s="127">
        <f>(('Financial impact (cash)'!D16)*'Inputs and eligible population'!$I$62)*'Capacity (local prices)'!$C153/60</f>
        <v>0</v>
      </c>
      <c r="I153" s="127">
        <f>(('Financial impact (cash)'!E16)*'Inputs and eligible population'!$I$62)*'Capacity (local prices)'!$C153/60</f>
        <v>0</v>
      </c>
      <c r="J153" s="216"/>
      <c r="K153" s="528">
        <f>'Inputs and eligible population'!K$104</f>
        <v>49.16</v>
      </c>
      <c r="L153" s="530">
        <f t="shared" si="64"/>
        <v>0</v>
      </c>
      <c r="M153" s="530">
        <f t="shared" si="59"/>
        <v>0</v>
      </c>
      <c r="N153" s="530">
        <f t="shared" si="60"/>
        <v>0</v>
      </c>
      <c r="O153" s="530">
        <f t="shared" si="61"/>
        <v>0</v>
      </c>
      <c r="P153" s="530">
        <f t="shared" si="62"/>
        <v>0</v>
      </c>
      <c r="Q153" s="530">
        <f t="shared" si="63"/>
        <v>0</v>
      </c>
      <c r="R153" s="132"/>
      <c r="S153" s="132"/>
      <c r="T153" s="132"/>
      <c r="U153" s="132"/>
      <c r="V153" s="132"/>
      <c r="W153" s="132"/>
      <c r="X153" s="132"/>
      <c r="Y153" s="132"/>
      <c r="Z153" s="132"/>
      <c r="AJ153" s="281"/>
      <c r="AK153" s="281"/>
      <c r="AL153" s="281"/>
      <c r="AM153" s="281"/>
      <c r="AN153" s="281"/>
    </row>
    <row r="154" spans="1:40">
      <c r="A154" s="283"/>
      <c r="B154" s="326" t="s">
        <v>1163</v>
      </c>
      <c r="C154" s="673">
        <f>'Inputs and eligible population'!$I$104</f>
        <v>20</v>
      </c>
      <c r="D154" s="127">
        <f>('Financial impact (cash)'!D17*'Inputs and eligible population'!$E63)*$C154/60</f>
        <v>0</v>
      </c>
      <c r="E154" s="127">
        <f>(('Financial impact (cash)'!E17)*'Inputs and eligible population'!$E$63)*'Capacity (local prices)'!$C154/60</f>
        <v>0</v>
      </c>
      <c r="F154" s="127">
        <f>(('Financial impact (cash)'!F17)*'Inputs and eligible population'!$E$63)*'Capacity (local prices)'!$C154/60</f>
        <v>0</v>
      </c>
      <c r="G154" s="127">
        <f>(('Financial impact (cash)'!G17)*'Inputs and eligible population'!$E$63)*'Capacity (local prices)'!$C154/60</f>
        <v>0</v>
      </c>
      <c r="H154" s="127">
        <f>(('Financial impact (cash)'!H17)*'Inputs and eligible population'!$E$63)*'Capacity (local prices)'!$C154/60</f>
        <v>0</v>
      </c>
      <c r="I154" s="127">
        <f>(('Financial impact (cash)'!I17)*'Inputs and eligible population'!$E$63)*'Capacity (local prices)'!$C154/60</f>
        <v>0</v>
      </c>
      <c r="J154" s="216"/>
      <c r="K154" s="528">
        <f>'Inputs and eligible population'!K$104</f>
        <v>49.16</v>
      </c>
      <c r="L154" s="530">
        <f t="shared" si="64"/>
        <v>0</v>
      </c>
      <c r="M154" s="530">
        <f t="shared" si="59"/>
        <v>0</v>
      </c>
      <c r="N154" s="530">
        <f t="shared" si="60"/>
        <v>0</v>
      </c>
      <c r="O154" s="530">
        <f t="shared" si="61"/>
        <v>0</v>
      </c>
      <c r="P154" s="530">
        <f t="shared" si="62"/>
        <v>0</v>
      </c>
      <c r="Q154" s="530">
        <f t="shared" si="63"/>
        <v>0</v>
      </c>
      <c r="R154" s="132"/>
      <c r="S154" s="132"/>
      <c r="T154" s="132"/>
      <c r="U154" s="132"/>
      <c r="V154" s="132"/>
      <c r="W154" s="132"/>
      <c r="X154" s="132"/>
      <c r="Y154" s="132"/>
      <c r="Z154" s="132"/>
      <c r="AJ154" s="281"/>
      <c r="AK154" s="281"/>
      <c r="AL154" s="281"/>
      <c r="AM154" s="281"/>
      <c r="AN154" s="281"/>
    </row>
    <row r="155" spans="1:40">
      <c r="A155" s="283"/>
      <c r="B155" s="326" t="s">
        <v>1164</v>
      </c>
      <c r="C155" s="673">
        <f>'Inputs and eligible population'!$I$104</f>
        <v>20</v>
      </c>
      <c r="D155" s="127">
        <f>(('Financial impact (cash)'!D17)*'Inputs and eligible population'!$F$63)*'Capacity (local prices)'!$C155/60</f>
        <v>0</v>
      </c>
      <c r="E155" s="127">
        <f>(('Financial impact (cash)'!D17)*'Inputs and eligible population'!$F$63)*'Capacity (local prices)'!$C155/60</f>
        <v>0</v>
      </c>
      <c r="F155" s="127">
        <f>(('Financial impact (cash)'!E17)*'Inputs and eligible population'!$F$63)*'Capacity (local prices)'!$C155/60</f>
        <v>0</v>
      </c>
      <c r="G155" s="127">
        <f>(('Financial impact (cash)'!F17)*'Inputs and eligible population'!$F$63)*'Capacity (local prices)'!$C155/60</f>
        <v>0</v>
      </c>
      <c r="H155" s="127">
        <f>(('Financial impact (cash)'!G17)*'Inputs and eligible population'!$F$63)*'Capacity (local prices)'!$C155/60</f>
        <v>0</v>
      </c>
      <c r="I155" s="127">
        <f>(('Financial impact (cash)'!H17)*'Inputs and eligible population'!$F$63)*'Capacity (local prices)'!$C155/60</f>
        <v>0</v>
      </c>
      <c r="J155" s="216"/>
      <c r="K155" s="528">
        <f>'Inputs and eligible population'!K$104</f>
        <v>49.16</v>
      </c>
      <c r="L155" s="530">
        <f t="shared" si="64"/>
        <v>0</v>
      </c>
      <c r="M155" s="530">
        <f t="shared" si="59"/>
        <v>0</v>
      </c>
      <c r="N155" s="530">
        <f t="shared" si="60"/>
        <v>0</v>
      </c>
      <c r="O155" s="530">
        <f t="shared" si="61"/>
        <v>0</v>
      </c>
      <c r="P155" s="530">
        <f t="shared" si="62"/>
        <v>0</v>
      </c>
      <c r="Q155" s="530">
        <f t="shared" si="63"/>
        <v>0</v>
      </c>
      <c r="R155" s="132"/>
      <c r="S155" s="132"/>
      <c r="T155" s="132"/>
      <c r="U155" s="132"/>
      <c r="V155" s="132"/>
      <c r="W155" s="132"/>
      <c r="X155" s="132"/>
      <c r="Y155" s="132"/>
      <c r="Z155" s="132"/>
      <c r="AJ155" s="281"/>
      <c r="AK155" s="281"/>
      <c r="AL155" s="281"/>
      <c r="AM155" s="281"/>
      <c r="AN155" s="281"/>
    </row>
    <row r="156" spans="1:40">
      <c r="A156" s="283"/>
      <c r="B156" s="326" t="s">
        <v>1165</v>
      </c>
      <c r="C156" s="673">
        <f>'Inputs and eligible population'!$I$104</f>
        <v>20</v>
      </c>
      <c r="D156" s="127">
        <f>(('Financial impact (cash)'!D17)*'Inputs and eligible population'!$G$63)*'Capacity (local prices)'!$C156/60</f>
        <v>0</v>
      </c>
      <c r="E156" s="127">
        <f>(('Financial impact (cash)'!D17)*'Inputs and eligible population'!$G$63)*'Capacity (local prices)'!$C156/60</f>
        <v>0</v>
      </c>
      <c r="F156" s="127">
        <f>(('Financial impact (cash)'!D17)*'Inputs and eligible population'!$G$63)*'Capacity (local prices)'!$C156/60</f>
        <v>0</v>
      </c>
      <c r="G156" s="127">
        <f>(('Financial impact (cash)'!E17)*'Inputs and eligible population'!$G$63)*'Capacity (local prices)'!$C156/60</f>
        <v>0</v>
      </c>
      <c r="H156" s="127">
        <f>(('Financial impact (cash)'!F17)*'Inputs and eligible population'!$G$63)*'Capacity (local prices)'!$C156/60</f>
        <v>0</v>
      </c>
      <c r="I156" s="127">
        <f>(('Financial impact (cash)'!G17)*'Inputs and eligible population'!$G$63)*'Capacity (local prices)'!$C156/60</f>
        <v>0</v>
      </c>
      <c r="J156" s="216"/>
      <c r="K156" s="528">
        <f>'Inputs and eligible population'!K$104</f>
        <v>49.16</v>
      </c>
      <c r="L156" s="530">
        <f t="shared" si="64"/>
        <v>0</v>
      </c>
      <c r="M156" s="530">
        <f t="shared" si="59"/>
        <v>0</v>
      </c>
      <c r="N156" s="530">
        <f t="shared" si="60"/>
        <v>0</v>
      </c>
      <c r="O156" s="530">
        <f t="shared" si="61"/>
        <v>0</v>
      </c>
      <c r="P156" s="530">
        <f t="shared" si="62"/>
        <v>0</v>
      </c>
      <c r="Q156" s="530">
        <f t="shared" si="63"/>
        <v>0</v>
      </c>
      <c r="R156" s="132"/>
      <c r="S156" s="132"/>
      <c r="T156" s="132"/>
      <c r="U156" s="132"/>
      <c r="V156" s="132"/>
      <c r="W156" s="132"/>
      <c r="X156" s="132"/>
      <c r="Y156" s="132"/>
      <c r="Z156" s="132"/>
      <c r="AJ156" s="281"/>
      <c r="AK156" s="281"/>
      <c r="AL156" s="281"/>
      <c r="AM156" s="281"/>
      <c r="AN156" s="281"/>
    </row>
    <row r="157" spans="1:40">
      <c r="A157" s="283"/>
      <c r="B157" s="326" t="s">
        <v>1166</v>
      </c>
      <c r="C157" s="673">
        <f>'Inputs and eligible population'!$I$104</f>
        <v>20</v>
      </c>
      <c r="D157" s="127">
        <f>(('Financial impact (cash)'!D17)*'Inputs and eligible population'!$H$63)*'Capacity (local prices)'!$C157/60</f>
        <v>0</v>
      </c>
      <c r="E157" s="127">
        <f>(('Financial impact (cash)'!D17)*'Inputs and eligible population'!$H$63)*'Capacity (local prices)'!$C157/60</f>
        <v>0</v>
      </c>
      <c r="F157" s="127">
        <f>(('Financial impact (cash)'!D17)*'Inputs and eligible population'!$H$63)*'Capacity (local prices)'!$C157/60</f>
        <v>0</v>
      </c>
      <c r="G157" s="127">
        <f>(('Financial impact (cash)'!D17)*'Inputs and eligible population'!$H$63)*'Capacity (local prices)'!$C157/60</f>
        <v>0</v>
      </c>
      <c r="H157" s="127">
        <f>(('Financial impact (cash)'!E17)*'Inputs and eligible population'!$H$63)*'Capacity (local prices)'!$C157/60</f>
        <v>0</v>
      </c>
      <c r="I157" s="127">
        <f>(('Financial impact (cash)'!F17)*'Inputs and eligible population'!$H$63)*'Capacity (local prices)'!$C157/60</f>
        <v>0</v>
      </c>
      <c r="J157" s="216"/>
      <c r="K157" s="528">
        <f>'Inputs and eligible population'!K$104</f>
        <v>49.16</v>
      </c>
      <c r="L157" s="530">
        <f t="shared" si="64"/>
        <v>0</v>
      </c>
      <c r="M157" s="530">
        <f t="shared" si="59"/>
        <v>0</v>
      </c>
      <c r="N157" s="530">
        <f t="shared" si="60"/>
        <v>0</v>
      </c>
      <c r="O157" s="530">
        <f t="shared" si="61"/>
        <v>0</v>
      </c>
      <c r="P157" s="530">
        <f t="shared" si="62"/>
        <v>0</v>
      </c>
      <c r="Q157" s="530">
        <f t="shared" si="63"/>
        <v>0</v>
      </c>
      <c r="R157" s="132"/>
      <c r="S157" s="132"/>
      <c r="T157" s="132"/>
      <c r="U157" s="132"/>
      <c r="V157" s="132"/>
      <c r="W157" s="132"/>
      <c r="X157" s="132"/>
      <c r="Y157" s="132"/>
      <c r="Z157" s="132"/>
      <c r="AJ157" s="281"/>
      <c r="AK157" s="281"/>
      <c r="AL157" s="281"/>
      <c r="AM157" s="281"/>
      <c r="AN157" s="281"/>
    </row>
    <row r="158" spans="1:40">
      <c r="A158" s="283"/>
      <c r="B158" s="326" t="s">
        <v>1167</v>
      </c>
      <c r="C158" s="673">
        <f>'Inputs and eligible population'!$I$104</f>
        <v>20</v>
      </c>
      <c r="D158" s="127">
        <f>(('Financial impact (cash)'!D17)*'Inputs and eligible population'!$I$63)*'Capacity (local prices)'!$C158/60</f>
        <v>0</v>
      </c>
      <c r="E158" s="127">
        <f>(('Financial impact (cash)'!D17)*'Inputs and eligible population'!$I$63)*'Capacity (local prices)'!$C158/60</f>
        <v>0</v>
      </c>
      <c r="F158" s="127">
        <f>(('Financial impact (cash)'!D17)*'Inputs and eligible population'!$I$63)*'Capacity (local prices)'!$C158/60</f>
        <v>0</v>
      </c>
      <c r="G158" s="127">
        <f>(('Financial impact (cash)'!D17)*'Inputs and eligible population'!$I$63)*'Capacity (local prices)'!$C158/60</f>
        <v>0</v>
      </c>
      <c r="H158" s="127">
        <f>(('Financial impact (cash)'!D17)*'Inputs and eligible population'!$I$63)*'Capacity (local prices)'!$C158/60</f>
        <v>0</v>
      </c>
      <c r="I158" s="127">
        <f>(('Financial impact (cash)'!E17)*'Inputs and eligible population'!$I$63)*'Capacity (local prices)'!$C158/60</f>
        <v>0</v>
      </c>
      <c r="J158" s="216"/>
      <c r="K158" s="528">
        <f>'Inputs and eligible population'!K$104</f>
        <v>49.16</v>
      </c>
      <c r="L158" s="530">
        <f t="shared" si="64"/>
        <v>0</v>
      </c>
      <c r="M158" s="530">
        <f t="shared" si="59"/>
        <v>0</v>
      </c>
      <c r="N158" s="530">
        <f t="shared" si="60"/>
        <v>0</v>
      </c>
      <c r="O158" s="530">
        <f t="shared" si="61"/>
        <v>0</v>
      </c>
      <c r="P158" s="530">
        <f t="shared" si="62"/>
        <v>0</v>
      </c>
      <c r="Q158" s="530">
        <f t="shared" si="63"/>
        <v>0</v>
      </c>
      <c r="R158" s="132"/>
      <c r="S158" s="132"/>
      <c r="T158" s="132"/>
      <c r="U158" s="132"/>
      <c r="V158" s="132"/>
      <c r="W158" s="132"/>
      <c r="X158" s="132"/>
      <c r="Y158" s="132"/>
      <c r="Z158" s="132"/>
      <c r="AJ158" s="281"/>
      <c r="AK158" s="281"/>
      <c r="AL158" s="281"/>
      <c r="AM158" s="281"/>
      <c r="AN158" s="281"/>
    </row>
    <row r="159" spans="1:40">
      <c r="A159" s="283"/>
      <c r="B159" s="278"/>
      <c r="C159" s="205" t="s">
        <v>1075</v>
      </c>
      <c r="D159" s="184">
        <f>SUM(D134:D158)</f>
        <v>0</v>
      </c>
      <c r="E159" s="184">
        <f>SUM(E134:E158)</f>
        <v>0</v>
      </c>
      <c r="F159" s="184">
        <f t="shared" ref="F159:I159" si="65">SUM(F134:F158)</f>
        <v>0</v>
      </c>
      <c r="G159" s="184">
        <f t="shared" si="65"/>
        <v>0</v>
      </c>
      <c r="H159" s="184">
        <f t="shared" si="65"/>
        <v>0</v>
      </c>
      <c r="I159" s="184">
        <f t="shared" si="65"/>
        <v>0</v>
      </c>
      <c r="J159" s="283"/>
      <c r="K159" s="283"/>
      <c r="L159" s="287">
        <f>SUM(L134:L158)</f>
        <v>0</v>
      </c>
      <c r="M159" s="287">
        <f t="shared" ref="M159:Q159" si="66">SUM(M134:M158)</f>
        <v>0</v>
      </c>
      <c r="N159" s="287">
        <f t="shared" si="66"/>
        <v>0</v>
      </c>
      <c r="O159" s="287">
        <f t="shared" si="66"/>
        <v>0</v>
      </c>
      <c r="P159" s="287">
        <f t="shared" si="66"/>
        <v>0</v>
      </c>
      <c r="Q159" s="287">
        <f t="shared" si="66"/>
        <v>0</v>
      </c>
      <c r="V159" s="132"/>
    </row>
    <row r="160" spans="1:40">
      <c r="A160" s="283"/>
      <c r="B160" s="289"/>
      <c r="C160" s="220"/>
      <c r="D160" s="280" t="s">
        <v>814</v>
      </c>
      <c r="E160" s="184">
        <f>E159-$D$159</f>
        <v>0</v>
      </c>
      <c r="F160" s="184">
        <f>F159-$D$159</f>
        <v>0</v>
      </c>
      <c r="G160" s="184">
        <f>G159-$D$159</f>
        <v>0</v>
      </c>
      <c r="H160" s="184">
        <f>H159-$D$159</f>
        <v>0</v>
      </c>
      <c r="I160" s="184">
        <f>I159-$D$159</f>
        <v>0</v>
      </c>
      <c r="J160" s="283"/>
      <c r="K160" s="283"/>
      <c r="L160" s="505"/>
      <c r="M160" s="287">
        <f>M159-$L$159</f>
        <v>0</v>
      </c>
      <c r="N160" s="287">
        <f t="shared" ref="N160:Q160" si="67">N159-$L$159</f>
        <v>0</v>
      </c>
      <c r="O160" s="287">
        <f t="shared" si="67"/>
        <v>0</v>
      </c>
      <c r="P160" s="287">
        <f t="shared" si="67"/>
        <v>0</v>
      </c>
      <c r="Q160" s="287">
        <f t="shared" si="67"/>
        <v>0</v>
      </c>
      <c r="V160" s="132"/>
    </row>
    <row r="161" spans="1:40">
      <c r="A161" s="283"/>
      <c r="B161" s="302"/>
      <c r="C161" s="367"/>
      <c r="D161" s="216"/>
      <c r="E161" s="216"/>
      <c r="F161" s="216"/>
      <c r="G161" s="216"/>
      <c r="H161" s="216"/>
      <c r="I161" s="216"/>
      <c r="J161" s="216"/>
      <c r="K161" s="216"/>
      <c r="L161" s="216"/>
      <c r="M161" s="216"/>
      <c r="N161" s="216"/>
      <c r="O161" s="216"/>
      <c r="P161" s="216"/>
      <c r="Q161" s="216"/>
      <c r="R161" s="132"/>
      <c r="S161" s="132"/>
      <c r="T161" s="132"/>
      <c r="U161" s="132"/>
      <c r="V161" s="132"/>
      <c r="W161" s="132"/>
      <c r="X161" s="132"/>
      <c r="Y161" s="132"/>
      <c r="Z161" s="132"/>
      <c r="AJ161" s="281"/>
      <c r="AK161" s="281"/>
      <c r="AL161" s="281"/>
      <c r="AM161" s="281"/>
      <c r="AN161" s="281"/>
    </row>
    <row r="162" spans="1:40">
      <c r="A162" s="284"/>
      <c r="B162" s="303" t="s">
        <v>840</v>
      </c>
      <c r="C162" s="291"/>
      <c r="D162" s="292"/>
      <c r="E162" s="293"/>
      <c r="F162" s="294"/>
      <c r="G162" s="294"/>
      <c r="H162" s="294"/>
      <c r="I162" s="401"/>
      <c r="J162" s="284"/>
      <c r="K162" s="284"/>
      <c r="L162" s="284"/>
      <c r="M162" s="284"/>
      <c r="N162" s="284"/>
      <c r="O162" s="284"/>
      <c r="P162" s="284"/>
      <c r="Q162" s="218"/>
      <c r="R162" s="132"/>
      <c r="S162" s="132"/>
      <c r="T162" s="132"/>
      <c r="U162" s="132"/>
      <c r="V162" s="132"/>
      <c r="W162" s="132"/>
      <c r="X162" s="132"/>
      <c r="Y162" s="132"/>
      <c r="Z162" s="132"/>
      <c r="AJ162" s="281"/>
      <c r="AK162" s="281"/>
      <c r="AL162" s="281"/>
      <c r="AM162" s="281"/>
      <c r="AN162" s="281"/>
    </row>
    <row r="163" spans="1:40">
      <c r="A163" s="284"/>
      <c r="B163" s="372" t="s">
        <v>994</v>
      </c>
      <c r="C163" s="373"/>
      <c r="D163" s="373"/>
      <c r="E163" s="373"/>
      <c r="F163" s="373"/>
      <c r="G163" s="373"/>
      <c r="H163" s="373"/>
      <c r="I163" s="217"/>
      <c r="J163" s="218"/>
      <c r="K163" s="218"/>
      <c r="L163" s="398"/>
      <c r="M163" s="398"/>
      <c r="N163" s="398"/>
      <c r="O163" s="398"/>
      <c r="P163" s="398"/>
      <c r="Q163" s="398"/>
      <c r="R163" s="132"/>
      <c r="S163" s="132"/>
      <c r="T163" s="132"/>
      <c r="U163" s="132"/>
      <c r="V163" s="132"/>
      <c r="W163" s="132"/>
      <c r="X163" s="132"/>
      <c r="Y163" s="132"/>
      <c r="Z163" s="132"/>
      <c r="AJ163" s="281"/>
      <c r="AK163" s="281"/>
      <c r="AL163" s="281"/>
      <c r="AM163" s="281"/>
      <c r="AN163" s="281"/>
    </row>
    <row r="164" spans="1:40" ht="45">
      <c r="A164" s="284"/>
      <c r="B164" s="277" t="s">
        <v>757</v>
      </c>
      <c r="C164" s="385" t="s">
        <v>1142</v>
      </c>
      <c r="D164" s="230" t="s">
        <v>825</v>
      </c>
      <c r="E164" s="164" t="s">
        <v>674</v>
      </c>
      <c r="F164" s="164" t="s">
        <v>675</v>
      </c>
      <c r="G164" s="164" t="s">
        <v>792</v>
      </c>
      <c r="H164" s="164" t="s">
        <v>793</v>
      </c>
      <c r="I164" s="164" t="s">
        <v>794</v>
      </c>
      <c r="J164" s="284"/>
      <c r="K164" s="515" t="s">
        <v>845</v>
      </c>
      <c r="L164" s="392" t="s">
        <v>825</v>
      </c>
      <c r="M164" s="251" t="s">
        <v>674</v>
      </c>
      <c r="N164" s="251" t="s">
        <v>675</v>
      </c>
      <c r="O164" s="164" t="s">
        <v>792</v>
      </c>
      <c r="P164" s="164" t="s">
        <v>793</v>
      </c>
      <c r="Q164" s="251" t="s">
        <v>794</v>
      </c>
      <c r="R164" s="132"/>
      <c r="S164" s="132"/>
      <c r="T164" s="132"/>
      <c r="U164" s="132"/>
      <c r="V164" s="132"/>
      <c r="W164" s="132"/>
      <c r="X164" s="132"/>
      <c r="Y164" s="132"/>
      <c r="Z164" s="132"/>
      <c r="AJ164" s="281"/>
      <c r="AK164" s="281"/>
      <c r="AL164" s="281"/>
      <c r="AM164" s="281"/>
      <c r="AN164" s="281"/>
    </row>
    <row r="165" spans="1:40">
      <c r="A165" s="284"/>
      <c r="B165" s="326" t="s">
        <v>1143</v>
      </c>
      <c r="C165" s="758">
        <f>'Inputs and eligible population'!F$105</f>
        <v>0</v>
      </c>
      <c r="D165" s="127">
        <f>('Financial impact (cash)'!$D$13*'Inputs and eligible population'!$E$59/(365/'Inputs and eligible population'!$D$59))*$C165</f>
        <v>0</v>
      </c>
      <c r="E165" s="127">
        <f>(('Financial impact (cash)'!E$13)*'Inputs and eligible population'!$E$59/(365/'Inputs and eligible population'!$D$59))*'Capacity (local prices)'!$C165</f>
        <v>0</v>
      </c>
      <c r="F165" s="127">
        <f>(('Financial impact (cash)'!F$13)*'Inputs and eligible population'!$E$59/(365/'Inputs and eligible population'!$D$59))*'Capacity (local prices)'!$C165</f>
        <v>0</v>
      </c>
      <c r="G165" s="127">
        <f>(('Financial impact (cash)'!G$13)*'Inputs and eligible population'!$E$59/(365/'Inputs and eligible population'!$D$59))*'Capacity (local prices)'!$C165</f>
        <v>0</v>
      </c>
      <c r="H165" s="127">
        <f>(('Financial impact (cash)'!H$13)*'Inputs and eligible population'!$E$59/(365/'Inputs and eligible population'!$D$59))*'Capacity (local prices)'!$C165</f>
        <v>0</v>
      </c>
      <c r="I165" s="127">
        <f>(('Financial impact (cash)'!I$13)*'Inputs and eligible population'!$E$59/(365/'Inputs and eligible population'!$D$59))*'Capacity (local prices)'!$C165</f>
        <v>0</v>
      </c>
      <c r="J165" s="218"/>
      <c r="K165" s="528">
        <f>'Inputs and eligible population'!$K$106*'Inputs and eligible population'!F$106/60</f>
        <v>0</v>
      </c>
      <c r="L165" s="530">
        <f>$K165/1000*D165</f>
        <v>0</v>
      </c>
      <c r="M165" s="530">
        <f t="shared" ref="M165:M189" si="68">$K165/1000*E165</f>
        <v>0</v>
      </c>
      <c r="N165" s="530">
        <f t="shared" ref="N165:N189" si="69">$K165/1000*F165</f>
        <v>0</v>
      </c>
      <c r="O165" s="530">
        <f t="shared" ref="O165:O189" si="70">$K165/1000*G165</f>
        <v>0</v>
      </c>
      <c r="P165" s="530">
        <f t="shared" ref="P165:P189" si="71">$K165/1000*H165</f>
        <v>0</v>
      </c>
      <c r="Q165" s="530">
        <f t="shared" ref="Q165:Q189" si="72">$K165/1000*I165</f>
        <v>0</v>
      </c>
      <c r="R165" s="132"/>
      <c r="S165" s="132"/>
      <c r="T165" s="132"/>
      <c r="U165" s="132"/>
      <c r="V165" s="132"/>
      <c r="W165" s="132"/>
      <c r="X165" s="132"/>
      <c r="Y165" s="132"/>
      <c r="Z165" s="132"/>
      <c r="AJ165" s="281"/>
      <c r="AK165" s="281"/>
      <c r="AL165" s="281"/>
      <c r="AM165" s="281"/>
      <c r="AN165" s="281"/>
    </row>
    <row r="166" spans="1:40">
      <c r="A166" s="284"/>
      <c r="B166" s="326" t="s">
        <v>1144</v>
      </c>
      <c r="C166" s="758">
        <f>'Inputs and eligible population'!F$105</f>
        <v>0</v>
      </c>
      <c r="D166" s="127">
        <f>(('Financial impact (cash)'!$D$13)*'Inputs and eligible population'!$F$59/(365/'Inputs and eligible population'!$D$59))*'Capacity (local prices)'!$C166</f>
        <v>0</v>
      </c>
      <c r="E166" s="127">
        <f>(('Financial impact (cash)'!D$13)*'Inputs and eligible population'!$F$59/(365/'Inputs and eligible population'!$D$59))*'Capacity (local prices)'!$C166</f>
        <v>0</v>
      </c>
      <c r="F166" s="127">
        <f>(('Financial impact (cash)'!E$13)*'Inputs and eligible population'!$F$59/(365/'Inputs and eligible population'!$D$59))*'Capacity (local prices)'!$C166</f>
        <v>0</v>
      </c>
      <c r="G166" s="127">
        <f>(('Financial impact (cash)'!F$13)*'Inputs and eligible population'!$F$59/(365/'Inputs and eligible population'!$D$59))*'Capacity (local prices)'!$C166</f>
        <v>0</v>
      </c>
      <c r="H166" s="127">
        <f>(('Financial impact (cash)'!G$13)*'Inputs and eligible population'!$F$59/(365/'Inputs and eligible population'!$D$59))*'Capacity (local prices)'!$C166</f>
        <v>0</v>
      </c>
      <c r="I166" s="127">
        <f>(('Financial impact (cash)'!H$13)*'Inputs and eligible population'!$F$59/(365/'Inputs and eligible population'!$D$59))*'Capacity (local prices)'!$C166</f>
        <v>0</v>
      </c>
      <c r="J166" s="218"/>
      <c r="K166" s="528">
        <f>'Inputs and eligible population'!$K$106*'Inputs and eligible population'!F$106/60</f>
        <v>0</v>
      </c>
      <c r="L166" s="530">
        <f t="shared" ref="L166:L169" si="73">$K166/1000*D166</f>
        <v>0</v>
      </c>
      <c r="M166" s="530">
        <f t="shared" si="68"/>
        <v>0</v>
      </c>
      <c r="N166" s="530">
        <f t="shared" si="69"/>
        <v>0</v>
      </c>
      <c r="O166" s="530">
        <f t="shared" si="70"/>
        <v>0</v>
      </c>
      <c r="P166" s="530">
        <f t="shared" si="71"/>
        <v>0</v>
      </c>
      <c r="Q166" s="530">
        <f t="shared" si="72"/>
        <v>0</v>
      </c>
      <c r="R166" s="132"/>
      <c r="S166" s="132"/>
      <c r="T166" s="132"/>
      <c r="U166" s="132"/>
      <c r="V166" s="132"/>
      <c r="W166" s="132"/>
      <c r="X166" s="132"/>
      <c r="Y166" s="132"/>
      <c r="Z166" s="132"/>
      <c r="AJ166" s="281"/>
      <c r="AK166" s="281"/>
      <c r="AL166" s="281"/>
      <c r="AM166" s="281"/>
      <c r="AN166" s="281"/>
    </row>
    <row r="167" spans="1:40">
      <c r="A167" s="284"/>
      <c r="B167" s="326" t="s">
        <v>1145</v>
      </c>
      <c r="C167" s="758">
        <f>'Inputs and eligible population'!F$105</f>
        <v>0</v>
      </c>
      <c r="D167" s="127">
        <f>(('Financial impact (cash)'!$D$13)*'Inputs and eligible population'!$G$59/(365/'Inputs and eligible population'!$D$59))*'Capacity (local prices)'!$C167</f>
        <v>0</v>
      </c>
      <c r="E167" s="127">
        <f>(('Financial impact (cash)'!D$13)*'Inputs and eligible population'!$G$59/(365/'Inputs and eligible population'!$D$59))*'Capacity (local prices)'!$C167</f>
        <v>0</v>
      </c>
      <c r="F167" s="127">
        <f>(('Financial impact (cash)'!D$13)*'Inputs and eligible population'!$G$59/(365/'Inputs and eligible population'!$D$59))*'Capacity (local prices)'!$C167</f>
        <v>0</v>
      </c>
      <c r="G167" s="127">
        <f>(('Financial impact (cash)'!E$13)*'Inputs and eligible population'!$G$59/(365/'Inputs and eligible population'!$D$59))*'Capacity (local prices)'!$C167</f>
        <v>0</v>
      </c>
      <c r="H167" s="127">
        <f>(('Financial impact (cash)'!F$13)*'Inputs and eligible population'!$G$59/(365/'Inputs and eligible population'!$D$59))*'Capacity (local prices)'!$C167</f>
        <v>0</v>
      </c>
      <c r="I167" s="127">
        <f>(('Financial impact (cash)'!G$13)*'Inputs and eligible population'!$G$59/(365/'Inputs and eligible population'!$D$59))*'Capacity (local prices)'!$C167</f>
        <v>0</v>
      </c>
      <c r="J167" s="218"/>
      <c r="K167" s="528">
        <f>'Inputs and eligible population'!$K$106*'Inputs and eligible population'!F$106/60</f>
        <v>0</v>
      </c>
      <c r="L167" s="530">
        <f t="shared" si="73"/>
        <v>0</v>
      </c>
      <c r="M167" s="530">
        <f t="shared" si="68"/>
        <v>0</v>
      </c>
      <c r="N167" s="530">
        <f t="shared" si="69"/>
        <v>0</v>
      </c>
      <c r="O167" s="530">
        <f t="shared" si="70"/>
        <v>0</v>
      </c>
      <c r="P167" s="530">
        <f t="shared" si="71"/>
        <v>0</v>
      </c>
      <c r="Q167" s="530">
        <f t="shared" si="72"/>
        <v>0</v>
      </c>
      <c r="R167" s="132"/>
      <c r="S167" s="132"/>
      <c r="T167" s="132"/>
      <c r="U167" s="132"/>
      <c r="V167" s="132"/>
      <c r="W167" s="132"/>
      <c r="X167" s="132"/>
      <c r="Y167" s="132"/>
      <c r="Z167" s="132"/>
      <c r="AJ167" s="281"/>
      <c r="AK167" s="281"/>
      <c r="AL167" s="281"/>
      <c r="AM167" s="281"/>
      <c r="AN167" s="281"/>
    </row>
    <row r="168" spans="1:40">
      <c r="A168" s="284"/>
      <c r="B168" s="326" t="s">
        <v>1146</v>
      </c>
      <c r="C168" s="758">
        <f>'Inputs and eligible population'!F$105</f>
        <v>0</v>
      </c>
      <c r="D168" s="127">
        <f>(('Financial impact (cash)'!$D$13)*'Inputs and eligible population'!$H$59/(365/'Inputs and eligible population'!$D$59))*'Capacity (local prices)'!$C168</f>
        <v>0</v>
      </c>
      <c r="E168" s="127">
        <f>(('Financial impact (cash)'!D$13)*'Inputs and eligible population'!$H$59/(365/'Inputs and eligible population'!$D$59))*'Capacity (local prices)'!$C168</f>
        <v>0</v>
      </c>
      <c r="F168" s="127">
        <f>(('Financial impact (cash)'!D$13)*'Inputs and eligible population'!$H$59/(365/'Inputs and eligible population'!$D$59))*'Capacity (local prices)'!$C168</f>
        <v>0</v>
      </c>
      <c r="G168" s="127">
        <f>(('Financial impact (cash)'!D$13)*'Inputs and eligible population'!$H$59/(365/'Inputs and eligible population'!$D$59))*'Capacity (local prices)'!$C168</f>
        <v>0</v>
      </c>
      <c r="H168" s="127">
        <f>(('Financial impact (cash)'!E$13)*'Inputs and eligible population'!$H$59/(365/'Inputs and eligible population'!$D$59))*'Capacity (local prices)'!$C168</f>
        <v>0</v>
      </c>
      <c r="I168" s="127">
        <f>(('Financial impact (cash)'!F$13)*'Inputs and eligible population'!$H$59/(365/'Inputs and eligible population'!$D$59))*'Capacity (local prices)'!$C168</f>
        <v>0</v>
      </c>
      <c r="J168" s="218"/>
      <c r="K168" s="528">
        <f>'Inputs and eligible population'!$K$106*'Inputs and eligible population'!F$106/60</f>
        <v>0</v>
      </c>
      <c r="L168" s="530">
        <f t="shared" si="73"/>
        <v>0</v>
      </c>
      <c r="M168" s="530">
        <f t="shared" si="68"/>
        <v>0</v>
      </c>
      <c r="N168" s="530">
        <f t="shared" si="69"/>
        <v>0</v>
      </c>
      <c r="O168" s="530">
        <f t="shared" si="70"/>
        <v>0</v>
      </c>
      <c r="P168" s="530">
        <f t="shared" si="71"/>
        <v>0</v>
      </c>
      <c r="Q168" s="530">
        <f t="shared" si="72"/>
        <v>0</v>
      </c>
      <c r="R168" s="132"/>
      <c r="S168" s="132"/>
      <c r="T168" s="132"/>
      <c r="U168" s="132"/>
      <c r="V168" s="132"/>
      <c r="W168" s="132"/>
      <c r="X168" s="132"/>
      <c r="Y168" s="132"/>
      <c r="Z168" s="132"/>
      <c r="AJ168" s="281"/>
      <c r="AK168" s="281"/>
      <c r="AL168" s="281"/>
      <c r="AM168" s="281"/>
      <c r="AN168" s="281"/>
    </row>
    <row r="169" spans="1:40">
      <c r="A169" s="284"/>
      <c r="B169" s="326" t="s">
        <v>1147</v>
      </c>
      <c r="C169" s="758">
        <f>'Inputs and eligible population'!F$105</f>
        <v>0</v>
      </c>
      <c r="D169" s="127">
        <f>(('Financial impact (cash)'!$D$13)*'Inputs and eligible population'!$I$59/(365/'Inputs and eligible population'!$D$59))*'Capacity (local prices)'!$C169</f>
        <v>0</v>
      </c>
      <c r="E169" s="127">
        <f>(('Financial impact (cash)'!D$13)*'Inputs and eligible population'!$I$59/(365/'Inputs and eligible population'!$D$59))*'Capacity (local prices)'!$C169</f>
        <v>0</v>
      </c>
      <c r="F169" s="127">
        <f>(('Financial impact (cash)'!D$13)*'Inputs and eligible population'!$I$59/(365/'Inputs and eligible population'!$D$59))*'Capacity (local prices)'!$C169</f>
        <v>0</v>
      </c>
      <c r="G169" s="127">
        <f>(('Financial impact (cash)'!D$13)*'Inputs and eligible population'!$I$59/(365/'Inputs and eligible population'!$D$59))*'Capacity (local prices)'!$C169</f>
        <v>0</v>
      </c>
      <c r="H169" s="127">
        <f>(('Financial impact (cash)'!D$13)*'Inputs and eligible population'!$I$59/(365/'Inputs and eligible population'!$D$59))*'Capacity (local prices)'!$C169</f>
        <v>0</v>
      </c>
      <c r="I169" s="127">
        <f>(('Financial impact (cash)'!E$13)*'Inputs and eligible population'!$I$59/(365/'Inputs and eligible population'!$D$59))*'Capacity (local prices)'!$C169</f>
        <v>0</v>
      </c>
      <c r="J169" s="218"/>
      <c r="K169" s="528">
        <f>'Inputs and eligible population'!$K$106*'Inputs and eligible population'!F$106/60</f>
        <v>0</v>
      </c>
      <c r="L169" s="530">
        <f t="shared" si="73"/>
        <v>0</v>
      </c>
      <c r="M169" s="530">
        <f t="shared" si="68"/>
        <v>0</v>
      </c>
      <c r="N169" s="530">
        <f t="shared" si="69"/>
        <v>0</v>
      </c>
      <c r="O169" s="530">
        <f t="shared" si="70"/>
        <v>0</v>
      </c>
      <c r="P169" s="530">
        <f t="shared" si="71"/>
        <v>0</v>
      </c>
      <c r="Q169" s="530">
        <f t="shared" si="72"/>
        <v>0</v>
      </c>
      <c r="R169" s="132"/>
      <c r="S169" s="132"/>
      <c r="T169" s="132"/>
      <c r="U169" s="132"/>
      <c r="V169" s="132"/>
      <c r="W169" s="132"/>
      <c r="X169" s="132"/>
      <c r="Y169" s="132"/>
      <c r="Z169" s="132"/>
      <c r="AJ169" s="281"/>
      <c r="AK169" s="281"/>
      <c r="AL169" s="281"/>
      <c r="AM169" s="281"/>
      <c r="AN169" s="281"/>
    </row>
    <row r="170" spans="1:40">
      <c r="A170" s="284"/>
      <c r="B170" s="326" t="s">
        <v>1148</v>
      </c>
      <c r="C170" s="758">
        <f>'Inputs and eligible population'!F$105</f>
        <v>0</v>
      </c>
      <c r="D170" s="127">
        <f>('Financial impact (cash)'!$D$14*'Inputs and eligible population'!$E$60/(365/'Inputs and eligible population'!D$60))*$C170</f>
        <v>0</v>
      </c>
      <c r="E170" s="127">
        <f>(('Financial impact (cash)'!E$14)*'Inputs and eligible population'!$E$60/(365/'Inputs and eligible population'!$D$60))*'Capacity (local prices)'!$C170</f>
        <v>0</v>
      </c>
      <c r="F170" s="127">
        <f>(('Financial impact (cash)'!F$14)*'Inputs and eligible population'!$E$60/(365/'Inputs and eligible population'!$D$60))*'Capacity (local prices)'!$C170</f>
        <v>0</v>
      </c>
      <c r="G170" s="127">
        <f>(('Financial impact (cash)'!G$14)*'Inputs and eligible population'!$E$60/(365/'Inputs and eligible population'!$D$60))*'Capacity (local prices)'!$C170</f>
        <v>0</v>
      </c>
      <c r="H170" s="127">
        <f>(('Financial impact (cash)'!H$14)*'Inputs and eligible population'!$E$60/(365/'Inputs and eligible population'!$D$60))*'Capacity (local prices)'!$C170</f>
        <v>0</v>
      </c>
      <c r="I170" s="127">
        <f>(('Financial impact (cash)'!$I$14)*'Inputs and eligible population'!$E$60)*'Capacity (local prices)'!$C170/60</f>
        <v>0</v>
      </c>
      <c r="J170" s="218"/>
      <c r="K170" s="528">
        <f>'Inputs and eligible population'!$K$106*'Inputs and eligible population'!F$106/60</f>
        <v>0</v>
      </c>
      <c r="L170" s="530">
        <f>$K170/1000*D170</f>
        <v>0</v>
      </c>
      <c r="M170" s="530">
        <f t="shared" si="68"/>
        <v>0</v>
      </c>
      <c r="N170" s="530">
        <f t="shared" si="69"/>
        <v>0</v>
      </c>
      <c r="O170" s="530">
        <f t="shared" si="70"/>
        <v>0</v>
      </c>
      <c r="P170" s="530">
        <f t="shared" si="71"/>
        <v>0</v>
      </c>
      <c r="Q170" s="530">
        <f t="shared" si="72"/>
        <v>0</v>
      </c>
      <c r="R170" s="132"/>
      <c r="S170" s="132"/>
      <c r="T170" s="132"/>
      <c r="U170" s="132"/>
      <c r="V170" s="132"/>
      <c r="W170" s="132"/>
      <c r="X170" s="132"/>
      <c r="Y170" s="132"/>
      <c r="Z170" s="132"/>
      <c r="AJ170" s="281"/>
      <c r="AK170" s="281"/>
      <c r="AL170" s="281"/>
      <c r="AM170" s="281"/>
      <c r="AN170" s="281"/>
    </row>
    <row r="171" spans="1:40">
      <c r="A171" s="284"/>
      <c r="B171" s="326" t="s">
        <v>1149</v>
      </c>
      <c r="C171" s="758">
        <f>'Inputs and eligible population'!F$105</f>
        <v>0</v>
      </c>
      <c r="D171" s="127">
        <f>(('Financial impact (cash)'!$D$14)*'Inputs and eligible population'!$F$60/(365/'Inputs and eligible population'!$D$60))*'Capacity (local prices)'!$C171</f>
        <v>0</v>
      </c>
      <c r="E171" s="127">
        <f>(('Financial impact (cash)'!D$14)*'Inputs and eligible population'!$F$60/(365/'Inputs and eligible population'!$D$60))*'Capacity (local prices)'!$C171</f>
        <v>0</v>
      </c>
      <c r="F171" s="127">
        <f>(('Financial impact (cash)'!E$14)*'Inputs and eligible population'!$F$60/(365/'Inputs and eligible population'!$D$60))*'Capacity (local prices)'!$C171</f>
        <v>0</v>
      </c>
      <c r="G171" s="127">
        <f>(('Financial impact (cash)'!F$14)*'Inputs and eligible population'!$F$60/(365/'Inputs and eligible population'!$D$60))*'Capacity (local prices)'!$C171</f>
        <v>0</v>
      </c>
      <c r="H171" s="127">
        <f>(('Financial impact (cash)'!G$14)*'Inputs and eligible population'!$F$60/(365/'Inputs and eligible population'!$D$60))*'Capacity (local prices)'!$C171</f>
        <v>0</v>
      </c>
      <c r="I171" s="127">
        <f>(('Financial impact (cash)'!H$14)*'Inputs and eligible population'!$F$60/(365/'Inputs and eligible population'!$D$60))*'Capacity (local prices)'!$C171</f>
        <v>0</v>
      </c>
      <c r="J171" s="218"/>
      <c r="K171" s="528">
        <f>'Inputs and eligible population'!$K$106*'Inputs and eligible population'!F$106/60</f>
        <v>0</v>
      </c>
      <c r="L171" s="530">
        <f t="shared" ref="L171:L189" si="74">$K171/1000*D171</f>
        <v>0</v>
      </c>
      <c r="M171" s="530">
        <f t="shared" si="68"/>
        <v>0</v>
      </c>
      <c r="N171" s="530">
        <f t="shared" si="69"/>
        <v>0</v>
      </c>
      <c r="O171" s="530">
        <f t="shared" si="70"/>
        <v>0</v>
      </c>
      <c r="P171" s="530">
        <f t="shared" si="71"/>
        <v>0</v>
      </c>
      <c r="Q171" s="530">
        <f t="shared" si="72"/>
        <v>0</v>
      </c>
      <c r="R171" s="132"/>
      <c r="S171" s="132"/>
      <c r="T171" s="132"/>
      <c r="U171" s="132"/>
      <c r="V171" s="132"/>
      <c r="W171" s="132"/>
      <c r="X171" s="132"/>
      <c r="Y171" s="132"/>
      <c r="Z171" s="132"/>
      <c r="AJ171" s="281"/>
      <c r="AK171" s="281"/>
      <c r="AL171" s="281"/>
      <c r="AM171" s="281"/>
      <c r="AN171" s="281"/>
    </row>
    <row r="172" spans="1:40">
      <c r="A172" s="284"/>
      <c r="B172" s="326" t="s">
        <v>1150</v>
      </c>
      <c r="C172" s="758">
        <f>'Inputs and eligible population'!F$105</f>
        <v>0</v>
      </c>
      <c r="D172" s="127">
        <f>(('Financial impact (cash)'!$D$14)*'Inputs and eligible population'!$G$60/(365/'Inputs and eligible population'!$D$60))*'Capacity (local prices)'!$C172</f>
        <v>0</v>
      </c>
      <c r="E172" s="127">
        <f>(('Financial impact (cash)'!D$14)*'Inputs and eligible population'!$G$60/(365/'Inputs and eligible population'!$D$60))*'Capacity (local prices)'!$C172</f>
        <v>0</v>
      </c>
      <c r="F172" s="127">
        <f>(('Financial impact (cash)'!D$14)*'Inputs and eligible population'!$G$60/(365/'Inputs and eligible population'!$D$60))*'Capacity (local prices)'!$C172</f>
        <v>0</v>
      </c>
      <c r="G172" s="127">
        <f>(('Financial impact (cash)'!E$14)*'Inputs and eligible population'!$G$60/(365/'Inputs and eligible population'!$D$60))*'Capacity (local prices)'!$C172</f>
        <v>0</v>
      </c>
      <c r="H172" s="127">
        <f>(('Financial impact (cash)'!F$14)*'Inputs and eligible population'!$G$60/(365/'Inputs and eligible population'!$D$60))*'Capacity (local prices)'!$C172</f>
        <v>0</v>
      </c>
      <c r="I172" s="127">
        <f>(('Financial impact (cash)'!G$14)*'Inputs and eligible population'!$G$60/(365/'Inputs and eligible population'!$D$60))*'Capacity (local prices)'!$C172</f>
        <v>0</v>
      </c>
      <c r="J172" s="218"/>
      <c r="K172" s="528">
        <f>'Inputs and eligible population'!$K$106*'Inputs and eligible population'!F$106/60</f>
        <v>0</v>
      </c>
      <c r="L172" s="530">
        <f t="shared" si="74"/>
        <v>0</v>
      </c>
      <c r="M172" s="530">
        <f t="shared" si="68"/>
        <v>0</v>
      </c>
      <c r="N172" s="530">
        <f t="shared" si="69"/>
        <v>0</v>
      </c>
      <c r="O172" s="530">
        <f t="shared" si="70"/>
        <v>0</v>
      </c>
      <c r="P172" s="530">
        <f t="shared" si="71"/>
        <v>0</v>
      </c>
      <c r="Q172" s="530">
        <f t="shared" si="72"/>
        <v>0</v>
      </c>
      <c r="R172" s="132"/>
      <c r="S172" s="132"/>
      <c r="T172" s="132"/>
      <c r="U172" s="132"/>
      <c r="V172" s="132"/>
      <c r="W172" s="132"/>
      <c r="X172" s="132"/>
      <c r="Y172" s="132"/>
      <c r="Z172" s="132"/>
      <c r="AJ172" s="281"/>
      <c r="AK172" s="281"/>
      <c r="AL172" s="281"/>
      <c r="AM172" s="281"/>
      <c r="AN172" s="281"/>
    </row>
    <row r="173" spans="1:40">
      <c r="A173" s="284"/>
      <c r="B173" s="326" t="s">
        <v>1151</v>
      </c>
      <c r="C173" s="758">
        <f>'Inputs and eligible population'!F$105</f>
        <v>0</v>
      </c>
      <c r="D173" s="127">
        <f>(('Financial impact (cash)'!$D$14)*'Inputs and eligible population'!$H$60/(365/'Inputs and eligible population'!$D$60))*'Capacity (local prices)'!$C173</f>
        <v>0</v>
      </c>
      <c r="E173" s="127">
        <f>(('Financial impact (cash)'!D$14)*'Inputs and eligible population'!$H$60/(365/'Inputs and eligible population'!$D$60))*'Capacity (local prices)'!$C173</f>
        <v>0</v>
      </c>
      <c r="F173" s="127">
        <f>(('Financial impact (cash)'!D$14)*'Inputs and eligible population'!$H$60/(365/'Inputs and eligible population'!$D$60))*'Capacity (local prices)'!$C173</f>
        <v>0</v>
      </c>
      <c r="G173" s="127">
        <f>(('Financial impact (cash)'!D$14)*'Inputs and eligible population'!$H$60/(365/'Inputs and eligible population'!$D$60))*'Capacity (local prices)'!$C173</f>
        <v>0</v>
      </c>
      <c r="H173" s="127">
        <f>(('Financial impact (cash)'!E$14)*'Inputs and eligible population'!$H$60/(365/'Inputs and eligible population'!$D$60))*'Capacity (local prices)'!$C173</f>
        <v>0</v>
      </c>
      <c r="I173" s="127">
        <f>(('Financial impact (cash)'!F$14)*'Inputs and eligible population'!$H$60/(365/'Inputs and eligible population'!$D$60))*'Capacity (local prices)'!$C173</f>
        <v>0</v>
      </c>
      <c r="J173" s="218"/>
      <c r="K173" s="528">
        <f>'Inputs and eligible population'!$K$106*'Inputs and eligible population'!F$106/60</f>
        <v>0</v>
      </c>
      <c r="L173" s="530">
        <f t="shared" si="74"/>
        <v>0</v>
      </c>
      <c r="M173" s="530">
        <f t="shared" si="68"/>
        <v>0</v>
      </c>
      <c r="N173" s="530">
        <f t="shared" si="69"/>
        <v>0</v>
      </c>
      <c r="O173" s="530">
        <f t="shared" si="70"/>
        <v>0</v>
      </c>
      <c r="P173" s="530">
        <f t="shared" si="71"/>
        <v>0</v>
      </c>
      <c r="Q173" s="530">
        <f t="shared" si="72"/>
        <v>0</v>
      </c>
      <c r="R173" s="132"/>
      <c r="S173" s="132"/>
      <c r="T173" s="132"/>
      <c r="U173" s="132"/>
      <c r="V173" s="132"/>
      <c r="W173" s="132"/>
      <c r="X173" s="132"/>
      <c r="Y173" s="132"/>
      <c r="Z173" s="132"/>
      <c r="AJ173" s="281"/>
      <c r="AK173" s="281"/>
      <c r="AL173" s="281"/>
      <c r="AM173" s="281"/>
      <c r="AN173" s="281"/>
    </row>
    <row r="174" spans="1:40">
      <c r="A174" s="284"/>
      <c r="B174" s="326" t="s">
        <v>1152</v>
      </c>
      <c r="C174" s="758">
        <f>'Inputs and eligible population'!F$105</f>
        <v>0</v>
      </c>
      <c r="D174" s="127">
        <f>(('Financial impact (cash)'!$D$14)*'Inputs and eligible population'!$I$60/(365/'Inputs and eligible population'!$D$60))*'Capacity (local prices)'!$C174</f>
        <v>0</v>
      </c>
      <c r="E174" s="127">
        <f>(('Financial impact (cash)'!D$14)*'Inputs and eligible population'!$I$60/(365/'Inputs and eligible population'!$D$60))*'Capacity (local prices)'!$C174</f>
        <v>0</v>
      </c>
      <c r="F174" s="127">
        <f>(('Financial impact (cash)'!D$14)*'Inputs and eligible population'!$I$60/(365/'Inputs and eligible population'!$D$60))*'Capacity (local prices)'!$C174</f>
        <v>0</v>
      </c>
      <c r="G174" s="127">
        <f>(('Financial impact (cash)'!D$14)*'Inputs and eligible population'!$I$60/(365/'Inputs and eligible population'!$D$60))*'Capacity (local prices)'!$C174</f>
        <v>0</v>
      </c>
      <c r="H174" s="127">
        <f>(('Financial impact (cash)'!D$14)*'Inputs and eligible population'!$I$60/(365/'Inputs and eligible population'!$D$60))*'Capacity (local prices)'!$C174</f>
        <v>0</v>
      </c>
      <c r="I174" s="127">
        <f>(('Financial impact (cash)'!E$14)*'Inputs and eligible population'!$I$60/(365/'Inputs and eligible population'!$D$60))*'Capacity (local prices)'!$C174</f>
        <v>0</v>
      </c>
      <c r="J174" s="218"/>
      <c r="K174" s="528">
        <f>'Inputs and eligible population'!$K$106*'Inputs and eligible population'!F$106/60</f>
        <v>0</v>
      </c>
      <c r="L174" s="530">
        <f t="shared" si="74"/>
        <v>0</v>
      </c>
      <c r="M174" s="530">
        <f t="shared" si="68"/>
        <v>0</v>
      </c>
      <c r="N174" s="530">
        <f t="shared" si="69"/>
        <v>0</v>
      </c>
      <c r="O174" s="530">
        <f t="shared" si="70"/>
        <v>0</v>
      </c>
      <c r="P174" s="530">
        <f t="shared" si="71"/>
        <v>0</v>
      </c>
      <c r="Q174" s="530">
        <f t="shared" si="72"/>
        <v>0</v>
      </c>
      <c r="R174" s="132"/>
      <c r="S174" s="132"/>
      <c r="T174" s="132"/>
      <c r="U174" s="132"/>
      <c r="V174" s="132"/>
      <c r="W174" s="132"/>
      <c r="X174" s="132"/>
      <c r="Y174" s="132"/>
      <c r="Z174" s="132"/>
      <c r="AJ174" s="281"/>
      <c r="AK174" s="281"/>
      <c r="AL174" s="281"/>
      <c r="AM174" s="281"/>
      <c r="AN174" s="281"/>
    </row>
    <row r="175" spans="1:40">
      <c r="A175" s="284"/>
      <c r="B175" s="326" t="s">
        <v>1153</v>
      </c>
      <c r="C175" s="758">
        <f>'Inputs and eligible population'!$G$105</f>
        <v>0</v>
      </c>
      <c r="D175" s="127">
        <f>('Financial impact (cash)'!$D$15*'Inputs and eligible population'!$E$61/(365/'Inputs and eligible population'!D$61))*$C175</f>
        <v>0</v>
      </c>
      <c r="E175" s="127">
        <f>(('Financial impact (cash)'!E$15)*'Inputs and eligible population'!$E$61/(365/'Inputs and eligible population'!$D$61))*'Capacity (local prices)'!$C175</f>
        <v>0</v>
      </c>
      <c r="F175" s="127">
        <f>(('Financial impact (cash)'!F$15)*'Inputs and eligible population'!$E$61/(365/'Inputs and eligible population'!$D$61))*'Capacity (local prices)'!$C175</f>
        <v>0</v>
      </c>
      <c r="G175" s="127">
        <f>(('Financial impact (cash)'!G$15)*'Inputs and eligible population'!$E$61/(365/'Inputs and eligible population'!$D$61))*'Capacity (local prices)'!$C175</f>
        <v>0</v>
      </c>
      <c r="H175" s="127">
        <f>(('Financial impact (cash)'!H$15)*'Inputs and eligible population'!$E$61/(365/'Inputs and eligible population'!$D$61))*'Capacity (local prices)'!$C175</f>
        <v>0</v>
      </c>
      <c r="I175" s="127">
        <f>(('Financial impact (cash)'!I$15)*'Inputs and eligible population'!$E$61/(365/'Inputs and eligible population'!$D$61))*'Capacity (local prices)'!$C175</f>
        <v>0</v>
      </c>
      <c r="J175" s="218"/>
      <c r="K175" s="528">
        <f>'Inputs and eligible population'!$K$106*'Inputs and eligible population'!G$106/60</f>
        <v>0</v>
      </c>
      <c r="L175" s="530">
        <f t="shared" si="74"/>
        <v>0</v>
      </c>
      <c r="M175" s="530">
        <f t="shared" si="68"/>
        <v>0</v>
      </c>
      <c r="N175" s="530">
        <f t="shared" si="69"/>
        <v>0</v>
      </c>
      <c r="O175" s="530">
        <f t="shared" si="70"/>
        <v>0</v>
      </c>
      <c r="P175" s="530">
        <f t="shared" si="71"/>
        <v>0</v>
      </c>
      <c r="Q175" s="530">
        <f t="shared" si="72"/>
        <v>0</v>
      </c>
      <c r="R175" s="132"/>
      <c r="S175" s="132"/>
      <c r="T175" s="132"/>
      <c r="U175" s="132"/>
      <c r="V175" s="132"/>
      <c r="W175" s="132"/>
      <c r="X175" s="132"/>
      <c r="Y175" s="132"/>
      <c r="Z175" s="132"/>
      <c r="AJ175" s="281"/>
      <c r="AK175" s="281"/>
      <c r="AL175" s="281"/>
      <c r="AM175" s="281"/>
      <c r="AN175" s="281"/>
    </row>
    <row r="176" spans="1:40">
      <c r="A176" s="284"/>
      <c r="B176" s="326" t="s">
        <v>1154</v>
      </c>
      <c r="C176" s="758">
        <f>'Inputs and eligible population'!$G$105</f>
        <v>0</v>
      </c>
      <c r="D176" s="127">
        <f>(('Financial impact (cash)'!D$15)*'Inputs and eligible population'!$F$61/(365/'Inputs and eligible population'!$D$61))*'Capacity (local prices)'!$C176</f>
        <v>0</v>
      </c>
      <c r="E176" s="127">
        <f>(('Financial impact (cash)'!D$15)*'Inputs and eligible population'!$F$61/(365/'Inputs and eligible population'!$D$61))*'Capacity (local prices)'!$C176</f>
        <v>0</v>
      </c>
      <c r="F176" s="127">
        <f>(('Financial impact (cash)'!E$15)*'Inputs and eligible population'!$F$61/(365/'Inputs and eligible population'!$D$61))*'Capacity (local prices)'!$C176</f>
        <v>0</v>
      </c>
      <c r="G176" s="127">
        <f>(('Financial impact (cash)'!F$15)*'Inputs and eligible population'!$F$61/(365/'Inputs and eligible population'!$D$61))*'Capacity (local prices)'!$C176</f>
        <v>0</v>
      </c>
      <c r="H176" s="127">
        <f>(('Financial impact (cash)'!G$15)*'Inputs and eligible population'!$F$61/(365/'Inputs and eligible population'!$D$61))*'Capacity (local prices)'!$C176</f>
        <v>0</v>
      </c>
      <c r="I176" s="127">
        <f>(('Financial impact (cash)'!H$15)*'Inputs and eligible population'!$F$61/(365/'Inputs and eligible population'!$D$61))*'Capacity (local prices)'!$C176</f>
        <v>0</v>
      </c>
      <c r="J176" s="218"/>
      <c r="K176" s="528">
        <f>'Inputs and eligible population'!$K$106*'Inputs and eligible population'!G$106/60</f>
        <v>0</v>
      </c>
      <c r="L176" s="530">
        <f t="shared" si="74"/>
        <v>0</v>
      </c>
      <c r="M176" s="530">
        <f t="shared" si="68"/>
        <v>0</v>
      </c>
      <c r="N176" s="530">
        <f t="shared" si="69"/>
        <v>0</v>
      </c>
      <c r="O176" s="530">
        <f t="shared" si="70"/>
        <v>0</v>
      </c>
      <c r="P176" s="530">
        <f t="shared" si="71"/>
        <v>0</v>
      </c>
      <c r="Q176" s="530">
        <f t="shared" si="72"/>
        <v>0</v>
      </c>
      <c r="R176" s="132"/>
      <c r="S176" s="132"/>
      <c r="T176" s="132"/>
      <c r="U176" s="132"/>
      <c r="V176" s="132"/>
      <c r="W176" s="132"/>
      <c r="X176" s="132"/>
      <c r="Y176" s="132"/>
      <c r="Z176" s="132"/>
      <c r="AJ176" s="281"/>
      <c r="AK176" s="281"/>
      <c r="AL176" s="281"/>
      <c r="AM176" s="281"/>
      <c r="AN176" s="281"/>
    </row>
    <row r="177" spans="1:40">
      <c r="A177" s="284"/>
      <c r="B177" s="326" t="s">
        <v>1155</v>
      </c>
      <c r="C177" s="758">
        <f>'Inputs and eligible population'!$G$105</f>
        <v>0</v>
      </c>
      <c r="D177" s="127">
        <f>(('Financial impact (cash)'!D$15)*'Inputs and eligible population'!$G$61/(365/'Inputs and eligible population'!$D$61))*'Capacity (local prices)'!$C177</f>
        <v>0</v>
      </c>
      <c r="E177" s="127">
        <f>(('Financial impact (cash)'!D$15)*'Inputs and eligible population'!$G$61/(365/'Inputs and eligible population'!$D$61))*'Capacity (local prices)'!$C177</f>
        <v>0</v>
      </c>
      <c r="F177" s="127">
        <f>(('Financial impact (cash)'!D$15)*'Inputs and eligible population'!$G$61/(365/'Inputs and eligible population'!$D$61))*'Capacity (local prices)'!$C177</f>
        <v>0</v>
      </c>
      <c r="G177" s="127">
        <f>(('Financial impact (cash)'!E$15)*'Inputs and eligible population'!$G$61/(365/'Inputs and eligible population'!$D$61))*'Capacity (local prices)'!$C177</f>
        <v>0</v>
      </c>
      <c r="H177" s="127">
        <f>(('Financial impact (cash)'!F$15)*'Inputs and eligible population'!$G$61/(365/'Inputs and eligible population'!$D$61))*'Capacity (local prices)'!$C177</f>
        <v>0</v>
      </c>
      <c r="I177" s="127">
        <f>(('Financial impact (cash)'!G$15)*'Inputs and eligible population'!$G$61/(365/'Inputs and eligible population'!$D$61))*'Capacity (local prices)'!$C177</f>
        <v>0</v>
      </c>
      <c r="J177" s="218"/>
      <c r="K177" s="528">
        <f>'Inputs and eligible population'!$K$106*'Inputs and eligible population'!G$106/60</f>
        <v>0</v>
      </c>
      <c r="L177" s="530">
        <f t="shared" si="74"/>
        <v>0</v>
      </c>
      <c r="M177" s="530">
        <f t="shared" si="68"/>
        <v>0</v>
      </c>
      <c r="N177" s="530">
        <f t="shared" si="69"/>
        <v>0</v>
      </c>
      <c r="O177" s="530">
        <f t="shared" si="70"/>
        <v>0</v>
      </c>
      <c r="P177" s="530">
        <f t="shared" si="71"/>
        <v>0</v>
      </c>
      <c r="Q177" s="530">
        <f t="shared" si="72"/>
        <v>0</v>
      </c>
      <c r="R177" s="132"/>
      <c r="S177" s="132"/>
      <c r="T177" s="132"/>
      <c r="U177" s="132"/>
      <c r="V177" s="132"/>
      <c r="W177" s="132"/>
      <c r="X177" s="132"/>
      <c r="Y177" s="132"/>
      <c r="Z177" s="132"/>
      <c r="AJ177" s="281"/>
      <c r="AK177" s="281"/>
      <c r="AL177" s="281"/>
      <c r="AM177" s="281"/>
      <c r="AN177" s="281"/>
    </row>
    <row r="178" spans="1:40">
      <c r="A178" s="284"/>
      <c r="B178" s="326" t="s">
        <v>1156</v>
      </c>
      <c r="C178" s="758">
        <f>'Inputs and eligible population'!$G$105</f>
        <v>0</v>
      </c>
      <c r="D178" s="127">
        <f>(('Financial impact (cash)'!D$15)*'Inputs and eligible population'!$H$61/(365/'Inputs and eligible population'!$D$61))*'Capacity (local prices)'!$C178</f>
        <v>0</v>
      </c>
      <c r="E178" s="127">
        <f>(('Financial impact (cash)'!D$15)*'Inputs and eligible population'!$H$61/(365/'Inputs and eligible population'!$D$61))*'Capacity (local prices)'!$C178</f>
        <v>0</v>
      </c>
      <c r="F178" s="127">
        <f>(('Financial impact (cash)'!D$15)*'Inputs and eligible population'!$H$61/(365/'Inputs and eligible population'!$D$61))*'Capacity (local prices)'!$C178</f>
        <v>0</v>
      </c>
      <c r="G178" s="127">
        <f>(('Financial impact (cash)'!D$15)*'Inputs and eligible population'!$H$61/(365/'Inputs and eligible population'!$D$61))*'Capacity (local prices)'!$C178</f>
        <v>0</v>
      </c>
      <c r="H178" s="127">
        <f>(('Financial impact (cash)'!E$15)*'Inputs and eligible population'!$H$61/(365/'Inputs and eligible population'!$D$61))*'Capacity (local prices)'!$C178</f>
        <v>0</v>
      </c>
      <c r="I178" s="127">
        <f>(('Financial impact (cash)'!F$15)*'Inputs and eligible population'!$H$61/(365/'Inputs and eligible population'!$D$61))*'Capacity (local prices)'!$C178</f>
        <v>0</v>
      </c>
      <c r="J178" s="218"/>
      <c r="K178" s="528">
        <f>'Inputs and eligible population'!$K$106*'Inputs and eligible population'!G$106/60</f>
        <v>0</v>
      </c>
      <c r="L178" s="530">
        <f t="shared" si="74"/>
        <v>0</v>
      </c>
      <c r="M178" s="530">
        <f t="shared" si="68"/>
        <v>0</v>
      </c>
      <c r="N178" s="530">
        <f t="shared" si="69"/>
        <v>0</v>
      </c>
      <c r="O178" s="530">
        <f t="shared" si="70"/>
        <v>0</v>
      </c>
      <c r="P178" s="530">
        <f t="shared" si="71"/>
        <v>0</v>
      </c>
      <c r="Q178" s="530">
        <f t="shared" si="72"/>
        <v>0</v>
      </c>
      <c r="R178" s="132"/>
      <c r="S178" s="132"/>
      <c r="T178" s="132"/>
      <c r="U178" s="132"/>
      <c r="V178" s="132"/>
      <c r="W178" s="132"/>
      <c r="X178" s="132"/>
      <c r="Y178" s="132"/>
      <c r="Z178" s="132"/>
      <c r="AJ178" s="281"/>
      <c r="AK178" s="281"/>
      <c r="AL178" s="281"/>
      <c r="AM178" s="281"/>
      <c r="AN178" s="281"/>
    </row>
    <row r="179" spans="1:40">
      <c r="A179" s="284"/>
      <c r="B179" s="326" t="s">
        <v>1157</v>
      </c>
      <c r="C179" s="758">
        <f>'Inputs and eligible population'!$G$105</f>
        <v>0</v>
      </c>
      <c r="D179" s="127">
        <f>(('Financial impact (cash)'!D$15)*'Inputs and eligible population'!$I$61/(365/'Inputs and eligible population'!$D$61))*'Capacity (local prices)'!$C179</f>
        <v>0</v>
      </c>
      <c r="E179" s="127">
        <f>(('Financial impact (cash)'!D$15)*'Inputs and eligible population'!$I$61/(365/'Inputs and eligible population'!$D$61))*'Capacity (local prices)'!$C179</f>
        <v>0</v>
      </c>
      <c r="F179" s="127">
        <f>(('Financial impact (cash)'!D$15)*'Inputs and eligible population'!$I$61/(365/'Inputs and eligible population'!$D$61))*'Capacity (local prices)'!$C179</f>
        <v>0</v>
      </c>
      <c r="G179" s="127">
        <f>(('Financial impact (cash)'!D$15)*'Inputs and eligible population'!$I$61/(365/'Inputs and eligible population'!$D$61))*'Capacity (local prices)'!$C179</f>
        <v>0</v>
      </c>
      <c r="H179" s="127">
        <f>(('Financial impact (cash)'!D$15)*'Inputs and eligible population'!$I$61/(365/'Inputs and eligible population'!$D$61))*'Capacity (local prices)'!$C179</f>
        <v>0</v>
      </c>
      <c r="I179" s="127">
        <f>(('Financial impact (cash)'!E$15)*'Inputs and eligible population'!$I$61/(365/'Inputs and eligible population'!$D$61))*'Capacity (local prices)'!$C179</f>
        <v>0</v>
      </c>
      <c r="J179" s="218"/>
      <c r="K179" s="528">
        <f>'Inputs and eligible population'!$K$106*'Inputs and eligible population'!G$106/60</f>
        <v>0</v>
      </c>
      <c r="L179" s="530">
        <f t="shared" si="74"/>
        <v>0</v>
      </c>
      <c r="M179" s="530">
        <f t="shared" si="68"/>
        <v>0</v>
      </c>
      <c r="N179" s="530">
        <f t="shared" si="69"/>
        <v>0</v>
      </c>
      <c r="O179" s="530">
        <f t="shared" si="70"/>
        <v>0</v>
      </c>
      <c r="P179" s="530">
        <f t="shared" si="71"/>
        <v>0</v>
      </c>
      <c r="Q179" s="530">
        <f t="shared" si="72"/>
        <v>0</v>
      </c>
      <c r="R179" s="132"/>
      <c r="S179" s="132"/>
      <c r="T179" s="132"/>
      <c r="U179" s="132"/>
      <c r="V179" s="132"/>
      <c r="W179" s="132"/>
      <c r="X179" s="132"/>
      <c r="Y179" s="132"/>
      <c r="Z179" s="132"/>
      <c r="AJ179" s="281"/>
      <c r="AK179" s="281"/>
      <c r="AL179" s="281"/>
      <c r="AM179" s="281"/>
      <c r="AN179" s="281"/>
    </row>
    <row r="180" spans="1:40">
      <c r="A180" s="284"/>
      <c r="B180" s="326" t="s">
        <v>1158</v>
      </c>
      <c r="C180" s="758">
        <f>'Inputs and eligible population'!$H$105</f>
        <v>0</v>
      </c>
      <c r="D180" s="127">
        <f>('Financial impact (cash)'!D$16*'Inputs and eligible population'!$E$62/(365/'Inputs and eligible population'!D$62))*$C180</f>
        <v>0</v>
      </c>
      <c r="E180" s="127">
        <f>(('Financial impact (cash)'!E$16)*'Inputs and eligible population'!$E$62/(365/'Inputs and eligible population'!$D$62))*'Capacity (local prices)'!$C180</f>
        <v>0</v>
      </c>
      <c r="F180" s="127">
        <f>(('Financial impact (cash)'!F$16)*'Inputs and eligible population'!$E$62/(365/'Inputs and eligible population'!$D$62))*'Capacity (local prices)'!$C180</f>
        <v>0</v>
      </c>
      <c r="G180" s="127">
        <f>(('Financial impact (cash)'!G$16)*'Inputs and eligible population'!$E$62/(365/'Inputs and eligible population'!$D$62))*'Capacity (local prices)'!$C180</f>
        <v>0</v>
      </c>
      <c r="H180" s="127">
        <f>(('Financial impact (cash)'!H$16)*'Inputs and eligible population'!$E$62/(365/'Inputs and eligible population'!$D$62))*'Capacity (local prices)'!$C180</f>
        <v>0</v>
      </c>
      <c r="I180" s="127">
        <f>(('Financial impact (cash)'!I$16)*'Inputs and eligible population'!$E$62/(365/'Inputs and eligible population'!$D$62))*'Capacity (local prices)'!$C180</f>
        <v>0</v>
      </c>
      <c r="J180" s="218"/>
      <c r="K180" s="528">
        <f>'Inputs and eligible population'!$K$106*'Inputs and eligible population'!H$106/60</f>
        <v>0</v>
      </c>
      <c r="L180" s="530">
        <f t="shared" si="74"/>
        <v>0</v>
      </c>
      <c r="M180" s="530">
        <f t="shared" si="68"/>
        <v>0</v>
      </c>
      <c r="N180" s="530">
        <f t="shared" si="69"/>
        <v>0</v>
      </c>
      <c r="O180" s="530">
        <f t="shared" si="70"/>
        <v>0</v>
      </c>
      <c r="P180" s="530">
        <f t="shared" si="71"/>
        <v>0</v>
      </c>
      <c r="Q180" s="530">
        <f t="shared" si="72"/>
        <v>0</v>
      </c>
      <c r="R180" s="132"/>
      <c r="S180" s="132"/>
      <c r="T180" s="132"/>
      <c r="U180" s="132"/>
      <c r="V180" s="132"/>
      <c r="W180" s="132"/>
      <c r="X180" s="132"/>
      <c r="Y180" s="132"/>
      <c r="Z180" s="132"/>
      <c r="AJ180" s="281"/>
      <c r="AK180" s="281"/>
      <c r="AL180" s="281"/>
      <c r="AM180" s="281"/>
      <c r="AN180" s="281"/>
    </row>
    <row r="181" spans="1:40">
      <c r="A181" s="284"/>
      <c r="B181" s="326" t="s">
        <v>1159</v>
      </c>
      <c r="C181" s="758">
        <f>'Inputs and eligible population'!$H$105</f>
        <v>0</v>
      </c>
      <c r="D181" s="127">
        <f>(('Financial impact (cash)'!D$16)*'Inputs and eligible population'!$F$62/(365/'Inputs and eligible population'!$D$62))*'Capacity (local prices)'!$C181</f>
        <v>0</v>
      </c>
      <c r="E181" s="127">
        <f>(('Financial impact (cash)'!D$16)*'Inputs and eligible population'!$F$62/(365/'Inputs and eligible population'!$D$62))*'Capacity (local prices)'!$C181</f>
        <v>0</v>
      </c>
      <c r="F181" s="127">
        <f>(('Financial impact (cash)'!E$16)*'Inputs and eligible population'!$F$62/(365/'Inputs and eligible population'!$D$62))*'Capacity (local prices)'!$C181</f>
        <v>0</v>
      </c>
      <c r="G181" s="127">
        <f>(('Financial impact (cash)'!F$16)*'Inputs and eligible population'!$F$62/(365/'Inputs and eligible population'!$D$62))*'Capacity (local prices)'!$C181</f>
        <v>0</v>
      </c>
      <c r="H181" s="127">
        <f>(('Financial impact (cash)'!G$16)*'Inputs and eligible population'!$F$62/(365/'Inputs and eligible population'!$D$62))*'Capacity (local prices)'!$C181</f>
        <v>0</v>
      </c>
      <c r="I181" s="127">
        <f>(('Financial impact (cash)'!H$16)*'Inputs and eligible population'!$F$62/(365/'Inputs and eligible population'!$D$62))*'Capacity (local prices)'!$C181</f>
        <v>0</v>
      </c>
      <c r="J181" s="218"/>
      <c r="K181" s="528">
        <f>'Inputs and eligible population'!$K$106*'Inputs and eligible population'!H$106/60</f>
        <v>0</v>
      </c>
      <c r="L181" s="530">
        <f t="shared" si="74"/>
        <v>0</v>
      </c>
      <c r="M181" s="530">
        <f t="shared" si="68"/>
        <v>0</v>
      </c>
      <c r="N181" s="530">
        <f t="shared" si="69"/>
        <v>0</v>
      </c>
      <c r="O181" s="530">
        <f t="shared" si="70"/>
        <v>0</v>
      </c>
      <c r="P181" s="530">
        <f t="shared" si="71"/>
        <v>0</v>
      </c>
      <c r="Q181" s="530">
        <f t="shared" si="72"/>
        <v>0</v>
      </c>
      <c r="R181" s="132"/>
      <c r="S181" s="132"/>
      <c r="T181" s="132"/>
      <c r="U181" s="132"/>
      <c r="V181" s="132"/>
      <c r="W181" s="132"/>
      <c r="X181" s="132"/>
      <c r="Y181" s="132"/>
      <c r="Z181" s="132"/>
      <c r="AJ181" s="281"/>
      <c r="AK181" s="281"/>
      <c r="AL181" s="281"/>
      <c r="AM181" s="281"/>
      <c r="AN181" s="281"/>
    </row>
    <row r="182" spans="1:40">
      <c r="A182" s="284"/>
      <c r="B182" s="326" t="s">
        <v>1160</v>
      </c>
      <c r="C182" s="758">
        <f>'Inputs and eligible population'!$H$105</f>
        <v>0</v>
      </c>
      <c r="D182" s="127">
        <f>(('Financial impact (cash)'!D$16)*'Inputs and eligible population'!$G$62/(365/'Inputs and eligible population'!$D$62))*'Capacity (local prices)'!$C182</f>
        <v>0</v>
      </c>
      <c r="E182" s="127">
        <f>(('Financial impact (cash)'!D$16)*'Inputs and eligible population'!$G$62/(365/'Inputs and eligible population'!$D$62))*'Capacity (local prices)'!$C182</f>
        <v>0</v>
      </c>
      <c r="F182" s="127">
        <f>(('Financial impact (cash)'!D$16)*'Inputs and eligible population'!$G$62/(365/'Inputs and eligible population'!$D$62))*'Capacity (local prices)'!$C182</f>
        <v>0</v>
      </c>
      <c r="G182" s="127">
        <f>(('Financial impact (cash)'!E$16)*'Inputs and eligible population'!$G$62/(365/'Inputs and eligible population'!$D$62))*'Capacity (local prices)'!$C182</f>
        <v>0</v>
      </c>
      <c r="H182" s="127">
        <f>(('Financial impact (cash)'!F$16)*'Inputs and eligible population'!$G$62/(365/'Inputs and eligible population'!$D$62))*'Capacity (local prices)'!$C182</f>
        <v>0</v>
      </c>
      <c r="I182" s="127">
        <f>(('Financial impact (cash)'!G$16)*'Inputs and eligible population'!$G$62/(365/'Inputs and eligible population'!$D$62))*'Capacity (local prices)'!$C182</f>
        <v>0</v>
      </c>
      <c r="J182" s="218"/>
      <c r="K182" s="528">
        <f>'Inputs and eligible population'!$K$106*'Inputs and eligible population'!H$106/60</f>
        <v>0</v>
      </c>
      <c r="L182" s="530">
        <f t="shared" si="74"/>
        <v>0</v>
      </c>
      <c r="M182" s="530">
        <f t="shared" si="68"/>
        <v>0</v>
      </c>
      <c r="N182" s="530">
        <f t="shared" si="69"/>
        <v>0</v>
      </c>
      <c r="O182" s="530">
        <f t="shared" si="70"/>
        <v>0</v>
      </c>
      <c r="P182" s="530">
        <f t="shared" si="71"/>
        <v>0</v>
      </c>
      <c r="Q182" s="530">
        <f t="shared" si="72"/>
        <v>0</v>
      </c>
      <c r="R182" s="132"/>
      <c r="S182" s="132"/>
      <c r="T182" s="132"/>
      <c r="U182" s="132"/>
      <c r="V182" s="132"/>
      <c r="W182" s="132"/>
      <c r="X182" s="132"/>
      <c r="Y182" s="132"/>
      <c r="Z182" s="132"/>
      <c r="AJ182" s="281"/>
      <c r="AK182" s="281"/>
      <c r="AL182" s="281"/>
      <c r="AM182" s="281"/>
      <c r="AN182" s="281"/>
    </row>
    <row r="183" spans="1:40">
      <c r="A183" s="284"/>
      <c r="B183" s="326" t="s">
        <v>1161</v>
      </c>
      <c r="C183" s="758">
        <f>'Inputs and eligible population'!$H$105</f>
        <v>0</v>
      </c>
      <c r="D183" s="127">
        <f>(('Financial impact (cash)'!D$16)*'Inputs and eligible population'!$H$62/(365/'Inputs and eligible population'!$D$62))*'Capacity (local prices)'!$C183</f>
        <v>0</v>
      </c>
      <c r="E183" s="127">
        <f>(('Financial impact (cash)'!D$16)*'Inputs and eligible population'!$H$62/(365/'Inputs and eligible population'!$D$62))*'Capacity (local prices)'!$C183</f>
        <v>0</v>
      </c>
      <c r="F183" s="127">
        <f>(('Financial impact (cash)'!D$16)*'Inputs and eligible population'!$H$62/(365/'Inputs and eligible population'!$D$62))*'Capacity (local prices)'!$C183</f>
        <v>0</v>
      </c>
      <c r="G183" s="127">
        <f>(('Financial impact (cash)'!D$16)*'Inputs and eligible population'!$H$62/(365/'Inputs and eligible population'!$D$62))*'Capacity (local prices)'!$C183</f>
        <v>0</v>
      </c>
      <c r="H183" s="127">
        <f>(('Financial impact (cash)'!E$16)*'Inputs and eligible population'!$H$62/(365/'Inputs and eligible population'!$D$62))*'Capacity (local prices)'!$C183</f>
        <v>0</v>
      </c>
      <c r="I183" s="127">
        <f>(('Financial impact (cash)'!F$16)*'Inputs and eligible population'!$H$62/(365/'Inputs and eligible population'!$D$62))*'Capacity (local prices)'!$C183</f>
        <v>0</v>
      </c>
      <c r="J183" s="218"/>
      <c r="K183" s="528">
        <f>'Inputs and eligible population'!$K$106*'Inputs and eligible population'!H$106/60</f>
        <v>0</v>
      </c>
      <c r="L183" s="530">
        <f t="shared" si="74"/>
        <v>0</v>
      </c>
      <c r="M183" s="530">
        <f t="shared" si="68"/>
        <v>0</v>
      </c>
      <c r="N183" s="530">
        <f t="shared" si="69"/>
        <v>0</v>
      </c>
      <c r="O183" s="530">
        <f t="shared" si="70"/>
        <v>0</v>
      </c>
      <c r="P183" s="530">
        <f t="shared" si="71"/>
        <v>0</v>
      </c>
      <c r="Q183" s="530">
        <f t="shared" si="72"/>
        <v>0</v>
      </c>
      <c r="R183" s="132"/>
      <c r="S183" s="132"/>
      <c r="T183" s="132"/>
      <c r="U183" s="132"/>
      <c r="V183" s="132"/>
      <c r="W183" s="132"/>
      <c r="X183" s="132"/>
      <c r="Y183" s="132"/>
      <c r="Z183" s="132"/>
      <c r="AJ183" s="281"/>
      <c r="AK183" s="281"/>
      <c r="AL183" s="281"/>
      <c r="AM183" s="281"/>
      <c r="AN183" s="281"/>
    </row>
    <row r="184" spans="1:40">
      <c r="A184" s="284"/>
      <c r="B184" s="326" t="s">
        <v>1162</v>
      </c>
      <c r="C184" s="758">
        <f>'Inputs and eligible population'!$H$105</f>
        <v>0</v>
      </c>
      <c r="D184" s="127">
        <f>(('Financial impact (cash)'!D$16)*'Inputs and eligible population'!$I$62/(365/'Inputs and eligible population'!$D$62))*'Capacity (local prices)'!$C184</f>
        <v>0</v>
      </c>
      <c r="E184" s="127">
        <f>(('Financial impact (cash)'!D$16)*'Inputs and eligible population'!$I$62/(365/'Inputs and eligible population'!$D$62))*'Capacity (local prices)'!$C184</f>
        <v>0</v>
      </c>
      <c r="F184" s="127">
        <f>(('Financial impact (cash)'!D$16)*'Inputs and eligible population'!$I$62/(365/'Inputs and eligible population'!$D$62))*'Capacity (local prices)'!$C184</f>
        <v>0</v>
      </c>
      <c r="G184" s="127">
        <f>(('Financial impact (cash)'!D$16)*'Inputs and eligible population'!$I$62/(365/'Inputs and eligible population'!$D$62))*'Capacity (local prices)'!$C184</f>
        <v>0</v>
      </c>
      <c r="H184" s="127">
        <f>(('Financial impact (cash)'!D$16)*'Inputs and eligible population'!$I$62/(365/'Inputs and eligible population'!$D$62))*'Capacity (local prices)'!$C184</f>
        <v>0</v>
      </c>
      <c r="I184" s="127">
        <f>(('Financial impact (cash)'!E$16)*'Inputs and eligible population'!$I$62/(365/'Inputs and eligible population'!$D$62))*'Capacity (local prices)'!$C184</f>
        <v>0</v>
      </c>
      <c r="J184" s="218"/>
      <c r="K184" s="528">
        <f>'Inputs and eligible population'!$K$106*'Inputs and eligible population'!H$106/60</f>
        <v>0</v>
      </c>
      <c r="L184" s="530">
        <f t="shared" si="74"/>
        <v>0</v>
      </c>
      <c r="M184" s="530">
        <f t="shared" si="68"/>
        <v>0</v>
      </c>
      <c r="N184" s="530">
        <f t="shared" si="69"/>
        <v>0</v>
      </c>
      <c r="O184" s="530">
        <f t="shared" si="70"/>
        <v>0</v>
      </c>
      <c r="P184" s="530">
        <f t="shared" si="71"/>
        <v>0</v>
      </c>
      <c r="Q184" s="530">
        <f t="shared" si="72"/>
        <v>0</v>
      </c>
      <c r="R184" s="132"/>
      <c r="S184" s="132"/>
      <c r="T184" s="132"/>
      <c r="U184" s="132"/>
      <c r="V184" s="132"/>
      <c r="W184" s="132"/>
      <c r="X184" s="132"/>
      <c r="Y184" s="132"/>
      <c r="Z184" s="132"/>
      <c r="AJ184" s="281"/>
      <c r="AK184" s="281"/>
      <c r="AL184" s="281"/>
      <c r="AM184" s="281"/>
      <c r="AN184" s="281"/>
    </row>
    <row r="185" spans="1:40">
      <c r="A185" s="284"/>
      <c r="B185" s="326" t="s">
        <v>1163</v>
      </c>
      <c r="C185" s="758">
        <f>'Inputs and eligible population'!$I$105</f>
        <v>0</v>
      </c>
      <c r="D185" s="127">
        <f>('Financial impact (cash)'!D$17*'Inputs and eligible population'!$E$63/(365/'Inputs and eligible population'!D$63))*$C185</f>
        <v>0</v>
      </c>
      <c r="E185" s="127">
        <f>(('Financial impact (cash)'!E$17)*'Inputs and eligible population'!$E$63/(365/'Inputs and eligible population'!$D$63))*'Capacity (local prices)'!$C185</f>
        <v>0</v>
      </c>
      <c r="F185" s="127">
        <f>(('Financial impact (cash)'!F$17)*'Inputs and eligible population'!$E$63/(365/'Inputs and eligible population'!$D$63))*'Capacity (local prices)'!$C185</f>
        <v>0</v>
      </c>
      <c r="G185" s="127">
        <f>(('Financial impact (cash)'!G$17)*'Inputs and eligible population'!$E$63/(365/'Inputs and eligible population'!$D$63))*'Capacity (local prices)'!$C185</f>
        <v>0</v>
      </c>
      <c r="H185" s="127">
        <f>(('Financial impact (cash)'!H$17)*'Inputs and eligible population'!$E$63/(365/'Inputs and eligible population'!$D$63))*'Capacity (local prices)'!$C185</f>
        <v>0</v>
      </c>
      <c r="I185" s="127">
        <f>(('Financial impact (cash)'!I$17)*'Inputs and eligible population'!$E$63/(365/'Inputs and eligible population'!$D$63))*'Capacity (local prices)'!$C185</f>
        <v>0</v>
      </c>
      <c r="J185" s="218"/>
      <c r="K185" s="528">
        <f>'Inputs and eligible population'!$K$106*'Inputs and eligible population'!I$106/60</f>
        <v>0</v>
      </c>
      <c r="L185" s="530">
        <f t="shared" si="74"/>
        <v>0</v>
      </c>
      <c r="M185" s="530">
        <f t="shared" si="68"/>
        <v>0</v>
      </c>
      <c r="N185" s="530">
        <f t="shared" si="69"/>
        <v>0</v>
      </c>
      <c r="O185" s="530">
        <f t="shared" si="70"/>
        <v>0</v>
      </c>
      <c r="P185" s="530">
        <f t="shared" si="71"/>
        <v>0</v>
      </c>
      <c r="Q185" s="530">
        <f t="shared" si="72"/>
        <v>0</v>
      </c>
      <c r="R185" s="132"/>
      <c r="S185" s="132"/>
      <c r="T185" s="132"/>
      <c r="U185" s="132"/>
      <c r="V185" s="132"/>
      <c r="W185" s="132"/>
      <c r="X185" s="132"/>
      <c r="Y185" s="132"/>
      <c r="Z185" s="132"/>
      <c r="AJ185" s="281"/>
      <c r="AK185" s="281"/>
      <c r="AL185" s="281"/>
      <c r="AM185" s="281"/>
      <c r="AN185" s="281"/>
    </row>
    <row r="186" spans="1:40">
      <c r="A186" s="284"/>
      <c r="B186" s="326" t="s">
        <v>1164</v>
      </c>
      <c r="C186" s="758">
        <f>'Inputs and eligible population'!$I$105</f>
        <v>0</v>
      </c>
      <c r="D186" s="127">
        <f>(('Financial impact (cash)'!D$17)*'Inputs and eligible population'!$F$63/(365/'Inputs and eligible population'!$D$63))*'Capacity (local prices)'!$C186</f>
        <v>0</v>
      </c>
      <c r="E186" s="127">
        <f>(('Financial impact (cash)'!D$17)*'Inputs and eligible population'!$F$63/(365/'Inputs and eligible population'!$D$63))*'Capacity (local prices)'!$C186</f>
        <v>0</v>
      </c>
      <c r="F186" s="127">
        <f>(('Financial impact (cash)'!E$17)*'Inputs and eligible population'!$F$63/(365/'Inputs and eligible population'!$D$63))*'Capacity (local prices)'!$C186</f>
        <v>0</v>
      </c>
      <c r="G186" s="127">
        <f>(('Financial impact (cash)'!F$17)*'Inputs and eligible population'!$F$63/(365/'Inputs and eligible population'!$D$63))*'Capacity (local prices)'!$C186</f>
        <v>0</v>
      </c>
      <c r="H186" s="127">
        <f>(('Financial impact (cash)'!G$17)*'Inputs and eligible population'!$F$63/(365/'Inputs and eligible population'!$D$63))*'Capacity (local prices)'!$C186</f>
        <v>0</v>
      </c>
      <c r="I186" s="127">
        <f>(('Financial impact (cash)'!H$17)*'Inputs and eligible population'!$F$63/(365/'Inputs and eligible population'!$D$63))*'Capacity (local prices)'!$C186</f>
        <v>0</v>
      </c>
      <c r="J186" s="218"/>
      <c r="K186" s="528">
        <f>'Inputs and eligible population'!$K$106*'Inputs and eligible population'!I$106/60</f>
        <v>0</v>
      </c>
      <c r="L186" s="530">
        <f t="shared" si="74"/>
        <v>0</v>
      </c>
      <c r="M186" s="530">
        <f t="shared" si="68"/>
        <v>0</v>
      </c>
      <c r="N186" s="530">
        <f t="shared" si="69"/>
        <v>0</v>
      </c>
      <c r="O186" s="530">
        <f t="shared" si="70"/>
        <v>0</v>
      </c>
      <c r="P186" s="530">
        <f t="shared" si="71"/>
        <v>0</v>
      </c>
      <c r="Q186" s="530">
        <f t="shared" si="72"/>
        <v>0</v>
      </c>
      <c r="R186" s="132"/>
      <c r="S186" s="132"/>
      <c r="T186" s="132"/>
      <c r="U186" s="132"/>
      <c r="V186" s="132"/>
      <c r="W186" s="132"/>
      <c r="X186" s="132"/>
      <c r="Y186" s="132"/>
      <c r="Z186" s="132"/>
      <c r="AJ186" s="281"/>
      <c r="AK186" s="281"/>
      <c r="AL186" s="281"/>
      <c r="AM186" s="281"/>
      <c r="AN186" s="281"/>
    </row>
    <row r="187" spans="1:40">
      <c r="A187" s="284"/>
      <c r="B187" s="326" t="s">
        <v>1165</v>
      </c>
      <c r="C187" s="758">
        <f>'Inputs and eligible population'!$I$105</f>
        <v>0</v>
      </c>
      <c r="D187" s="127">
        <f>(('Financial impact (cash)'!D$17)*'Inputs and eligible population'!$G$63/(365/'Inputs and eligible population'!$D$63))*'Capacity (local prices)'!$C187</f>
        <v>0</v>
      </c>
      <c r="E187" s="127">
        <f>(('Financial impact (cash)'!D$17)*'Inputs and eligible population'!$G$63/(365/'Inputs and eligible population'!$D$63))*'Capacity (local prices)'!$C187</f>
        <v>0</v>
      </c>
      <c r="F187" s="127">
        <f>(('Financial impact (cash)'!D$17)*'Inputs and eligible population'!$G$63/(365/'Inputs and eligible population'!$D$63))*'Capacity (local prices)'!$C187</f>
        <v>0</v>
      </c>
      <c r="G187" s="127">
        <f>(('Financial impact (cash)'!E$17)*'Inputs and eligible population'!$G$63/(365/'Inputs and eligible population'!$D$63))*'Capacity (local prices)'!$C187</f>
        <v>0</v>
      </c>
      <c r="H187" s="127">
        <f>(('Financial impact (cash)'!F$17)*'Inputs and eligible population'!$G$63/(365/'Inputs and eligible population'!$D$63))*'Capacity (local prices)'!$C187</f>
        <v>0</v>
      </c>
      <c r="I187" s="127">
        <f>(('Financial impact (cash)'!G$17)*'Inputs and eligible population'!$G$63/(365/'Inputs and eligible population'!$D$63))*'Capacity (local prices)'!$C187</f>
        <v>0</v>
      </c>
      <c r="J187" s="218"/>
      <c r="K187" s="528">
        <f>'Inputs and eligible population'!$K$106*'Inputs and eligible population'!I$106/60</f>
        <v>0</v>
      </c>
      <c r="L187" s="530">
        <f t="shared" si="74"/>
        <v>0</v>
      </c>
      <c r="M187" s="530">
        <f t="shared" si="68"/>
        <v>0</v>
      </c>
      <c r="N187" s="530">
        <f t="shared" si="69"/>
        <v>0</v>
      </c>
      <c r="O187" s="530">
        <f t="shared" si="70"/>
        <v>0</v>
      </c>
      <c r="P187" s="530">
        <f t="shared" si="71"/>
        <v>0</v>
      </c>
      <c r="Q187" s="530">
        <f t="shared" si="72"/>
        <v>0</v>
      </c>
      <c r="R187" s="132"/>
      <c r="S187" s="132"/>
      <c r="T187" s="132"/>
      <c r="U187" s="132"/>
      <c r="V187" s="132"/>
      <c r="W187" s="132"/>
      <c r="X187" s="132"/>
      <c r="Y187" s="132"/>
      <c r="Z187" s="132"/>
      <c r="AJ187" s="281"/>
      <c r="AK187" s="281"/>
      <c r="AL187" s="281"/>
      <c r="AM187" s="281"/>
      <c r="AN187" s="281"/>
    </row>
    <row r="188" spans="1:40">
      <c r="A188" s="284"/>
      <c r="B188" s="326" t="s">
        <v>1166</v>
      </c>
      <c r="C188" s="758">
        <f>'Inputs and eligible population'!$I$105</f>
        <v>0</v>
      </c>
      <c r="D188" s="127">
        <f>(('Financial impact (cash)'!D$17)*'Inputs and eligible population'!$H$63/(365/'Inputs and eligible population'!$D$63))*'Capacity (local prices)'!$C188</f>
        <v>0</v>
      </c>
      <c r="E188" s="127">
        <f>(('Financial impact (cash)'!D$17)*'Inputs and eligible population'!$H$63/(365/'Inputs and eligible population'!$D$63))*'Capacity (local prices)'!$C188</f>
        <v>0</v>
      </c>
      <c r="F188" s="127">
        <f>(('Financial impact (cash)'!D$17)*'Inputs and eligible population'!$H$63/(365/'Inputs and eligible population'!$D$63))*'Capacity (local prices)'!$C188</f>
        <v>0</v>
      </c>
      <c r="G188" s="127">
        <f>(('Financial impact (cash)'!D$17)*'Inputs and eligible population'!$H$63/(365/'Inputs and eligible population'!$D$63))*'Capacity (local prices)'!$C188</f>
        <v>0</v>
      </c>
      <c r="H188" s="127">
        <f>(('Financial impact (cash)'!E$17)*'Inputs and eligible population'!$H$63/(365/'Inputs and eligible population'!$D$63))*'Capacity (local prices)'!$C188</f>
        <v>0</v>
      </c>
      <c r="I188" s="127">
        <f>(('Financial impact (cash)'!F$17)*'Inputs and eligible population'!$H$63/(365/'Inputs and eligible population'!$D$63))*'Capacity (local prices)'!$C188</f>
        <v>0</v>
      </c>
      <c r="J188" s="218"/>
      <c r="K188" s="528">
        <f>'Inputs and eligible population'!$K$106*'Inputs and eligible population'!I$106/60</f>
        <v>0</v>
      </c>
      <c r="L188" s="530">
        <f t="shared" si="74"/>
        <v>0</v>
      </c>
      <c r="M188" s="530">
        <f t="shared" si="68"/>
        <v>0</v>
      </c>
      <c r="N188" s="530">
        <f t="shared" si="69"/>
        <v>0</v>
      </c>
      <c r="O188" s="530">
        <f t="shared" si="70"/>
        <v>0</v>
      </c>
      <c r="P188" s="530">
        <f t="shared" si="71"/>
        <v>0</v>
      </c>
      <c r="Q188" s="530">
        <f t="shared" si="72"/>
        <v>0</v>
      </c>
      <c r="R188" s="132"/>
      <c r="S188" s="132"/>
      <c r="T188" s="132"/>
      <c r="U188" s="132"/>
      <c r="V188" s="132"/>
      <c r="W188" s="132"/>
      <c r="X188" s="132"/>
      <c r="Y188" s="132"/>
      <c r="Z188" s="132"/>
      <c r="AJ188" s="281"/>
      <c r="AK188" s="281"/>
      <c r="AL188" s="281"/>
      <c r="AM188" s="281"/>
      <c r="AN188" s="281"/>
    </row>
    <row r="189" spans="1:40">
      <c r="A189" s="284"/>
      <c r="B189" s="326" t="s">
        <v>1167</v>
      </c>
      <c r="C189" s="758">
        <f>'Inputs and eligible population'!$I$105</f>
        <v>0</v>
      </c>
      <c r="D189" s="127">
        <f>(('Financial impact (cash)'!D$17)*'Inputs and eligible population'!$I$63/(365/'Inputs and eligible population'!$D$63))*'Capacity (local prices)'!$C189</f>
        <v>0</v>
      </c>
      <c r="E189" s="127">
        <f>(('Financial impact (cash)'!D$17)*'Inputs and eligible population'!$I$63/(365/'Inputs and eligible population'!$D$63))*'Capacity (local prices)'!$C189</f>
        <v>0</v>
      </c>
      <c r="F189" s="127">
        <f>(('Financial impact (cash)'!D$17)*'Inputs and eligible population'!$I$63/(365/'Inputs and eligible population'!$D$63))*'Capacity (local prices)'!$C189</f>
        <v>0</v>
      </c>
      <c r="G189" s="127">
        <f>(('Financial impact (cash)'!D$17)*'Inputs and eligible population'!$I$63/(365/'Inputs and eligible population'!$D$63))*'Capacity (local prices)'!$C189</f>
        <v>0</v>
      </c>
      <c r="H189" s="127">
        <f>(('Financial impact (cash)'!D$17)*'Inputs and eligible population'!$I$63/(365/'Inputs and eligible population'!$D$63))*'Capacity (local prices)'!$C189</f>
        <v>0</v>
      </c>
      <c r="I189" s="127">
        <f>(('Financial impact (cash)'!E$17)*'Inputs and eligible population'!$I$63/(365/'Inputs and eligible population'!$D$63))*'Capacity (local prices)'!$C189</f>
        <v>0</v>
      </c>
      <c r="J189" s="218"/>
      <c r="K189" s="528">
        <f>'Inputs and eligible population'!$K$106*'Inputs and eligible population'!I$106/60</f>
        <v>0</v>
      </c>
      <c r="L189" s="530">
        <f t="shared" si="74"/>
        <v>0</v>
      </c>
      <c r="M189" s="530">
        <f t="shared" si="68"/>
        <v>0</v>
      </c>
      <c r="N189" s="530">
        <f t="shared" si="69"/>
        <v>0</v>
      </c>
      <c r="O189" s="530">
        <f t="shared" si="70"/>
        <v>0</v>
      </c>
      <c r="P189" s="530">
        <f t="shared" si="71"/>
        <v>0</v>
      </c>
      <c r="Q189" s="530">
        <f t="shared" si="72"/>
        <v>0</v>
      </c>
      <c r="R189" s="132"/>
      <c r="S189" s="132"/>
      <c r="T189" s="132"/>
      <c r="U189" s="132"/>
      <c r="V189" s="132"/>
      <c r="W189" s="132"/>
      <c r="X189" s="132"/>
      <c r="Y189" s="132"/>
      <c r="Z189" s="132"/>
      <c r="AJ189" s="281"/>
      <c r="AK189" s="281"/>
      <c r="AL189" s="281"/>
      <c r="AM189" s="281"/>
      <c r="AN189" s="281"/>
    </row>
    <row r="190" spans="1:40">
      <c r="A190" s="284"/>
      <c r="B190" s="278"/>
      <c r="C190" s="205"/>
      <c r="D190" s="184">
        <f>SUM(D165:D189)</f>
        <v>0</v>
      </c>
      <c r="E190" s="184">
        <f t="shared" ref="E190:I190" si="75">SUM(E165:E189)</f>
        <v>0</v>
      </c>
      <c r="F190" s="184">
        <f t="shared" si="75"/>
        <v>0</v>
      </c>
      <c r="G190" s="184">
        <f t="shared" si="75"/>
        <v>0</v>
      </c>
      <c r="H190" s="184">
        <f t="shared" si="75"/>
        <v>0</v>
      </c>
      <c r="I190" s="184">
        <f t="shared" si="75"/>
        <v>0</v>
      </c>
      <c r="J190" s="284"/>
      <c r="K190" s="284"/>
      <c r="L190" s="287">
        <f>SUM(L165:L189)</f>
        <v>0</v>
      </c>
      <c r="M190" s="287">
        <f t="shared" ref="M190:Q190" si="76">SUM(M165:M189)</f>
        <v>0</v>
      </c>
      <c r="N190" s="287">
        <f t="shared" si="76"/>
        <v>0</v>
      </c>
      <c r="O190" s="287">
        <f t="shared" si="76"/>
        <v>0</v>
      </c>
      <c r="P190" s="287">
        <f t="shared" si="76"/>
        <v>0</v>
      </c>
      <c r="Q190" s="287">
        <f t="shared" si="76"/>
        <v>0</v>
      </c>
      <c r="R190" s="132"/>
      <c r="S190" s="132"/>
      <c r="T190" s="132"/>
      <c r="U190" s="132"/>
      <c r="V190" s="132"/>
      <c r="W190" s="132"/>
      <c r="X190" s="132"/>
      <c r="Y190" s="132"/>
      <c r="Z190" s="132"/>
      <c r="AJ190" s="281"/>
      <c r="AK190" s="281"/>
      <c r="AL190" s="281"/>
      <c r="AM190" s="281"/>
      <c r="AN190" s="281"/>
    </row>
    <row r="191" spans="1:40">
      <c r="A191" s="284"/>
      <c r="B191" s="289"/>
      <c r="C191" s="252"/>
      <c r="D191" s="280" t="s">
        <v>816</v>
      </c>
      <c r="E191" s="184">
        <f>E190-$D$190</f>
        <v>0</v>
      </c>
      <c r="F191" s="184">
        <f>F190-$D$190</f>
        <v>0</v>
      </c>
      <c r="G191" s="184">
        <f>G190-$D$190</f>
        <v>0</v>
      </c>
      <c r="H191" s="184">
        <f>H190-$D$190</f>
        <v>0</v>
      </c>
      <c r="I191" s="184">
        <f>I190-$D$190</f>
        <v>0</v>
      </c>
      <c r="J191" s="284"/>
      <c r="K191" s="284"/>
      <c r="L191" s="506"/>
      <c r="M191" s="287">
        <f>M190-$L$190</f>
        <v>0</v>
      </c>
      <c r="N191" s="287">
        <f t="shared" ref="N191:Q191" si="77">N190-$L$190</f>
        <v>0</v>
      </c>
      <c r="O191" s="287">
        <f t="shared" si="77"/>
        <v>0</v>
      </c>
      <c r="P191" s="287">
        <f t="shared" si="77"/>
        <v>0</v>
      </c>
      <c r="Q191" s="287">
        <f t="shared" si="77"/>
        <v>0</v>
      </c>
      <c r="V191" s="132"/>
    </row>
    <row r="192" spans="1:40">
      <c r="A192" s="284"/>
      <c r="B192" s="304"/>
      <c r="C192" s="218"/>
      <c r="D192" s="218"/>
      <c r="E192" s="218"/>
      <c r="F192" s="218"/>
      <c r="G192" s="218"/>
      <c r="H192" s="218"/>
      <c r="I192" s="218"/>
      <c r="J192" s="284"/>
      <c r="K192" s="284"/>
      <c r="L192" s="218"/>
      <c r="M192" s="218"/>
      <c r="N192" s="218"/>
      <c r="O192" s="218"/>
      <c r="P192" s="218"/>
      <c r="Q192" s="218"/>
      <c r="V192" s="132"/>
    </row>
    <row r="193" spans="1:40">
      <c r="A193" s="284"/>
      <c r="B193" s="372" t="s">
        <v>1168</v>
      </c>
      <c r="C193" s="373"/>
      <c r="D193" s="373"/>
      <c r="E193" s="373"/>
      <c r="F193" s="373"/>
      <c r="G193" s="373"/>
      <c r="H193" s="373"/>
      <c r="I193" s="217"/>
      <c r="J193" s="284"/>
      <c r="K193" s="284"/>
      <c r="L193" s="398"/>
      <c r="M193" s="398"/>
      <c r="N193" s="398"/>
      <c r="O193" s="398"/>
      <c r="P193" s="398"/>
      <c r="Q193" s="398"/>
      <c r="R193" s="132"/>
      <c r="S193" s="132"/>
      <c r="T193" s="132"/>
      <c r="U193" s="132"/>
      <c r="V193" s="132"/>
      <c r="W193" s="132"/>
      <c r="X193" s="132"/>
      <c r="Y193" s="132"/>
      <c r="Z193" s="132"/>
      <c r="AJ193" s="281"/>
      <c r="AK193" s="281"/>
      <c r="AL193" s="281"/>
      <c r="AM193" s="281"/>
      <c r="AN193" s="281"/>
    </row>
    <row r="194" spans="1:40" ht="45">
      <c r="A194" s="284"/>
      <c r="B194" s="274" t="s">
        <v>757</v>
      </c>
      <c r="C194" s="165" t="s">
        <v>833</v>
      </c>
      <c r="D194" s="392" t="s">
        <v>825</v>
      </c>
      <c r="E194" s="251" t="s">
        <v>674</v>
      </c>
      <c r="F194" s="251" t="s">
        <v>675</v>
      </c>
      <c r="G194" s="164" t="s">
        <v>792</v>
      </c>
      <c r="H194" s="164" t="s">
        <v>793</v>
      </c>
      <c r="I194" s="251" t="s">
        <v>794</v>
      </c>
      <c r="J194" s="284"/>
      <c r="K194" s="515" t="s">
        <v>845</v>
      </c>
      <c r="L194" s="392" t="s">
        <v>825</v>
      </c>
      <c r="M194" s="251" t="s">
        <v>674</v>
      </c>
      <c r="N194" s="251" t="s">
        <v>675</v>
      </c>
      <c r="O194" s="164" t="s">
        <v>792</v>
      </c>
      <c r="P194" s="164" t="s">
        <v>793</v>
      </c>
      <c r="Q194" s="251" t="s">
        <v>794</v>
      </c>
      <c r="R194" s="132"/>
      <c r="S194" s="668"/>
      <c r="T194" s="132"/>
      <c r="U194" s="132"/>
      <c r="V194" s="132"/>
      <c r="W194" s="132"/>
      <c r="X194" s="132"/>
      <c r="Y194" s="132"/>
      <c r="Z194" s="132"/>
      <c r="AJ194" s="281"/>
      <c r="AK194" s="281"/>
      <c r="AL194" s="281"/>
      <c r="AM194" s="281"/>
      <c r="AN194" s="281"/>
    </row>
    <row r="195" spans="1:40">
      <c r="A195" s="284"/>
      <c r="B195" s="326" t="s">
        <v>1143</v>
      </c>
      <c r="C195" s="758">
        <f>'Inputs and eligible population'!$F$107</f>
        <v>1</v>
      </c>
      <c r="D195" s="127">
        <f>'Financial impact (cash)'!D13*'Capacity (local prices)'!$C195*'Inputs and eligible population'!$E$59</f>
        <v>0</v>
      </c>
      <c r="E195" s="127">
        <f>'Financial impact (cash)'!E13*'Capacity (local prices)'!$C195*'Inputs and eligible population'!$E$59</f>
        <v>0</v>
      </c>
      <c r="F195" s="127">
        <f>'Financial impact (cash)'!F13*'Capacity (local prices)'!$C195*'Inputs and eligible population'!$E$59</f>
        <v>0</v>
      </c>
      <c r="G195" s="127">
        <f>'Financial impact (cash)'!G13*'Capacity (local prices)'!$C195*'Inputs and eligible population'!$E$59</f>
        <v>0</v>
      </c>
      <c r="H195" s="127">
        <f>'Financial impact (cash)'!H13*'Capacity (local prices)'!$C195*'Inputs and eligible population'!$E$59</f>
        <v>0</v>
      </c>
      <c r="I195" s="127">
        <f>'Financial impact (cash)'!I13*'Capacity (local prices)'!$C195*'Inputs and eligible population'!$E$59</f>
        <v>0</v>
      </c>
      <c r="J195" s="218"/>
      <c r="K195" s="528">
        <f>'Inputs and eligible population'!$K$108*'Inputs and eligible population'!$F$108/60</f>
        <v>1.8266666666666669</v>
      </c>
      <c r="L195" s="530">
        <f>$K195/1000*D195</f>
        <v>0</v>
      </c>
      <c r="M195" s="530">
        <f t="shared" ref="M195:M219" si="78">$K195/1000*E195</f>
        <v>0</v>
      </c>
      <c r="N195" s="530">
        <f t="shared" ref="N195:N219" si="79">$K195/1000*F195</f>
        <v>0</v>
      </c>
      <c r="O195" s="530">
        <f t="shared" ref="O195:O219" si="80">$K195/1000*G195</f>
        <v>0</v>
      </c>
      <c r="P195" s="530">
        <f t="shared" ref="P195:P219" si="81">$K195/1000*H195</f>
        <v>0</v>
      </c>
      <c r="Q195" s="530">
        <f t="shared" ref="Q195:Q219" si="82">$K195/1000*I195</f>
        <v>0</v>
      </c>
      <c r="R195" s="132"/>
      <c r="S195" s="668"/>
      <c r="T195" s="668"/>
      <c r="U195" s="132"/>
      <c r="V195" s="132"/>
      <c r="W195" s="132"/>
      <c r="X195" s="132"/>
      <c r="Y195" s="132"/>
      <c r="Z195" s="132"/>
      <c r="AJ195" s="281"/>
      <c r="AK195" s="281"/>
      <c r="AL195" s="281"/>
      <c r="AM195" s="281"/>
      <c r="AN195" s="281"/>
    </row>
    <row r="196" spans="1:40">
      <c r="A196" s="284"/>
      <c r="B196" s="326" t="s">
        <v>1144</v>
      </c>
      <c r="C196" s="758">
        <f>'Inputs and eligible population'!$F$107</f>
        <v>1</v>
      </c>
      <c r="D196" s="127">
        <f>'Financial impact (cash)'!$D$13*'Inputs and eligible population'!$F$59*'Capacity (local prices)'!$C$37</f>
        <v>0</v>
      </c>
      <c r="E196" s="127">
        <f>'Financial impact (cash)'!$D$13*'Inputs and eligible population'!$F$59*'Capacity (local prices)'!$C$37</f>
        <v>0</v>
      </c>
      <c r="F196" s="127">
        <f>'Financial impact (cash)'!$E$13*'Inputs and eligible population'!$F$59*'Capacity (local prices)'!$C$196</f>
        <v>0</v>
      </c>
      <c r="G196" s="127">
        <f>'Financial impact (cash)'!$F$13*'Inputs and eligible population'!$F$59*'Capacity (local prices)'!$C196</f>
        <v>0</v>
      </c>
      <c r="H196" s="127">
        <f>'Financial impact (cash)'!$G$13*'Inputs and eligible population'!$F$59*'Capacity (local prices)'!$C$196</f>
        <v>0</v>
      </c>
      <c r="I196" s="127">
        <f>'Financial impact (cash)'!$H$13*'Inputs and eligible population'!$F$59*'Capacity (local prices)'!$C$37</f>
        <v>0</v>
      </c>
      <c r="J196" s="218"/>
      <c r="K196" s="528">
        <f>'Inputs and eligible population'!$K$108*'Inputs and eligible population'!$F$108/60</f>
        <v>1.8266666666666669</v>
      </c>
      <c r="L196" s="530">
        <f t="shared" ref="L196:L199" si="83">$K196/1000*D196</f>
        <v>0</v>
      </c>
      <c r="M196" s="530">
        <f t="shared" si="78"/>
        <v>0</v>
      </c>
      <c r="N196" s="530">
        <f t="shared" si="79"/>
        <v>0</v>
      </c>
      <c r="O196" s="530">
        <f t="shared" si="80"/>
        <v>0</v>
      </c>
      <c r="P196" s="530">
        <f t="shared" si="81"/>
        <v>0</v>
      </c>
      <c r="Q196" s="530">
        <f t="shared" si="82"/>
        <v>0</v>
      </c>
      <c r="R196" s="132"/>
      <c r="S196" s="668"/>
      <c r="T196" s="668"/>
      <c r="U196" s="132"/>
      <c r="V196" s="132"/>
      <c r="W196" s="132"/>
      <c r="X196" s="132"/>
      <c r="Y196" s="132"/>
      <c r="Z196" s="132"/>
      <c r="AJ196" s="281"/>
      <c r="AK196" s="281"/>
      <c r="AL196" s="281"/>
      <c r="AM196" s="281"/>
      <c r="AN196" s="281"/>
    </row>
    <row r="197" spans="1:40">
      <c r="A197" s="284"/>
      <c r="B197" s="326" t="s">
        <v>1145</v>
      </c>
      <c r="C197" s="758">
        <f>'Inputs and eligible population'!$F$107</f>
        <v>1</v>
      </c>
      <c r="D197" s="127">
        <f>'Financial impact (cash)'!$D$13*'Inputs and eligible population'!$G$59*'Capacity (local prices)'!$C$38</f>
        <v>0</v>
      </c>
      <c r="E197" s="127">
        <f>'Financial impact (cash)'!$D$13*'Inputs and eligible population'!$G$59*'Capacity (local prices)'!$C$38</f>
        <v>0</v>
      </c>
      <c r="F197" s="127">
        <f>'Financial impact (cash)'!$D$13*'Inputs and eligible population'!$G$59*'Capacity (local prices)'!$C$197</f>
        <v>0</v>
      </c>
      <c r="G197" s="127">
        <f>'Financial impact (cash)'!$E$13*'Inputs and eligible population'!$G$59*'Capacity (local prices)'!$C$197</f>
        <v>0</v>
      </c>
      <c r="H197" s="127">
        <f>'Financial impact (cash)'!$F$13*'Inputs and eligible population'!$G$59*'Capacity (local prices)'!$C$197</f>
        <v>0</v>
      </c>
      <c r="I197" s="127">
        <f>'Financial impact (cash)'!$G$13*'Inputs and eligible population'!$G$59*'Capacity (local prices)'!$C$38</f>
        <v>0</v>
      </c>
      <c r="J197" s="218"/>
      <c r="K197" s="528">
        <f>'Inputs and eligible population'!$K$108*'Inputs and eligible population'!$F$108/60</f>
        <v>1.8266666666666669</v>
      </c>
      <c r="L197" s="530">
        <f t="shared" si="83"/>
        <v>0</v>
      </c>
      <c r="M197" s="530">
        <f t="shared" si="78"/>
        <v>0</v>
      </c>
      <c r="N197" s="530">
        <f t="shared" si="79"/>
        <v>0</v>
      </c>
      <c r="O197" s="530">
        <f t="shared" si="80"/>
        <v>0</v>
      </c>
      <c r="P197" s="530">
        <f t="shared" si="81"/>
        <v>0</v>
      </c>
      <c r="Q197" s="530">
        <f t="shared" si="82"/>
        <v>0</v>
      </c>
      <c r="R197" s="132"/>
      <c r="S197" s="668"/>
      <c r="T197" s="668"/>
      <c r="U197" s="132"/>
      <c r="V197" s="132"/>
      <c r="W197" s="132"/>
      <c r="X197" s="132"/>
      <c r="Y197" s="132"/>
      <c r="Z197" s="132"/>
      <c r="AJ197" s="281"/>
      <c r="AK197" s="281"/>
      <c r="AL197" s="281"/>
      <c r="AM197" s="281"/>
      <c r="AN197" s="281"/>
    </row>
    <row r="198" spans="1:40">
      <c r="A198" s="284"/>
      <c r="B198" s="326" t="s">
        <v>1146</v>
      </c>
      <c r="C198" s="758">
        <f>'Inputs and eligible population'!$F$107</f>
        <v>1</v>
      </c>
      <c r="D198" s="127">
        <f>'Financial impact (cash)'!$D$13*'Inputs and eligible population'!$H$59*'Capacity (local prices)'!$C$39</f>
        <v>0</v>
      </c>
      <c r="E198" s="127">
        <f>'Financial impact (cash)'!$D$13*'Inputs and eligible population'!$H$59*'Capacity (local prices)'!$C$39</f>
        <v>0</v>
      </c>
      <c r="F198" s="127">
        <f>'Financial impact (cash)'!$D$13*'Inputs and eligible population'!$H$59*'Capacity (local prices)'!$C$198</f>
        <v>0</v>
      </c>
      <c r="G198" s="127">
        <f>'Financial impact (cash)'!$D$13*'Inputs and eligible population'!$H$59*'Capacity (local prices)'!$C$198</f>
        <v>0</v>
      </c>
      <c r="H198" s="127">
        <f>'Financial impact (cash)'!$E$13*'Inputs and eligible population'!$H$59*'Capacity (local prices)'!$C$198</f>
        <v>0</v>
      </c>
      <c r="I198" s="127">
        <f>'Financial impact (cash)'!$F$13*'Inputs and eligible population'!$H$59*'Capacity (local prices)'!$C$39</f>
        <v>0</v>
      </c>
      <c r="J198" s="218"/>
      <c r="K198" s="528">
        <f>'Inputs and eligible population'!$K$108*'Inputs and eligible population'!$F$108/60</f>
        <v>1.8266666666666669</v>
      </c>
      <c r="L198" s="530">
        <f t="shared" si="83"/>
        <v>0</v>
      </c>
      <c r="M198" s="530">
        <f t="shared" si="78"/>
        <v>0</v>
      </c>
      <c r="N198" s="530">
        <f t="shared" si="79"/>
        <v>0</v>
      </c>
      <c r="O198" s="530">
        <f t="shared" si="80"/>
        <v>0</v>
      </c>
      <c r="P198" s="530">
        <f t="shared" si="81"/>
        <v>0</v>
      </c>
      <c r="Q198" s="530">
        <f t="shared" si="82"/>
        <v>0</v>
      </c>
      <c r="R198" s="132"/>
      <c r="S198" s="668"/>
      <c r="T198" s="668"/>
      <c r="U198" s="132"/>
      <c r="V198" s="132"/>
      <c r="W198" s="132"/>
      <c r="X198" s="132"/>
      <c r="Y198" s="132"/>
      <c r="Z198" s="132"/>
      <c r="AJ198" s="281"/>
      <c r="AK198" s="281"/>
      <c r="AL198" s="281"/>
      <c r="AM198" s="281"/>
      <c r="AN198" s="281"/>
    </row>
    <row r="199" spans="1:40">
      <c r="A199" s="284"/>
      <c r="B199" s="326" t="s">
        <v>1147</v>
      </c>
      <c r="C199" s="758">
        <f>'Inputs and eligible population'!$F$107</f>
        <v>1</v>
      </c>
      <c r="D199" s="127">
        <f>'Financial impact (cash)'!$D$13*'Inputs and eligible population'!$H$59*'Capacity (local prices)'!$C$40</f>
        <v>0</v>
      </c>
      <c r="E199" s="127">
        <f>'Financial impact (cash)'!$D$13*'Inputs and eligible population'!$H$59*'Capacity (local prices)'!$C$40</f>
        <v>0</v>
      </c>
      <c r="F199" s="127">
        <f>'Financial impact (cash)'!$D$13*'Inputs and eligible population'!$H$59*'Capacity (local prices)'!$C$199</f>
        <v>0</v>
      </c>
      <c r="G199" s="127">
        <f>'Financial impact (cash)'!$D$13*'Inputs and eligible population'!$H$59*'Capacity (local prices)'!$C$199</f>
        <v>0</v>
      </c>
      <c r="H199" s="127">
        <f>'Financial impact (cash)'!$D$13*'Inputs and eligible population'!$H$59*'Capacity (local prices)'!$C$199</f>
        <v>0</v>
      </c>
      <c r="I199" s="127">
        <f>'Financial impact (cash)'!$E$13*'Inputs and eligible population'!$H$59*'Capacity (local prices)'!$C$199</f>
        <v>0</v>
      </c>
      <c r="J199" s="218"/>
      <c r="K199" s="528">
        <f>'Inputs and eligible population'!$K$108*'Inputs and eligible population'!$F$108/60</f>
        <v>1.8266666666666669</v>
      </c>
      <c r="L199" s="530">
        <f t="shared" si="83"/>
        <v>0</v>
      </c>
      <c r="M199" s="530">
        <f t="shared" si="78"/>
        <v>0</v>
      </c>
      <c r="N199" s="530">
        <f t="shared" si="79"/>
        <v>0</v>
      </c>
      <c r="O199" s="530">
        <f t="shared" si="80"/>
        <v>0</v>
      </c>
      <c r="P199" s="530">
        <f t="shared" si="81"/>
        <v>0</v>
      </c>
      <c r="Q199" s="530">
        <f t="shared" si="82"/>
        <v>0</v>
      </c>
      <c r="R199" s="132"/>
      <c r="S199" s="668"/>
      <c r="T199" s="668"/>
      <c r="U199" s="132"/>
      <c r="V199" s="132"/>
      <c r="W199" s="132"/>
      <c r="X199" s="132"/>
      <c r="Y199" s="132"/>
      <c r="Z199" s="132"/>
      <c r="AJ199" s="281"/>
      <c r="AK199" s="281"/>
      <c r="AL199" s="281"/>
      <c r="AM199" s="281"/>
      <c r="AN199" s="281"/>
    </row>
    <row r="200" spans="1:40">
      <c r="A200" s="284"/>
      <c r="B200" s="326" t="s">
        <v>1148</v>
      </c>
      <c r="C200" s="758">
        <f>'Inputs and eligible population'!$F$107</f>
        <v>1</v>
      </c>
      <c r="D200" s="127">
        <f>'Financial impact (cash)'!D14*'Capacity (local prices)'!$C200*'Inputs and eligible population'!$E$60</f>
        <v>0</v>
      </c>
      <c r="E200" s="127">
        <f>'Financial impact (cash)'!E14*'Capacity (local prices)'!$C200*'Inputs and eligible population'!$E$60</f>
        <v>0</v>
      </c>
      <c r="F200" s="127">
        <f>'Financial impact (cash)'!F14*'Capacity (local prices)'!$C200*'Inputs and eligible population'!$E$60</f>
        <v>0</v>
      </c>
      <c r="G200" s="127">
        <f>'Financial impact (cash)'!G14*'Capacity (local prices)'!$C200*'Inputs and eligible population'!$E$60</f>
        <v>0</v>
      </c>
      <c r="H200" s="127">
        <f>'Financial impact (cash)'!H14*'Capacity (local prices)'!$C200*'Inputs and eligible population'!$E$60</f>
        <v>0</v>
      </c>
      <c r="I200" s="127">
        <f>'Financial impact (cash)'!I14*'Capacity (local prices)'!$C200*'Inputs and eligible population'!$E$60</f>
        <v>0</v>
      </c>
      <c r="J200" s="218"/>
      <c r="K200" s="528">
        <f>'Inputs and eligible population'!$K$108*'Inputs and eligible population'!$F$108/60</f>
        <v>1.8266666666666669</v>
      </c>
      <c r="L200" s="530">
        <f>$K200/1000*D200</f>
        <v>0</v>
      </c>
      <c r="M200" s="530">
        <f t="shared" si="78"/>
        <v>0</v>
      </c>
      <c r="N200" s="530">
        <f t="shared" si="79"/>
        <v>0</v>
      </c>
      <c r="O200" s="530">
        <f t="shared" si="80"/>
        <v>0</v>
      </c>
      <c r="P200" s="530">
        <f t="shared" si="81"/>
        <v>0</v>
      </c>
      <c r="Q200" s="530">
        <f t="shared" si="82"/>
        <v>0</v>
      </c>
      <c r="R200" s="132"/>
      <c r="S200" s="668"/>
      <c r="T200" s="668"/>
      <c r="U200" s="132"/>
      <c r="V200" s="132"/>
      <c r="W200" s="132"/>
      <c r="X200" s="132"/>
      <c r="Y200" s="132"/>
      <c r="Z200" s="132"/>
      <c r="AJ200" s="281"/>
      <c r="AK200" s="281"/>
      <c r="AL200" s="281"/>
      <c r="AM200" s="281"/>
      <c r="AN200" s="281"/>
    </row>
    <row r="201" spans="1:40">
      <c r="A201" s="284"/>
      <c r="B201" s="326" t="s">
        <v>1149</v>
      </c>
      <c r="C201" s="758">
        <f>'Inputs and eligible population'!$F$107</f>
        <v>1</v>
      </c>
      <c r="D201" s="127">
        <f>'Financial impact (cash)'!$D$14*'Inputs and eligible population'!$F$60*'Capacity (local prices)'!$C$42</f>
        <v>0</v>
      </c>
      <c r="E201" s="127">
        <f>'Financial impact (cash)'!$D$14*'Inputs and eligible population'!$F$60*'Capacity (local prices)'!$C$201</f>
        <v>0</v>
      </c>
      <c r="F201" s="127">
        <f>'Financial impact (cash)'!$E$14*'Inputs and eligible population'!$F$60*'Capacity (local prices)'!$C$201</f>
        <v>0</v>
      </c>
      <c r="G201" s="127">
        <f>'Financial impact (cash)'!$F$14*'Inputs and eligible population'!$F$60*'Capacity (local prices)'!$C$201</f>
        <v>0</v>
      </c>
      <c r="H201" s="127">
        <f>'Financial impact (cash)'!$G$14*'Inputs and eligible population'!$F$60*'Capacity (local prices)'!$C$201</f>
        <v>0</v>
      </c>
      <c r="I201" s="127">
        <f>'Financial impact (cash)'!$H$14*'Inputs and eligible population'!$F$60*'Capacity (local prices)'!$C$42</f>
        <v>0</v>
      </c>
      <c r="J201" s="218"/>
      <c r="K201" s="528">
        <f>'Inputs and eligible population'!$K$108*'Inputs and eligible population'!$F$108/60</f>
        <v>1.8266666666666669</v>
      </c>
      <c r="L201" s="530">
        <f t="shared" ref="L201:L219" si="84">$K201/1000*D201</f>
        <v>0</v>
      </c>
      <c r="M201" s="530">
        <f t="shared" si="78"/>
        <v>0</v>
      </c>
      <c r="N201" s="530">
        <f t="shared" si="79"/>
        <v>0</v>
      </c>
      <c r="O201" s="530">
        <f t="shared" si="80"/>
        <v>0</v>
      </c>
      <c r="P201" s="530">
        <f t="shared" si="81"/>
        <v>0</v>
      </c>
      <c r="Q201" s="530">
        <f t="shared" si="82"/>
        <v>0</v>
      </c>
      <c r="R201" s="132"/>
      <c r="S201" s="668"/>
      <c r="T201" s="668"/>
      <c r="U201" s="132"/>
      <c r="V201" s="132"/>
      <c r="W201" s="132"/>
      <c r="X201" s="132"/>
      <c r="Y201" s="132"/>
      <c r="Z201" s="132"/>
      <c r="AJ201" s="281"/>
      <c r="AK201" s="281"/>
      <c r="AL201" s="281"/>
      <c r="AM201" s="281"/>
      <c r="AN201" s="281"/>
    </row>
    <row r="202" spans="1:40">
      <c r="A202" s="284"/>
      <c r="B202" s="326" t="s">
        <v>1150</v>
      </c>
      <c r="C202" s="758">
        <f>'Inputs and eligible population'!$F$107</f>
        <v>1</v>
      </c>
      <c r="D202" s="127">
        <f>'Financial impact (cash)'!$D$14*'Inputs and eligible population'!$G$60*'Capacity (local prices)'!$C$43</f>
        <v>0</v>
      </c>
      <c r="E202" s="127">
        <f>'Financial impact (cash)'!$D$14*'Inputs and eligible population'!$G$60*'Capacity (local prices)'!$C$202</f>
        <v>0</v>
      </c>
      <c r="F202" s="127">
        <f>'Financial impact (cash)'!$D$14*'Inputs and eligible population'!$G$60*'Capacity (local prices)'!$C202</f>
        <v>0</v>
      </c>
      <c r="G202" s="127">
        <f>'Financial impact (cash)'!$E$14*'Inputs and eligible population'!$G$60*'Capacity (local prices)'!$C$202</f>
        <v>0</v>
      </c>
      <c r="H202" s="127">
        <f>'Financial impact (cash)'!$F$14*'Inputs and eligible population'!$G$60*'Capacity (local prices)'!$C$202</f>
        <v>0</v>
      </c>
      <c r="I202" s="127">
        <f>'Financial impact (cash)'!$G$14*'Inputs and eligible population'!$G$60*'Capacity (local prices)'!$C$43</f>
        <v>0</v>
      </c>
      <c r="J202" s="218"/>
      <c r="K202" s="528">
        <f>'Inputs and eligible population'!$K$108*'Inputs and eligible population'!$F$108/60</f>
        <v>1.8266666666666669</v>
      </c>
      <c r="L202" s="530">
        <f t="shared" si="84"/>
        <v>0</v>
      </c>
      <c r="M202" s="530">
        <f t="shared" si="78"/>
        <v>0</v>
      </c>
      <c r="N202" s="530">
        <f t="shared" si="79"/>
        <v>0</v>
      </c>
      <c r="O202" s="530">
        <f t="shared" si="80"/>
        <v>0</v>
      </c>
      <c r="P202" s="530">
        <f t="shared" si="81"/>
        <v>0</v>
      </c>
      <c r="Q202" s="530">
        <f t="shared" si="82"/>
        <v>0</v>
      </c>
      <c r="R202" s="132"/>
      <c r="S202" s="668"/>
      <c r="T202" s="668"/>
      <c r="U202" s="132"/>
      <c r="V202" s="132"/>
      <c r="W202" s="132"/>
      <c r="X202" s="132"/>
      <c r="Y202" s="132"/>
      <c r="Z202" s="132"/>
      <c r="AJ202" s="281"/>
      <c r="AK202" s="281"/>
      <c r="AL202" s="281"/>
      <c r="AM202" s="281"/>
      <c r="AN202" s="281"/>
    </row>
    <row r="203" spans="1:40">
      <c r="A203" s="284"/>
      <c r="B203" s="326" t="s">
        <v>1151</v>
      </c>
      <c r="C203" s="758">
        <f>'Inputs and eligible population'!$F$107</f>
        <v>1</v>
      </c>
      <c r="D203" s="127">
        <f>'Financial impact (cash)'!$D$14*'Inputs and eligible population'!$H$60*'Capacity (local prices)'!$C$44</f>
        <v>0</v>
      </c>
      <c r="E203" s="127">
        <f>'Financial impact (cash)'!$D$14*'Inputs and eligible population'!$H$60*'Capacity (local prices)'!$C$203</f>
        <v>0</v>
      </c>
      <c r="F203" s="127">
        <f>'Financial impact (cash)'!$D$14*'Inputs and eligible population'!$H$60*'Capacity (local prices)'!$C$203</f>
        <v>0</v>
      </c>
      <c r="G203" s="127">
        <f>'Financial impact (cash)'!$D$14*'Inputs and eligible population'!$H$60*'Capacity (local prices)'!$C$203</f>
        <v>0</v>
      </c>
      <c r="H203" s="127">
        <f>'Financial impact (cash)'!$E$14*'Inputs and eligible population'!$H$60*'Capacity (local prices)'!$C$203</f>
        <v>0</v>
      </c>
      <c r="I203" s="127">
        <f>'Financial impact (cash)'!$F$14*'Inputs and eligible population'!$H$60*'Capacity (local prices)'!$C$203</f>
        <v>0</v>
      </c>
      <c r="J203" s="218"/>
      <c r="K203" s="528">
        <f>'Inputs and eligible population'!$K$108*'Inputs and eligible population'!$F$108/60</f>
        <v>1.8266666666666669</v>
      </c>
      <c r="L203" s="530">
        <f t="shared" si="84"/>
        <v>0</v>
      </c>
      <c r="M203" s="530">
        <f t="shared" si="78"/>
        <v>0</v>
      </c>
      <c r="N203" s="530">
        <f t="shared" si="79"/>
        <v>0</v>
      </c>
      <c r="O203" s="530">
        <f t="shared" si="80"/>
        <v>0</v>
      </c>
      <c r="P203" s="530">
        <f t="shared" si="81"/>
        <v>0</v>
      </c>
      <c r="Q203" s="530">
        <f t="shared" si="82"/>
        <v>0</v>
      </c>
      <c r="R203" s="132"/>
      <c r="S203" s="668"/>
      <c r="T203" s="668"/>
      <c r="U203" s="132"/>
      <c r="V203" s="132"/>
      <c r="W203" s="132"/>
      <c r="X203" s="132"/>
      <c r="Y203" s="132"/>
      <c r="Z203" s="132"/>
      <c r="AJ203" s="281"/>
      <c r="AK203" s="281"/>
      <c r="AL203" s="281"/>
      <c r="AM203" s="281"/>
      <c r="AN203" s="281"/>
    </row>
    <row r="204" spans="1:40">
      <c r="A204" s="284"/>
      <c r="B204" s="326" t="s">
        <v>1152</v>
      </c>
      <c r="C204" s="758">
        <f>'Inputs and eligible population'!$F$107</f>
        <v>1</v>
      </c>
      <c r="D204" s="127">
        <f>'Financial impact (cash)'!$D$14*'Inputs and eligible population'!$I$60*'Capacity (local prices)'!$C$45</f>
        <v>0</v>
      </c>
      <c r="E204" s="127">
        <f>'Financial impact (cash)'!$D$14*'Inputs and eligible population'!$I$60*'Capacity (local prices)'!$C$45</f>
        <v>0</v>
      </c>
      <c r="F204" s="127">
        <f>'Financial impact (cash)'!$D$14*'Inputs and eligible population'!$I$60*'Capacity (local prices)'!$C$204</f>
        <v>0</v>
      </c>
      <c r="G204" s="127">
        <f>'Financial impact (cash)'!$D$14*'Inputs and eligible population'!$I$60*'Capacity (local prices)'!$C$204</f>
        <v>0</v>
      </c>
      <c r="H204" s="127">
        <f>'Financial impact (cash)'!$D$14*'Inputs and eligible population'!$I$60*'Capacity (local prices)'!$C$204</f>
        <v>0</v>
      </c>
      <c r="I204" s="127">
        <f>'Financial impact (cash)'!$E$14*'Inputs and eligible population'!$I$60*'Capacity (local prices)'!$C$45</f>
        <v>0</v>
      </c>
      <c r="J204" s="218"/>
      <c r="K204" s="528">
        <f>'Inputs and eligible population'!$K$108*'Inputs and eligible population'!$F$108/60</f>
        <v>1.8266666666666669</v>
      </c>
      <c r="L204" s="530">
        <f t="shared" si="84"/>
        <v>0</v>
      </c>
      <c r="M204" s="530">
        <f t="shared" si="78"/>
        <v>0</v>
      </c>
      <c r="N204" s="530">
        <f t="shared" si="79"/>
        <v>0</v>
      </c>
      <c r="O204" s="530">
        <f t="shared" si="80"/>
        <v>0</v>
      </c>
      <c r="P204" s="530">
        <f t="shared" si="81"/>
        <v>0</v>
      </c>
      <c r="Q204" s="530">
        <f t="shared" si="82"/>
        <v>0</v>
      </c>
      <c r="R204" s="132"/>
      <c r="S204" s="668"/>
      <c r="T204" s="668"/>
      <c r="U204" s="132"/>
      <c r="V204" s="132"/>
      <c r="W204" s="132"/>
      <c r="X204" s="132"/>
      <c r="Y204" s="132"/>
      <c r="Z204" s="132"/>
      <c r="AJ204" s="281"/>
      <c r="AK204" s="281"/>
      <c r="AL204" s="281"/>
      <c r="AM204" s="281"/>
      <c r="AN204" s="281"/>
    </row>
    <row r="205" spans="1:40">
      <c r="A205" s="284"/>
      <c r="B205" s="326" t="s">
        <v>1153</v>
      </c>
      <c r="C205" s="758">
        <f>'Inputs and eligible population'!$G$107</f>
        <v>1</v>
      </c>
      <c r="D205" s="127">
        <f>'Financial impact (cash)'!D15*'Capacity (local prices)'!$C205*'Inputs and eligible population'!$E$61</f>
        <v>0</v>
      </c>
      <c r="E205" s="127">
        <f>'Financial impact (cash)'!E15*'Capacity (local prices)'!$C205*'Inputs and eligible population'!$E$61</f>
        <v>0</v>
      </c>
      <c r="F205" s="127">
        <f>'Financial impact (cash)'!F15*'Capacity (local prices)'!$C205*'Inputs and eligible population'!$E$61</f>
        <v>0</v>
      </c>
      <c r="G205" s="127">
        <f>'Financial impact (cash)'!G15*'Capacity (local prices)'!$C205*'Inputs and eligible population'!$E$61</f>
        <v>0</v>
      </c>
      <c r="H205" s="127">
        <f>'Financial impact (cash)'!H15*'Capacity (local prices)'!$C205*'Inputs and eligible population'!$E$61</f>
        <v>0</v>
      </c>
      <c r="I205" s="127">
        <f>'Financial impact (cash)'!I15*'Capacity (local prices)'!$C205*'Inputs and eligible population'!$E$61</f>
        <v>0</v>
      </c>
      <c r="J205" s="218"/>
      <c r="K205" s="528">
        <f>'Inputs and eligible population'!$K$108*'Inputs and eligible population'!$G$108/60</f>
        <v>1.8266666666666669</v>
      </c>
      <c r="L205" s="530">
        <f t="shared" si="84"/>
        <v>0</v>
      </c>
      <c r="M205" s="530">
        <f t="shared" si="78"/>
        <v>0</v>
      </c>
      <c r="N205" s="530">
        <f t="shared" si="79"/>
        <v>0</v>
      </c>
      <c r="O205" s="530">
        <f t="shared" si="80"/>
        <v>0</v>
      </c>
      <c r="P205" s="530">
        <f t="shared" si="81"/>
        <v>0</v>
      </c>
      <c r="Q205" s="530">
        <f t="shared" si="82"/>
        <v>0</v>
      </c>
      <c r="R205" s="132"/>
      <c r="S205" s="668"/>
      <c r="T205" s="668"/>
      <c r="U205" s="132"/>
      <c r="V205" s="132"/>
      <c r="W205" s="132"/>
      <c r="X205" s="132"/>
      <c r="Y205" s="132"/>
      <c r="Z205" s="132"/>
      <c r="AJ205" s="281"/>
      <c r="AK205" s="281"/>
      <c r="AL205" s="281"/>
      <c r="AM205" s="281"/>
      <c r="AN205" s="281"/>
    </row>
    <row r="206" spans="1:40">
      <c r="A206" s="284"/>
      <c r="B206" s="326" t="s">
        <v>1154</v>
      </c>
      <c r="C206" s="758">
        <f>'Inputs and eligible population'!$G$107</f>
        <v>1</v>
      </c>
      <c r="D206" s="127">
        <f>'Financial impact (cash)'!$D$15*'Inputs and eligible population'!$F$61*'Capacity (local prices)'!$C$47</f>
        <v>0</v>
      </c>
      <c r="E206" s="127">
        <f>'Financial impact (cash)'!$D$15*'Inputs and eligible population'!$F$61*'Capacity (local prices)'!$C$206</f>
        <v>0</v>
      </c>
      <c r="F206" s="127">
        <f>'Financial impact (cash)'!$E$15*'Inputs and eligible population'!$F$61*'Capacity (local prices)'!$C$206</f>
        <v>0</v>
      </c>
      <c r="G206" s="127">
        <f>'Financial impact (cash)'!$F$15*'Inputs and eligible population'!$F$61*'Capacity (local prices)'!$C$206</f>
        <v>0</v>
      </c>
      <c r="H206" s="127">
        <f>'Financial impact (cash)'!$G$15*'Inputs and eligible population'!$F$61*'Capacity (local prices)'!$C206</f>
        <v>0</v>
      </c>
      <c r="I206" s="127">
        <f>'Financial impact (cash)'!$H$15*'Inputs and eligible population'!$F$61*'Capacity (local prices)'!$C$47</f>
        <v>0</v>
      </c>
      <c r="J206" s="218"/>
      <c r="K206" s="528">
        <f>'Inputs and eligible population'!$K$108*'Inputs and eligible population'!$G$108/60</f>
        <v>1.8266666666666669</v>
      </c>
      <c r="L206" s="530">
        <f t="shared" si="84"/>
        <v>0</v>
      </c>
      <c r="M206" s="530">
        <f t="shared" si="78"/>
        <v>0</v>
      </c>
      <c r="N206" s="530">
        <f t="shared" si="79"/>
        <v>0</v>
      </c>
      <c r="O206" s="530">
        <f t="shared" si="80"/>
        <v>0</v>
      </c>
      <c r="P206" s="530">
        <f t="shared" si="81"/>
        <v>0</v>
      </c>
      <c r="Q206" s="530">
        <f t="shared" si="82"/>
        <v>0</v>
      </c>
      <c r="R206" s="132"/>
      <c r="S206" s="668"/>
      <c r="T206" s="668"/>
      <c r="U206" s="132"/>
      <c r="V206" s="132"/>
      <c r="W206" s="132"/>
      <c r="X206" s="132"/>
      <c r="Y206" s="132"/>
      <c r="Z206" s="132"/>
      <c r="AJ206" s="281"/>
      <c r="AK206" s="281"/>
      <c r="AL206" s="281"/>
      <c r="AM206" s="281"/>
      <c r="AN206" s="281"/>
    </row>
    <row r="207" spans="1:40">
      <c r="A207" s="284"/>
      <c r="B207" s="326" t="s">
        <v>1155</v>
      </c>
      <c r="C207" s="758">
        <f>'Inputs and eligible population'!$G$107</f>
        <v>1</v>
      </c>
      <c r="D207" s="127">
        <f>'Financial impact (cash)'!$D$15*'Inputs and eligible population'!$G$61*'Capacity (local prices)'!$C$48</f>
        <v>0</v>
      </c>
      <c r="E207" s="127">
        <f>'Financial impact (cash)'!$D$15*'Inputs and eligible population'!$G$61*'Capacity (local prices)'!$C$207</f>
        <v>0</v>
      </c>
      <c r="F207" s="127">
        <f>'Financial impact (cash)'!$D$15*'Inputs and eligible population'!$G$61*'Capacity (local prices)'!$C$207</f>
        <v>0</v>
      </c>
      <c r="G207" s="127">
        <f>'Financial impact (cash)'!$E$15*'Inputs and eligible population'!$G$61*'Capacity (local prices)'!$C$207</f>
        <v>0</v>
      </c>
      <c r="H207" s="127">
        <f>'Financial impact (cash)'!$F$15*'Inputs and eligible population'!$G$61*'Capacity (local prices)'!$C$207</f>
        <v>0</v>
      </c>
      <c r="I207" s="127">
        <f>'Financial impact (cash)'!$G$15*'Inputs and eligible population'!$G$61*'Capacity (local prices)'!$C$48</f>
        <v>0</v>
      </c>
      <c r="J207" s="218"/>
      <c r="K207" s="528">
        <f>'Inputs and eligible population'!$K$108*'Inputs and eligible population'!$G$108/60</f>
        <v>1.8266666666666669</v>
      </c>
      <c r="L207" s="530">
        <f t="shared" si="84"/>
        <v>0</v>
      </c>
      <c r="M207" s="530">
        <f t="shared" si="78"/>
        <v>0</v>
      </c>
      <c r="N207" s="530">
        <f t="shared" si="79"/>
        <v>0</v>
      </c>
      <c r="O207" s="530">
        <f t="shared" si="80"/>
        <v>0</v>
      </c>
      <c r="P207" s="530">
        <f t="shared" si="81"/>
        <v>0</v>
      </c>
      <c r="Q207" s="530">
        <f t="shared" si="82"/>
        <v>0</v>
      </c>
      <c r="R207" s="132"/>
      <c r="S207" s="668"/>
      <c r="T207" s="668"/>
      <c r="U207" s="132"/>
      <c r="V207" s="132"/>
      <c r="W207" s="132"/>
      <c r="X207" s="132"/>
      <c r="Y207" s="132"/>
      <c r="Z207" s="132"/>
      <c r="AJ207" s="281"/>
      <c r="AK207" s="281"/>
      <c r="AL207" s="281"/>
      <c r="AM207" s="281"/>
      <c r="AN207" s="281"/>
    </row>
    <row r="208" spans="1:40">
      <c r="A208" s="284"/>
      <c r="B208" s="326" t="s">
        <v>1156</v>
      </c>
      <c r="C208" s="758">
        <f>'Inputs and eligible population'!$G$107</f>
        <v>1</v>
      </c>
      <c r="D208" s="127">
        <f>'Financial impact (cash)'!$D$15*'Inputs and eligible population'!$H$61*'Capacity (local prices)'!$C$49</f>
        <v>0</v>
      </c>
      <c r="E208" s="127">
        <f>'Financial impact (cash)'!$D$15*'Inputs and eligible population'!$H$61*'Capacity (local prices)'!$C$208</f>
        <v>0</v>
      </c>
      <c r="F208" s="127">
        <f>'Financial impact (cash)'!$D$15*'Inputs and eligible population'!$H$61*'Capacity (local prices)'!$C$208</f>
        <v>0</v>
      </c>
      <c r="G208" s="127">
        <f>'Financial impact (cash)'!$D$15*'Inputs and eligible population'!$H$61*'Capacity (local prices)'!$C$208</f>
        <v>0</v>
      </c>
      <c r="H208" s="127">
        <f>'Financial impact (cash)'!$E$15*'Inputs and eligible population'!$H$61*'Capacity (local prices)'!$C$208</f>
        <v>0</v>
      </c>
      <c r="I208" s="127">
        <f>'Financial impact (cash)'!$F$15*'Inputs and eligible population'!$H$61*'Capacity (local prices)'!$C$49</f>
        <v>0</v>
      </c>
      <c r="J208" s="218"/>
      <c r="K208" s="528">
        <f>'Inputs and eligible population'!$K$108*'Inputs and eligible population'!$G$108/60</f>
        <v>1.8266666666666669</v>
      </c>
      <c r="L208" s="530">
        <f t="shared" si="84"/>
        <v>0</v>
      </c>
      <c r="M208" s="530">
        <f t="shared" si="78"/>
        <v>0</v>
      </c>
      <c r="N208" s="530">
        <f t="shared" si="79"/>
        <v>0</v>
      </c>
      <c r="O208" s="530">
        <f t="shared" si="80"/>
        <v>0</v>
      </c>
      <c r="P208" s="530">
        <f t="shared" si="81"/>
        <v>0</v>
      </c>
      <c r="Q208" s="530">
        <f t="shared" si="82"/>
        <v>0</v>
      </c>
      <c r="R208" s="132"/>
      <c r="S208" s="668"/>
      <c r="T208" s="668"/>
      <c r="U208" s="132"/>
      <c r="V208" s="132"/>
      <c r="W208" s="132"/>
      <c r="X208" s="132"/>
      <c r="Y208" s="132"/>
      <c r="Z208" s="132"/>
      <c r="AJ208" s="281"/>
      <c r="AK208" s="281"/>
      <c r="AL208" s="281"/>
      <c r="AM208" s="281"/>
      <c r="AN208" s="281"/>
    </row>
    <row r="209" spans="1:40">
      <c r="A209" s="284"/>
      <c r="B209" s="326" t="s">
        <v>1157</v>
      </c>
      <c r="C209" s="758">
        <f>'Inputs and eligible population'!$G$107</f>
        <v>1</v>
      </c>
      <c r="D209" s="127">
        <f>'Financial impact (cash)'!$D$15*'Inputs and eligible population'!$I$61*'Capacity (local prices)'!$C$50</f>
        <v>0</v>
      </c>
      <c r="E209" s="127">
        <f>'Financial impact (cash)'!$D$15*'Inputs and eligible population'!$I$61*'Capacity (local prices)'!$C$209</f>
        <v>0</v>
      </c>
      <c r="F209" s="127">
        <f>'Financial impact (cash)'!$D$15*'Inputs and eligible population'!$I$61*'Capacity (local prices)'!$C$209</f>
        <v>0</v>
      </c>
      <c r="G209" s="127">
        <f>'Financial impact (cash)'!$D$15*'Inputs and eligible population'!$I$61*'Capacity (local prices)'!$C$209</f>
        <v>0</v>
      </c>
      <c r="H209" s="127">
        <f>'Financial impact (cash)'!$D$15*'Inputs and eligible population'!$I$61*'Capacity (local prices)'!$C$209</f>
        <v>0</v>
      </c>
      <c r="I209" s="127">
        <f>'Financial impact (cash)'!$E$15*'Inputs and eligible population'!$I$61*'Capacity (local prices)'!$C$209</f>
        <v>0</v>
      </c>
      <c r="J209" s="218"/>
      <c r="K209" s="528">
        <f>'Inputs and eligible population'!$K$108*'Inputs and eligible population'!$G$108/60</f>
        <v>1.8266666666666669</v>
      </c>
      <c r="L209" s="530">
        <f t="shared" si="84"/>
        <v>0</v>
      </c>
      <c r="M209" s="530">
        <f t="shared" si="78"/>
        <v>0</v>
      </c>
      <c r="N209" s="530">
        <f t="shared" si="79"/>
        <v>0</v>
      </c>
      <c r="O209" s="530">
        <f t="shared" si="80"/>
        <v>0</v>
      </c>
      <c r="P209" s="530">
        <f t="shared" si="81"/>
        <v>0</v>
      </c>
      <c r="Q209" s="530">
        <f t="shared" si="82"/>
        <v>0</v>
      </c>
      <c r="R209" s="132"/>
      <c r="S209" s="668"/>
      <c r="T209" s="668"/>
      <c r="U209" s="132"/>
      <c r="V209" s="132"/>
      <c r="W209" s="132"/>
      <c r="X209" s="132"/>
      <c r="Y209" s="132"/>
      <c r="Z209" s="132"/>
      <c r="AJ209" s="281"/>
      <c r="AK209" s="281"/>
      <c r="AL209" s="281"/>
      <c r="AM209" s="281"/>
      <c r="AN209" s="281"/>
    </row>
    <row r="210" spans="1:40">
      <c r="A210" s="284"/>
      <c r="B210" s="326" t="s">
        <v>1158</v>
      </c>
      <c r="C210" s="758">
        <f>'Inputs and eligible population'!$H$107</f>
        <v>1</v>
      </c>
      <c r="D210" s="127">
        <f>'Financial impact (cash)'!D16*'Capacity (local prices)'!$C210*'Inputs and eligible population'!$E$62</f>
        <v>0</v>
      </c>
      <c r="E210" s="127">
        <f>'Financial impact (cash)'!E16*'Capacity (local prices)'!$C210*'Inputs and eligible population'!$E$62</f>
        <v>0</v>
      </c>
      <c r="F210" s="127">
        <f>'Financial impact (cash)'!F16*'Capacity (local prices)'!$C210*'Inputs and eligible population'!$E$62</f>
        <v>0</v>
      </c>
      <c r="G210" s="127">
        <f>'Financial impact (cash)'!G16*'Capacity (local prices)'!$C210*'Inputs and eligible population'!$E$62</f>
        <v>0</v>
      </c>
      <c r="H210" s="127">
        <f>'Financial impact (cash)'!H16*'Capacity (local prices)'!$C210*'Inputs and eligible population'!$E$62</f>
        <v>0</v>
      </c>
      <c r="I210" s="127">
        <f>'Financial impact (cash)'!I16*'Capacity (local prices)'!$C210*'Inputs and eligible population'!$E$62</f>
        <v>0</v>
      </c>
      <c r="J210" s="218"/>
      <c r="K210" s="528">
        <f>'Inputs and eligible population'!$K$108*'Inputs and eligible population'!$H$108/60</f>
        <v>1.8266666666666669</v>
      </c>
      <c r="L210" s="530">
        <f t="shared" si="84"/>
        <v>0</v>
      </c>
      <c r="M210" s="530">
        <f t="shared" si="78"/>
        <v>0</v>
      </c>
      <c r="N210" s="530">
        <f t="shared" si="79"/>
        <v>0</v>
      </c>
      <c r="O210" s="530">
        <f t="shared" si="80"/>
        <v>0</v>
      </c>
      <c r="P210" s="530">
        <f t="shared" si="81"/>
        <v>0</v>
      </c>
      <c r="Q210" s="530">
        <f t="shared" si="82"/>
        <v>0</v>
      </c>
      <c r="R210" s="132"/>
      <c r="S210" s="668"/>
      <c r="T210" s="668"/>
      <c r="U210" s="132"/>
      <c r="V210" s="132"/>
      <c r="W210" s="132"/>
      <c r="X210" s="132"/>
      <c r="Y210" s="132"/>
      <c r="Z210" s="132"/>
      <c r="AJ210" s="281"/>
      <c r="AK210" s="281"/>
      <c r="AL210" s="281"/>
      <c r="AM210" s="281"/>
      <c r="AN210" s="281"/>
    </row>
    <row r="211" spans="1:40">
      <c r="A211" s="284"/>
      <c r="B211" s="326" t="s">
        <v>1159</v>
      </c>
      <c r="C211" s="758">
        <f>'Inputs and eligible population'!$H$107</f>
        <v>1</v>
      </c>
      <c r="D211" s="127">
        <f>'Financial impact (cash)'!$D$16*'Inputs and eligible population'!$F$62*'Capacity (local prices)'!$C$52</f>
        <v>0</v>
      </c>
      <c r="E211" s="127">
        <f>'Financial impact (cash)'!$D$16*'Inputs and eligible population'!$F$62*'Capacity (local prices)'!$C$211</f>
        <v>0</v>
      </c>
      <c r="F211" s="127">
        <f>'Financial impact (cash)'!$E$16*'Inputs and eligible population'!$F$62*'Capacity (local prices)'!$C$211</f>
        <v>0</v>
      </c>
      <c r="G211" s="127">
        <f>'Financial impact (cash)'!$F$16*'Inputs and eligible population'!$F$62*'Capacity (local prices)'!$C$211</f>
        <v>0</v>
      </c>
      <c r="H211" s="127">
        <f>'Financial impact (cash)'!$G$16*'Inputs and eligible population'!$F$62*'Capacity (local prices)'!$C$211</f>
        <v>0</v>
      </c>
      <c r="I211" s="127">
        <f>'Financial impact (cash)'!$H$16*'Inputs and eligible population'!$F$62*'Capacity (local prices)'!$C$211</f>
        <v>0</v>
      </c>
      <c r="J211" s="218"/>
      <c r="K211" s="528">
        <f>'Inputs and eligible population'!$K$108*'Inputs and eligible population'!$H$108/60</f>
        <v>1.8266666666666669</v>
      </c>
      <c r="L211" s="530">
        <f t="shared" si="84"/>
        <v>0</v>
      </c>
      <c r="M211" s="530">
        <f t="shared" si="78"/>
        <v>0</v>
      </c>
      <c r="N211" s="530">
        <f t="shared" si="79"/>
        <v>0</v>
      </c>
      <c r="O211" s="530">
        <f t="shared" si="80"/>
        <v>0</v>
      </c>
      <c r="P211" s="530">
        <f t="shared" si="81"/>
        <v>0</v>
      </c>
      <c r="Q211" s="530">
        <f t="shared" si="82"/>
        <v>0</v>
      </c>
      <c r="R211" s="132"/>
      <c r="S211" s="668"/>
      <c r="T211" s="668"/>
      <c r="U211" s="132"/>
      <c r="V211" s="132"/>
      <c r="W211" s="132"/>
      <c r="X211" s="132"/>
      <c r="Y211" s="132"/>
      <c r="Z211" s="132"/>
      <c r="AJ211" s="281"/>
      <c r="AK211" s="281"/>
      <c r="AL211" s="281"/>
      <c r="AM211" s="281"/>
      <c r="AN211" s="281"/>
    </row>
    <row r="212" spans="1:40">
      <c r="A212" s="284"/>
      <c r="B212" s="326" t="s">
        <v>1160</v>
      </c>
      <c r="C212" s="758">
        <f>'Inputs and eligible population'!$H$107</f>
        <v>1</v>
      </c>
      <c r="D212" s="127">
        <f>'Financial impact (cash)'!$D$16*'Inputs and eligible population'!$G$62*'Capacity (local prices)'!$C$53</f>
        <v>0</v>
      </c>
      <c r="E212" s="127">
        <f>'Financial impact (cash)'!$D$16*'Inputs and eligible population'!$G$62*'Capacity (local prices)'!$C$212</f>
        <v>0</v>
      </c>
      <c r="F212" s="127">
        <f>'Financial impact (cash)'!$D$16*'Inputs and eligible population'!$G$62*'Capacity (local prices)'!$C$212</f>
        <v>0</v>
      </c>
      <c r="G212" s="127">
        <f>'Financial impact (cash)'!$E$16*'Inputs and eligible population'!$G$62*'Capacity (local prices)'!$C$213</f>
        <v>0</v>
      </c>
      <c r="H212" s="127">
        <f>'Financial impact (cash)'!$F$16*'Inputs and eligible population'!$G$62*'Capacity (local prices)'!$C$212</f>
        <v>0</v>
      </c>
      <c r="I212" s="127">
        <f>'Financial impact (cash)'!$G$16*'Inputs and eligible population'!$G$62*'Capacity (local prices)'!$C$212</f>
        <v>0</v>
      </c>
      <c r="J212" s="218"/>
      <c r="K212" s="528">
        <f>'Inputs and eligible population'!$K$108*'Inputs and eligible population'!$H$108/60</f>
        <v>1.8266666666666669</v>
      </c>
      <c r="L212" s="530">
        <f t="shared" si="84"/>
        <v>0</v>
      </c>
      <c r="M212" s="530">
        <f t="shared" si="78"/>
        <v>0</v>
      </c>
      <c r="N212" s="530">
        <f t="shared" si="79"/>
        <v>0</v>
      </c>
      <c r="O212" s="530">
        <f t="shared" si="80"/>
        <v>0</v>
      </c>
      <c r="P212" s="530">
        <f t="shared" si="81"/>
        <v>0</v>
      </c>
      <c r="Q212" s="530">
        <f t="shared" si="82"/>
        <v>0</v>
      </c>
      <c r="R212" s="132"/>
      <c r="S212" s="668"/>
      <c r="T212" s="668"/>
      <c r="U212" s="132"/>
      <c r="V212" s="132"/>
      <c r="W212" s="132"/>
      <c r="X212" s="132"/>
      <c r="Y212" s="132"/>
      <c r="Z212" s="132"/>
      <c r="AJ212" s="281"/>
      <c r="AK212" s="281"/>
      <c r="AL212" s="281"/>
      <c r="AM212" s="281"/>
      <c r="AN212" s="281"/>
    </row>
    <row r="213" spans="1:40">
      <c r="A213" s="284"/>
      <c r="B213" s="326" t="s">
        <v>1161</v>
      </c>
      <c r="C213" s="758">
        <f>'Inputs and eligible population'!$H$107</f>
        <v>1</v>
      </c>
      <c r="D213" s="127">
        <f>'Financial impact (cash)'!$D$16*'Inputs and eligible population'!$H$62*'Capacity (local prices)'!$C$54</f>
        <v>0</v>
      </c>
      <c r="E213" s="127">
        <f>'Financial impact (cash)'!$D$16*'Inputs and eligible population'!$H$62*'Capacity (local prices)'!$C$213</f>
        <v>0</v>
      </c>
      <c r="F213" s="127">
        <f>'Financial impact (cash)'!$D$16*'Inputs and eligible population'!$H$62*'Capacity (local prices)'!$C$213</f>
        <v>0</v>
      </c>
      <c r="G213" s="127">
        <f>'Financial impact (cash)'!$D$16*'Inputs and eligible population'!$H$62*'Capacity (local prices)'!$C$213</f>
        <v>0</v>
      </c>
      <c r="H213" s="127">
        <f>'Financial impact (cash)'!$E$16*'Inputs and eligible population'!$H$62*'Capacity (local prices)'!$C$213</f>
        <v>0</v>
      </c>
      <c r="I213" s="127">
        <f>'Financial impact (cash)'!$F$16*'Inputs and eligible population'!$H$62*'Capacity (local prices)'!$C$213</f>
        <v>0</v>
      </c>
      <c r="J213" s="218"/>
      <c r="K213" s="528">
        <f>'Inputs and eligible population'!$K$108*'Inputs and eligible population'!$H$108/60</f>
        <v>1.8266666666666669</v>
      </c>
      <c r="L213" s="530">
        <f t="shared" si="84"/>
        <v>0</v>
      </c>
      <c r="M213" s="530">
        <f t="shared" si="78"/>
        <v>0</v>
      </c>
      <c r="N213" s="530">
        <f t="shared" si="79"/>
        <v>0</v>
      </c>
      <c r="O213" s="530">
        <f t="shared" si="80"/>
        <v>0</v>
      </c>
      <c r="P213" s="530">
        <f t="shared" si="81"/>
        <v>0</v>
      </c>
      <c r="Q213" s="530">
        <f t="shared" si="82"/>
        <v>0</v>
      </c>
      <c r="R213" s="132"/>
      <c r="S213" s="668"/>
      <c r="T213" s="668"/>
      <c r="U213" s="132"/>
      <c r="V213" s="132"/>
      <c r="W213" s="132"/>
      <c r="X213" s="132"/>
      <c r="Y213" s="132"/>
      <c r="Z213" s="132"/>
      <c r="AJ213" s="281"/>
      <c r="AK213" s="281"/>
      <c r="AL213" s="281"/>
      <c r="AM213" s="281"/>
      <c r="AN213" s="281"/>
    </row>
    <row r="214" spans="1:40">
      <c r="A214" s="284"/>
      <c r="B214" s="326" t="s">
        <v>1162</v>
      </c>
      <c r="C214" s="758">
        <f>'Inputs and eligible population'!$H$107</f>
        <v>1</v>
      </c>
      <c r="D214" s="127">
        <f>'Financial impact (cash)'!$D$16*'Inputs and eligible population'!$I$62*'Capacity (local prices)'!$C$55</f>
        <v>0</v>
      </c>
      <c r="E214" s="127">
        <f>'Financial impact (cash)'!$D$16*'Inputs and eligible population'!$I$62*'Capacity (local prices)'!$C$214</f>
        <v>0</v>
      </c>
      <c r="F214" s="127">
        <f>'Financial impact (cash)'!$D$16*'Inputs and eligible population'!$I$62*'Capacity (local prices)'!$C$214</f>
        <v>0</v>
      </c>
      <c r="G214" s="127">
        <f>'Financial impact (cash)'!$D$16*'Inputs and eligible population'!$I$62*'Capacity (local prices)'!$C$214</f>
        <v>0</v>
      </c>
      <c r="H214" s="127">
        <f>'Financial impact (cash)'!$D$16*'Inputs and eligible population'!$I$62*'Capacity (local prices)'!$C$214</f>
        <v>0</v>
      </c>
      <c r="I214" s="127">
        <f>'Financial impact (cash)'!$E$16*'Inputs and eligible population'!$I$62*'Capacity (local prices)'!$C$214</f>
        <v>0</v>
      </c>
      <c r="J214" s="218"/>
      <c r="K214" s="528">
        <f>'Inputs and eligible population'!$K$108*'Inputs and eligible population'!$H$108/60</f>
        <v>1.8266666666666669</v>
      </c>
      <c r="L214" s="530">
        <f t="shared" si="84"/>
        <v>0</v>
      </c>
      <c r="M214" s="530">
        <f t="shared" si="78"/>
        <v>0</v>
      </c>
      <c r="N214" s="530">
        <f t="shared" si="79"/>
        <v>0</v>
      </c>
      <c r="O214" s="530">
        <f t="shared" si="80"/>
        <v>0</v>
      </c>
      <c r="P214" s="530">
        <f t="shared" si="81"/>
        <v>0</v>
      </c>
      <c r="Q214" s="530">
        <f t="shared" si="82"/>
        <v>0</v>
      </c>
      <c r="R214" s="132"/>
      <c r="S214" s="668"/>
      <c r="T214" s="668"/>
      <c r="U214" s="132"/>
      <c r="V214" s="132"/>
      <c r="W214" s="132"/>
      <c r="X214" s="132"/>
      <c r="Y214" s="132"/>
      <c r="Z214" s="132"/>
      <c r="AJ214" s="281"/>
      <c r="AK214" s="281"/>
      <c r="AL214" s="281"/>
      <c r="AM214" s="281"/>
      <c r="AN214" s="281"/>
    </row>
    <row r="215" spans="1:40">
      <c r="A215" s="284"/>
      <c r="B215" s="326" t="s">
        <v>1163</v>
      </c>
      <c r="C215" s="758">
        <f>'Inputs and eligible population'!$I$107</f>
        <v>1</v>
      </c>
      <c r="D215" s="127">
        <f>'Financial impact (cash)'!D17*'Capacity (local prices)'!$C215*'Inputs and eligible population'!$E$63</f>
        <v>0</v>
      </c>
      <c r="E215" s="127">
        <f>'Financial impact (cash)'!E17*'Capacity (local prices)'!$C215*'Inputs and eligible population'!$E$63</f>
        <v>0</v>
      </c>
      <c r="F215" s="127">
        <f>'Financial impact (cash)'!F17*'Capacity (local prices)'!$C215*'Inputs and eligible population'!$E$63</f>
        <v>0</v>
      </c>
      <c r="G215" s="127">
        <f>'Financial impact (cash)'!G17*'Capacity (local prices)'!$C215*'Inputs and eligible population'!$E$63</f>
        <v>0</v>
      </c>
      <c r="H215" s="127">
        <f>'Financial impact (cash)'!H17*'Capacity (local prices)'!$C215*'Inputs and eligible population'!$E$63</f>
        <v>0</v>
      </c>
      <c r="I215" s="127">
        <f>'Financial impact (cash)'!I17*'Capacity (local prices)'!$C215*'Inputs and eligible population'!$E$63</f>
        <v>0</v>
      </c>
      <c r="J215" s="218"/>
      <c r="K215" s="528">
        <f>'Inputs and eligible population'!$K$108*'Inputs and eligible population'!$I$108/60</f>
        <v>1.8266666666666669</v>
      </c>
      <c r="L215" s="530">
        <f t="shared" si="84"/>
        <v>0</v>
      </c>
      <c r="M215" s="530">
        <f t="shared" si="78"/>
        <v>0</v>
      </c>
      <c r="N215" s="530">
        <f t="shared" si="79"/>
        <v>0</v>
      </c>
      <c r="O215" s="530">
        <f t="shared" si="80"/>
        <v>0</v>
      </c>
      <c r="P215" s="530">
        <f t="shared" si="81"/>
        <v>0</v>
      </c>
      <c r="Q215" s="530">
        <f t="shared" si="82"/>
        <v>0</v>
      </c>
      <c r="R215" s="132"/>
      <c r="S215" s="668"/>
      <c r="T215" s="668"/>
      <c r="U215" s="132"/>
      <c r="V215" s="132"/>
      <c r="W215" s="132"/>
      <c r="X215" s="132"/>
      <c r="Y215" s="132"/>
      <c r="Z215" s="132"/>
      <c r="AJ215" s="281"/>
      <c r="AK215" s="281"/>
      <c r="AL215" s="281"/>
      <c r="AM215" s="281"/>
      <c r="AN215" s="281"/>
    </row>
    <row r="216" spans="1:40">
      <c r="A216" s="284"/>
      <c r="B216" s="326" t="s">
        <v>1164</v>
      </c>
      <c r="C216" s="758">
        <f>'Inputs and eligible population'!$I$107</f>
        <v>1</v>
      </c>
      <c r="D216" s="127">
        <f>'Financial impact (cash)'!$D$17*'Inputs and eligible population'!$F$63*'Capacity (local prices)'!$C$57</f>
        <v>0</v>
      </c>
      <c r="E216" s="127">
        <f>'Financial impact (cash)'!$D$17*'Inputs and eligible population'!$F$63*'Capacity (local prices)'!$C$216</f>
        <v>0</v>
      </c>
      <c r="F216" s="127">
        <f>'Financial impact (cash)'!$E$17*'Inputs and eligible population'!$F$63*'Capacity (local prices)'!$C$216</f>
        <v>0</v>
      </c>
      <c r="G216" s="127">
        <f>'Financial impact (cash)'!$F$17*'Inputs and eligible population'!$F$63*'Capacity (local prices)'!$C$216</f>
        <v>0</v>
      </c>
      <c r="H216" s="127">
        <f>'Financial impact (cash)'!$G$17*'Inputs and eligible population'!$F$63*'Capacity (local prices)'!$C$216</f>
        <v>0</v>
      </c>
      <c r="I216" s="127">
        <f>'Financial impact (cash)'!$H$17*'Inputs and eligible population'!$F$63*'Capacity (local prices)'!$C$216</f>
        <v>0</v>
      </c>
      <c r="J216" s="218"/>
      <c r="K216" s="528">
        <f>'Inputs and eligible population'!$K$108*'Inputs and eligible population'!$I$108/60</f>
        <v>1.8266666666666669</v>
      </c>
      <c r="L216" s="530">
        <f t="shared" si="84"/>
        <v>0</v>
      </c>
      <c r="M216" s="530">
        <f t="shared" si="78"/>
        <v>0</v>
      </c>
      <c r="N216" s="530">
        <f t="shared" si="79"/>
        <v>0</v>
      </c>
      <c r="O216" s="530">
        <f t="shared" si="80"/>
        <v>0</v>
      </c>
      <c r="P216" s="530">
        <f t="shared" si="81"/>
        <v>0</v>
      </c>
      <c r="Q216" s="530">
        <f t="shared" si="82"/>
        <v>0</v>
      </c>
      <c r="R216" s="132"/>
      <c r="S216" s="668"/>
      <c r="T216" s="668"/>
      <c r="U216" s="132"/>
      <c r="V216" s="132"/>
      <c r="W216" s="132"/>
      <c r="X216" s="132"/>
      <c r="Y216" s="132"/>
      <c r="Z216" s="132"/>
      <c r="AJ216" s="281"/>
      <c r="AK216" s="281"/>
      <c r="AL216" s="281"/>
      <c r="AM216" s="281"/>
      <c r="AN216" s="281"/>
    </row>
    <row r="217" spans="1:40">
      <c r="A217" s="284"/>
      <c r="B217" s="326" t="s">
        <v>1165</v>
      </c>
      <c r="C217" s="758">
        <f>'Inputs and eligible population'!$I$107</f>
        <v>1</v>
      </c>
      <c r="D217" s="127">
        <f>'Financial impact (cash)'!$D$17*'Inputs and eligible population'!$G$63*'Capacity (local prices)'!$C$58</f>
        <v>0</v>
      </c>
      <c r="E217" s="127">
        <f>'Financial impact (cash)'!$D$17*'Inputs and eligible population'!$G$63*'Capacity (local prices)'!$C$217</f>
        <v>0</v>
      </c>
      <c r="F217" s="127">
        <f>'Financial impact (cash)'!$D$17*'Inputs and eligible population'!$G$63*'Capacity (local prices)'!$C$217</f>
        <v>0</v>
      </c>
      <c r="G217" s="127">
        <f>'Financial impact (cash)'!$E$17*'Inputs and eligible population'!$G$63*'Capacity (local prices)'!$C$217</f>
        <v>0</v>
      </c>
      <c r="H217" s="127">
        <f>'Financial impact (cash)'!$F$17*'Inputs and eligible population'!$G$63*'Capacity (local prices)'!$C$217</f>
        <v>0</v>
      </c>
      <c r="I217" s="127">
        <f>'Financial impact (cash)'!$G$17*'Inputs and eligible population'!$G$63*'Capacity (local prices)'!$C$217</f>
        <v>0</v>
      </c>
      <c r="J217" s="218"/>
      <c r="K217" s="528">
        <f>'Inputs and eligible population'!$K$108*'Inputs and eligible population'!$I$108/60</f>
        <v>1.8266666666666669</v>
      </c>
      <c r="L217" s="530">
        <f t="shared" si="84"/>
        <v>0</v>
      </c>
      <c r="M217" s="530">
        <f t="shared" si="78"/>
        <v>0</v>
      </c>
      <c r="N217" s="530">
        <f t="shared" si="79"/>
        <v>0</v>
      </c>
      <c r="O217" s="530">
        <f t="shared" si="80"/>
        <v>0</v>
      </c>
      <c r="P217" s="530">
        <f t="shared" si="81"/>
        <v>0</v>
      </c>
      <c r="Q217" s="530">
        <f t="shared" si="82"/>
        <v>0</v>
      </c>
      <c r="R217" s="132"/>
      <c r="S217" s="668"/>
      <c r="T217" s="668"/>
      <c r="U217" s="132"/>
      <c r="V217" s="132"/>
      <c r="W217" s="132"/>
      <c r="X217" s="132"/>
      <c r="Y217" s="132"/>
      <c r="Z217" s="132"/>
      <c r="AJ217" s="281"/>
      <c r="AK217" s="281"/>
      <c r="AL217" s="281"/>
      <c r="AM217" s="281"/>
      <c r="AN217" s="281"/>
    </row>
    <row r="218" spans="1:40">
      <c r="A218" s="284"/>
      <c r="B218" s="326" t="s">
        <v>1166</v>
      </c>
      <c r="C218" s="758">
        <f>'Inputs and eligible population'!$I$107</f>
        <v>1</v>
      </c>
      <c r="D218" s="127">
        <f>'Financial impact (cash)'!$D$17*'Inputs and eligible population'!$H$63*'Capacity (local prices)'!$C$59</f>
        <v>0</v>
      </c>
      <c r="E218" s="127">
        <f>'Financial impact (cash)'!$D$17*'Inputs and eligible population'!$H$63*'Capacity (local prices)'!$C$218</f>
        <v>0</v>
      </c>
      <c r="F218" s="127">
        <f>'Financial impact (cash)'!$D$17*'Inputs and eligible population'!$H$63*'Capacity (local prices)'!$C$218</f>
        <v>0</v>
      </c>
      <c r="G218" s="127">
        <f>'Financial impact (cash)'!$D$17*'Inputs and eligible population'!$H$63*'Capacity (local prices)'!$C$218</f>
        <v>0</v>
      </c>
      <c r="H218" s="127">
        <f>'Financial impact (cash)'!$E$17*'Inputs and eligible population'!$H$63*'Capacity (local prices)'!$C$218</f>
        <v>0</v>
      </c>
      <c r="I218" s="127">
        <f>'Financial impact (cash)'!$F$17*'Inputs and eligible population'!$H$63*'Capacity (local prices)'!$C$218</f>
        <v>0</v>
      </c>
      <c r="J218" s="218"/>
      <c r="K218" s="528">
        <f>'Inputs and eligible population'!$K$108*'Inputs and eligible population'!$I$108/60</f>
        <v>1.8266666666666669</v>
      </c>
      <c r="L218" s="530">
        <f t="shared" si="84"/>
        <v>0</v>
      </c>
      <c r="M218" s="530">
        <f t="shared" si="78"/>
        <v>0</v>
      </c>
      <c r="N218" s="530">
        <f t="shared" si="79"/>
        <v>0</v>
      </c>
      <c r="O218" s="530">
        <f t="shared" si="80"/>
        <v>0</v>
      </c>
      <c r="P218" s="530">
        <f t="shared" si="81"/>
        <v>0</v>
      </c>
      <c r="Q218" s="530">
        <f t="shared" si="82"/>
        <v>0</v>
      </c>
      <c r="R218" s="132"/>
      <c r="S218" s="668"/>
      <c r="T218" s="668"/>
      <c r="U218" s="132"/>
      <c r="V218" s="132"/>
      <c r="W218" s="132"/>
      <c r="X218" s="132"/>
      <c r="Y218" s="132"/>
      <c r="Z218" s="132"/>
      <c r="AJ218" s="281"/>
      <c r="AK218" s="281"/>
      <c r="AL218" s="281"/>
      <c r="AM218" s="281"/>
      <c r="AN218" s="281"/>
    </row>
    <row r="219" spans="1:40">
      <c r="A219" s="284"/>
      <c r="B219" s="326" t="s">
        <v>1167</v>
      </c>
      <c r="C219" s="758">
        <f>'Inputs and eligible population'!$I$107</f>
        <v>1</v>
      </c>
      <c r="D219" s="127">
        <f>'Financial impact (cash)'!$D$17*'Inputs and eligible population'!$I$63*'Capacity (local prices)'!$C$60</f>
        <v>0</v>
      </c>
      <c r="E219" s="127">
        <f>'Financial impact (cash)'!$D$17*'Inputs and eligible population'!$I$63*'Capacity (local prices)'!$C$219</f>
        <v>0</v>
      </c>
      <c r="F219" s="127">
        <f>'Financial impact (cash)'!$D$17*'Inputs and eligible population'!$I$63*'Capacity (local prices)'!$C$219</f>
        <v>0</v>
      </c>
      <c r="G219" s="127">
        <f>'Financial impact (cash)'!$D$17*'Inputs and eligible population'!$I$63*'Capacity (local prices)'!$C$219</f>
        <v>0</v>
      </c>
      <c r="H219" s="127">
        <f>'Financial impact (cash)'!$D$17*'Inputs and eligible population'!$I$63*'Capacity (local prices)'!$C$219</f>
        <v>0</v>
      </c>
      <c r="I219" s="127">
        <f>'Financial impact (cash)'!$E$17*'Inputs and eligible population'!$I$63*'Capacity (local prices)'!$C$219</f>
        <v>0</v>
      </c>
      <c r="J219" s="218"/>
      <c r="K219" s="528">
        <f>'Inputs and eligible population'!$K$108*'Inputs and eligible population'!$I$108/60</f>
        <v>1.8266666666666669</v>
      </c>
      <c r="L219" s="530">
        <f t="shared" si="84"/>
        <v>0</v>
      </c>
      <c r="M219" s="530">
        <f t="shared" si="78"/>
        <v>0</v>
      </c>
      <c r="N219" s="530">
        <f t="shared" si="79"/>
        <v>0</v>
      </c>
      <c r="O219" s="530">
        <f t="shared" si="80"/>
        <v>0</v>
      </c>
      <c r="P219" s="530">
        <f t="shared" si="81"/>
        <v>0</v>
      </c>
      <c r="Q219" s="530">
        <f t="shared" si="82"/>
        <v>0</v>
      </c>
      <c r="R219" s="132"/>
      <c r="S219" s="668"/>
      <c r="T219" s="668"/>
      <c r="U219" s="132"/>
      <c r="V219" s="132"/>
      <c r="W219" s="132"/>
      <c r="X219" s="132"/>
      <c r="Y219" s="132"/>
      <c r="Z219" s="132"/>
      <c r="AJ219" s="281"/>
      <c r="AK219" s="281"/>
      <c r="AL219" s="281"/>
      <c r="AM219" s="281"/>
      <c r="AN219" s="281"/>
    </row>
    <row r="220" spans="1:40">
      <c r="A220" s="837"/>
      <c r="B220" s="205"/>
      <c r="C220" s="184"/>
      <c r="D220" s="184">
        <f>SUM(D195:D219)</f>
        <v>0</v>
      </c>
      <c r="E220" s="184">
        <f t="shared" ref="E220" si="85">SUM(E195:E219)</f>
        <v>0</v>
      </c>
      <c r="F220" s="184">
        <f t="shared" ref="F220" si="86">SUM(F195:F219)</f>
        <v>0</v>
      </c>
      <c r="G220" s="184">
        <f t="shared" ref="G220" si="87">SUM(G195:G219)</f>
        <v>0</v>
      </c>
      <c r="H220" s="184">
        <f t="shared" ref="H220" si="88">SUM(H195:H219)</f>
        <v>0</v>
      </c>
      <c r="I220" s="184">
        <f t="shared" ref="I220" si="89">SUM(I195:I219)</f>
        <v>0</v>
      </c>
      <c r="J220" s="284"/>
      <c r="K220" s="284"/>
      <c r="L220" s="838">
        <f t="shared" ref="L220" si="90">SUM(L195:L219)</f>
        <v>0</v>
      </c>
      <c r="M220" s="838">
        <f t="shared" ref="M220" si="91">SUM(M195:M219)</f>
        <v>0</v>
      </c>
      <c r="N220" s="838">
        <f t="shared" ref="N220" si="92">SUM(N195:N219)</f>
        <v>0</v>
      </c>
      <c r="O220" s="838">
        <f t="shared" ref="O220" si="93">SUM(O195:O219)</f>
        <v>0</v>
      </c>
      <c r="P220" s="838">
        <f t="shared" ref="P220" si="94">SUM(P195:P219)</f>
        <v>0</v>
      </c>
      <c r="Q220" s="838">
        <f t="shared" ref="Q220" si="95">SUM(Q195:Q219)</f>
        <v>0</v>
      </c>
      <c r="R220" s="132"/>
      <c r="S220" s="668"/>
      <c r="T220" s="132"/>
      <c r="U220" s="132"/>
      <c r="V220" s="132"/>
      <c r="W220" s="132"/>
      <c r="X220" s="132"/>
      <c r="Y220" s="132"/>
      <c r="Z220" s="132"/>
      <c r="AJ220" s="281"/>
      <c r="AK220" s="281"/>
      <c r="AL220" s="281"/>
      <c r="AM220" s="281"/>
      <c r="AN220" s="281"/>
    </row>
    <row r="221" spans="1:40">
      <c r="A221" s="284"/>
      <c r="B221" s="289"/>
      <c r="C221" s="252"/>
      <c r="D221" s="280" t="s">
        <v>817</v>
      </c>
      <c r="E221" s="184">
        <f>E220-$D$220</f>
        <v>0</v>
      </c>
      <c r="F221" s="184">
        <f t="shared" ref="F221:I221" si="96">F220-$D$220</f>
        <v>0</v>
      </c>
      <c r="G221" s="184">
        <f t="shared" si="96"/>
        <v>0</v>
      </c>
      <c r="H221" s="184">
        <f t="shared" si="96"/>
        <v>0</v>
      </c>
      <c r="I221" s="184">
        <f t="shared" si="96"/>
        <v>0</v>
      </c>
      <c r="J221" s="284"/>
      <c r="K221" s="284"/>
      <c r="L221" s="506"/>
      <c r="M221" s="287">
        <f>M220-$L$220</f>
        <v>0</v>
      </c>
      <c r="N221" s="287">
        <f t="shared" ref="N221:Q221" si="97">N220-$L$220</f>
        <v>0</v>
      </c>
      <c r="O221" s="287">
        <f t="shared" si="97"/>
        <v>0</v>
      </c>
      <c r="P221" s="287">
        <f t="shared" si="97"/>
        <v>0</v>
      </c>
      <c r="Q221" s="287">
        <f t="shared" si="97"/>
        <v>0</v>
      </c>
      <c r="S221" s="668"/>
      <c r="V221" s="132"/>
    </row>
    <row r="222" spans="1:40">
      <c r="A222" s="284"/>
      <c r="B222" s="304"/>
      <c r="C222" s="218"/>
      <c r="D222" s="218"/>
      <c r="E222" s="218"/>
      <c r="F222" s="218"/>
      <c r="G222" s="218"/>
      <c r="H222" s="218"/>
      <c r="I222" s="218"/>
      <c r="J222" s="284"/>
      <c r="K222" s="284"/>
      <c r="L222" s="218"/>
      <c r="M222" s="218"/>
      <c r="N222" s="218"/>
      <c r="O222" s="218"/>
      <c r="P222" s="218"/>
      <c r="Q222" s="218"/>
      <c r="V222" s="132"/>
    </row>
    <row r="223" spans="1:40">
      <c r="A223" s="284"/>
      <c r="B223" s="372" t="s">
        <v>1016</v>
      </c>
      <c r="C223" s="373"/>
      <c r="D223" s="373"/>
      <c r="E223" s="373"/>
      <c r="F223" s="373"/>
      <c r="G223" s="373"/>
      <c r="H223" s="373"/>
      <c r="I223" s="217"/>
      <c r="J223" s="284"/>
      <c r="K223" s="284"/>
      <c r="L223" s="398"/>
      <c r="M223" s="398"/>
      <c r="N223" s="398"/>
      <c r="O223" s="398"/>
      <c r="P223" s="398"/>
      <c r="Q223" s="398"/>
      <c r="R223" s="132"/>
      <c r="S223" s="132"/>
      <c r="T223" s="132"/>
      <c r="U223" s="132"/>
      <c r="V223" s="132"/>
      <c r="W223" s="132"/>
      <c r="X223" s="132"/>
      <c r="Y223" s="132"/>
      <c r="Z223" s="132"/>
      <c r="AJ223" s="281"/>
      <c r="AK223" s="281"/>
      <c r="AL223" s="281"/>
      <c r="AM223" s="281"/>
      <c r="AN223" s="281"/>
    </row>
    <row r="224" spans="1:40" ht="45">
      <c r="A224" s="284"/>
      <c r="B224" s="274" t="s">
        <v>757</v>
      </c>
      <c r="C224" s="165" t="s">
        <v>833</v>
      </c>
      <c r="D224" s="392" t="s">
        <v>825</v>
      </c>
      <c r="E224" s="251" t="s">
        <v>674</v>
      </c>
      <c r="F224" s="251" t="s">
        <v>675</v>
      </c>
      <c r="G224" s="164" t="s">
        <v>792</v>
      </c>
      <c r="H224" s="164" t="s">
        <v>793</v>
      </c>
      <c r="I224" s="251" t="s">
        <v>794</v>
      </c>
      <c r="J224" s="284"/>
      <c r="K224" s="515" t="s">
        <v>845</v>
      </c>
      <c r="L224" s="392" t="s">
        <v>825</v>
      </c>
      <c r="M224" s="251" t="s">
        <v>674</v>
      </c>
      <c r="N224" s="251" t="s">
        <v>675</v>
      </c>
      <c r="O224" s="164" t="s">
        <v>792</v>
      </c>
      <c r="P224" s="164" t="s">
        <v>793</v>
      </c>
      <c r="Q224" s="251" t="s">
        <v>794</v>
      </c>
      <c r="R224" s="132"/>
      <c r="S224" s="132"/>
      <c r="T224" s="132"/>
      <c r="U224" s="132"/>
      <c r="V224" s="132"/>
      <c r="W224" s="132"/>
      <c r="X224" s="132"/>
      <c r="Y224" s="132"/>
      <c r="Z224" s="132"/>
      <c r="AJ224" s="281"/>
      <c r="AK224" s="281"/>
      <c r="AL224" s="281"/>
      <c r="AM224" s="281"/>
      <c r="AN224" s="281"/>
    </row>
    <row r="225" spans="1:40">
      <c r="A225" s="284"/>
      <c r="B225" s="326" t="s">
        <v>1143</v>
      </c>
      <c r="C225" s="758">
        <f>'Inputs and eligible population'!F$109</f>
        <v>4</v>
      </c>
      <c r="D225" s="127">
        <f>('Financial impact (cash)'!$D$13*'Inputs and eligible population'!$E$59/(365/'Inputs and eligible population'!$D$59))*$C225</f>
        <v>0</v>
      </c>
      <c r="E225" s="127">
        <f>(('Financial impact (cash)'!E$13)*'Inputs and eligible population'!$E$59/(365/'Inputs and eligible population'!$D$59))*'Capacity (local prices)'!$C225</f>
        <v>0</v>
      </c>
      <c r="F225" s="127">
        <f>(('Financial impact (cash)'!F$13)*'Inputs and eligible population'!$E$59/(365/'Inputs and eligible population'!$D$59))*'Capacity (local prices)'!$C225</f>
        <v>0</v>
      </c>
      <c r="G225" s="127">
        <f>(('Financial impact (cash)'!G$13)*'Inputs and eligible population'!$E$59/(365/'Inputs and eligible population'!$D$59))*'Capacity (local prices)'!$C225</f>
        <v>0</v>
      </c>
      <c r="H225" s="127">
        <f>(('Financial impact (cash)'!H$13)*'Inputs and eligible population'!$E$59/(365/'Inputs and eligible population'!$D$59))*'Capacity (local prices)'!$C225</f>
        <v>0</v>
      </c>
      <c r="I225" s="127">
        <f>(('Financial impact (cash)'!I$13)*'Inputs and eligible population'!$E$59/(365/'Inputs and eligible population'!$D$59))*'Capacity (local prices)'!$C225</f>
        <v>0</v>
      </c>
      <c r="J225" s="218"/>
      <c r="K225" s="528">
        <f>'Inputs and eligible population'!$K$100*'Inputs and eligible population'!F$100/60</f>
        <v>60.54</v>
      </c>
      <c r="L225" s="530">
        <f>$K225/1000*D225</f>
        <v>0</v>
      </c>
      <c r="M225" s="530">
        <f t="shared" ref="M225:M249" si="98">$K225/1000*E225</f>
        <v>0</v>
      </c>
      <c r="N225" s="530">
        <f t="shared" ref="N225:N249" si="99">$K225/1000*F225</f>
        <v>0</v>
      </c>
      <c r="O225" s="530">
        <f t="shared" ref="O225:O249" si="100">$K225/1000*G225</f>
        <v>0</v>
      </c>
      <c r="P225" s="530">
        <f t="shared" ref="P225:P249" si="101">$K225/1000*H225</f>
        <v>0</v>
      </c>
      <c r="Q225" s="530">
        <f t="shared" ref="Q225:Q249" si="102">$K225/1000*I225</f>
        <v>0</v>
      </c>
      <c r="R225" s="132"/>
      <c r="S225" s="132"/>
      <c r="T225" s="132"/>
      <c r="U225" s="132"/>
      <c r="V225" s="132"/>
      <c r="W225" s="132"/>
      <c r="X225" s="132"/>
      <c r="Y225" s="132"/>
      <c r="Z225" s="132"/>
      <c r="AJ225" s="281"/>
      <c r="AK225" s="281"/>
      <c r="AL225" s="281"/>
      <c r="AM225" s="281"/>
      <c r="AN225" s="281"/>
    </row>
    <row r="226" spans="1:40">
      <c r="A226" s="284"/>
      <c r="B226" s="326" t="s">
        <v>1144</v>
      </c>
      <c r="C226" s="758">
        <f>'Inputs and eligible population'!F$109</f>
        <v>4</v>
      </c>
      <c r="D226" s="127">
        <f>(('Financial impact (cash)'!$D$13)*'Inputs and eligible population'!$F$59/(365/'Inputs and eligible population'!$D$59))*'Capacity (local prices)'!$C226</f>
        <v>0</v>
      </c>
      <c r="E226" s="127">
        <f>(('Financial impact (cash)'!D$13)*'Inputs and eligible population'!$F$59/(365/'Inputs and eligible population'!$D$59))*'Capacity (local prices)'!$C226</f>
        <v>0</v>
      </c>
      <c r="F226" s="127">
        <f>(('Financial impact (cash)'!E$13)*'Inputs and eligible population'!$F$59/(365/'Inputs and eligible population'!$D$59))*'Capacity (local prices)'!$C226</f>
        <v>0</v>
      </c>
      <c r="G226" s="127">
        <f>(('Financial impact (cash)'!F$13)*'Inputs and eligible population'!$F$59/(365/'Inputs and eligible population'!$D$59))*'Capacity (local prices)'!$C226</f>
        <v>0</v>
      </c>
      <c r="H226" s="127">
        <f>(('Financial impact (cash)'!G$13)*'Inputs and eligible population'!$F$59/(365/'Inputs and eligible population'!$D$59))*'Capacity (local prices)'!$C226</f>
        <v>0</v>
      </c>
      <c r="I226" s="127">
        <f>(('Financial impact (cash)'!H$13)*'Inputs and eligible population'!$F$59/(365/'Inputs and eligible population'!$D$59))*'Capacity (local prices)'!$C226</f>
        <v>0</v>
      </c>
      <c r="J226" s="218"/>
      <c r="K226" s="528">
        <f>'Inputs and eligible population'!$K$100*'Inputs and eligible population'!F$100/60</f>
        <v>60.54</v>
      </c>
      <c r="L226" s="530">
        <f t="shared" ref="L226:L229" si="103">$K226/1000*D226</f>
        <v>0</v>
      </c>
      <c r="M226" s="530">
        <f t="shared" si="98"/>
        <v>0</v>
      </c>
      <c r="N226" s="530">
        <f t="shared" si="99"/>
        <v>0</v>
      </c>
      <c r="O226" s="530">
        <f t="shared" si="100"/>
        <v>0</v>
      </c>
      <c r="P226" s="530">
        <f t="shared" si="101"/>
        <v>0</v>
      </c>
      <c r="Q226" s="530">
        <f t="shared" si="102"/>
        <v>0</v>
      </c>
      <c r="R226" s="132"/>
      <c r="S226" s="132"/>
      <c r="T226" s="132"/>
      <c r="U226" s="132"/>
      <c r="V226" s="132"/>
      <c r="W226" s="132"/>
      <c r="X226" s="132"/>
      <c r="Y226" s="132"/>
      <c r="Z226" s="132"/>
      <c r="AJ226" s="281"/>
      <c r="AK226" s="281"/>
      <c r="AL226" s="281"/>
      <c r="AM226" s="281"/>
      <c r="AN226" s="281"/>
    </row>
    <row r="227" spans="1:40">
      <c r="A227" s="284"/>
      <c r="B227" s="326" t="s">
        <v>1145</v>
      </c>
      <c r="C227" s="758">
        <f>'Inputs and eligible population'!F$109</f>
        <v>4</v>
      </c>
      <c r="D227" s="127">
        <f>(('Financial impact (cash)'!$D$13)*'Inputs and eligible population'!$G$59/(365/'Inputs and eligible population'!$D$59))*'Capacity (local prices)'!$C227</f>
        <v>0</v>
      </c>
      <c r="E227" s="127">
        <f>(('Financial impact (cash)'!D$13)*'Inputs and eligible population'!$G$59/(365/'Inputs and eligible population'!$D$59))*'Capacity (local prices)'!$C227</f>
        <v>0</v>
      </c>
      <c r="F227" s="127">
        <f>(('Financial impact (cash)'!D$13)*'Inputs and eligible population'!$G$59/(365/'Inputs and eligible population'!$D$59))*'Capacity (local prices)'!$C227</f>
        <v>0</v>
      </c>
      <c r="G227" s="127">
        <f>(('Financial impact (cash)'!E$13)*'Inputs and eligible population'!$G$59/(365/'Inputs and eligible population'!$D$59))*'Capacity (local prices)'!$C227</f>
        <v>0</v>
      </c>
      <c r="H227" s="127">
        <f>(('Financial impact (cash)'!F$13)*'Inputs and eligible population'!$G$59/(365/'Inputs and eligible population'!$D$59))*'Capacity (local prices)'!$C227</f>
        <v>0</v>
      </c>
      <c r="I227" s="127">
        <f>(('Financial impact (cash)'!G$13)*'Inputs and eligible population'!$G$59/(365/'Inputs and eligible population'!$D$59))*'Capacity (local prices)'!$C227</f>
        <v>0</v>
      </c>
      <c r="J227" s="218"/>
      <c r="K227" s="528">
        <f>'Inputs and eligible population'!$K$100*'Inputs and eligible population'!F$100/60</f>
        <v>60.54</v>
      </c>
      <c r="L227" s="530">
        <f t="shared" si="103"/>
        <v>0</v>
      </c>
      <c r="M227" s="530">
        <f t="shared" si="98"/>
        <v>0</v>
      </c>
      <c r="N227" s="530">
        <f t="shared" si="99"/>
        <v>0</v>
      </c>
      <c r="O227" s="530">
        <f t="shared" si="100"/>
        <v>0</v>
      </c>
      <c r="P227" s="530">
        <f t="shared" si="101"/>
        <v>0</v>
      </c>
      <c r="Q227" s="530">
        <f t="shared" si="102"/>
        <v>0</v>
      </c>
      <c r="R227" s="132"/>
      <c r="S227" s="132"/>
      <c r="T227" s="132"/>
      <c r="U227" s="132"/>
      <c r="V227" s="132"/>
      <c r="W227" s="132"/>
      <c r="X227" s="132"/>
      <c r="Y227" s="132"/>
      <c r="Z227" s="132"/>
      <c r="AJ227" s="281"/>
      <c r="AK227" s="281"/>
      <c r="AL227" s="281"/>
      <c r="AM227" s="281"/>
      <c r="AN227" s="281"/>
    </row>
    <row r="228" spans="1:40">
      <c r="A228" s="284"/>
      <c r="B228" s="326" t="s">
        <v>1146</v>
      </c>
      <c r="C228" s="758">
        <f>'Inputs and eligible population'!F$109</f>
        <v>4</v>
      </c>
      <c r="D228" s="127">
        <f>(('Financial impact (cash)'!$D$13)*'Inputs and eligible population'!$H$59/(365/'Inputs and eligible population'!$D$59))*'Capacity (local prices)'!$C228</f>
        <v>0</v>
      </c>
      <c r="E228" s="127">
        <f>(('Financial impact (cash)'!D$13)*'Inputs and eligible population'!$H$59/(365/'Inputs and eligible population'!$D$59))*'Capacity (local prices)'!$C228</f>
        <v>0</v>
      </c>
      <c r="F228" s="127">
        <f>(('Financial impact (cash)'!D$13)*'Inputs and eligible population'!$H$59/(365/'Inputs and eligible population'!$D$59))*'Capacity (local prices)'!$C228</f>
        <v>0</v>
      </c>
      <c r="G228" s="127">
        <f>(('Financial impact (cash)'!D$13)*'Inputs and eligible population'!$H$59/(365/'Inputs and eligible population'!$D$59))*'Capacity (local prices)'!$C228</f>
        <v>0</v>
      </c>
      <c r="H228" s="127">
        <f>(('Financial impact (cash)'!E$13)*'Inputs and eligible population'!$H$59/(365/'Inputs and eligible population'!$D$59))*'Capacity (local prices)'!$C228</f>
        <v>0</v>
      </c>
      <c r="I228" s="127">
        <f>(('Financial impact (cash)'!F$13)*'Inputs and eligible population'!$H$59/(365/'Inputs and eligible population'!$D$59))*'Capacity (local prices)'!$C228</f>
        <v>0</v>
      </c>
      <c r="J228" s="218"/>
      <c r="K228" s="528">
        <f>'Inputs and eligible population'!$K$100*'Inputs and eligible population'!F$100/60</f>
        <v>60.54</v>
      </c>
      <c r="L228" s="530">
        <f t="shared" si="103"/>
        <v>0</v>
      </c>
      <c r="M228" s="530">
        <f t="shared" si="98"/>
        <v>0</v>
      </c>
      <c r="N228" s="530">
        <f t="shared" si="99"/>
        <v>0</v>
      </c>
      <c r="O228" s="530">
        <f t="shared" si="100"/>
        <v>0</v>
      </c>
      <c r="P228" s="530">
        <f t="shared" si="101"/>
        <v>0</v>
      </c>
      <c r="Q228" s="530">
        <f t="shared" si="102"/>
        <v>0</v>
      </c>
      <c r="R228" s="132"/>
      <c r="S228" s="132"/>
      <c r="T228" s="132"/>
      <c r="U228" s="132"/>
      <c r="V228" s="132"/>
      <c r="W228" s="132"/>
      <c r="X228" s="132"/>
      <c r="Y228" s="132"/>
      <c r="Z228" s="132"/>
      <c r="AJ228" s="281"/>
      <c r="AK228" s="281"/>
      <c r="AL228" s="281"/>
      <c r="AM228" s="281"/>
      <c r="AN228" s="281"/>
    </row>
    <row r="229" spans="1:40">
      <c r="A229" s="284"/>
      <c r="B229" s="326" t="s">
        <v>1147</v>
      </c>
      <c r="C229" s="758">
        <f>'Inputs and eligible population'!F$109</f>
        <v>4</v>
      </c>
      <c r="D229" s="127">
        <f>(('Financial impact (cash)'!$D$13)*'Inputs and eligible population'!$I$59/(365/'Inputs and eligible population'!$D$59))*'Capacity (local prices)'!$C229</f>
        <v>0</v>
      </c>
      <c r="E229" s="127">
        <f>(('Financial impact (cash)'!D$13)*'Inputs and eligible population'!$I$59/(365/'Inputs and eligible population'!$D$59))*'Capacity (local prices)'!$C229</f>
        <v>0</v>
      </c>
      <c r="F229" s="127">
        <f>(('Financial impact (cash)'!D$13)*'Inputs and eligible population'!$I$59/(365/'Inputs and eligible population'!$D$59))*'Capacity (local prices)'!$C229</f>
        <v>0</v>
      </c>
      <c r="G229" s="127">
        <f>(('Financial impact (cash)'!D$13)*'Inputs and eligible population'!$I$59/(365/'Inputs and eligible population'!$D$59))*'Capacity (local prices)'!$C229</f>
        <v>0</v>
      </c>
      <c r="H229" s="127">
        <f>(('Financial impact (cash)'!D$13)*'Inputs and eligible population'!$I$59/(365/'Inputs and eligible population'!$D$59))*'Capacity (local prices)'!$C229</f>
        <v>0</v>
      </c>
      <c r="I229" s="127">
        <f>(('Financial impact (cash)'!E$13)*'Inputs and eligible population'!$I$59/(365/'Inputs and eligible population'!$D$59))*'Capacity (local prices)'!$C229</f>
        <v>0</v>
      </c>
      <c r="J229" s="218"/>
      <c r="K229" s="528">
        <f>'Inputs and eligible population'!$K$100*'Inputs and eligible population'!F$100/60</f>
        <v>60.54</v>
      </c>
      <c r="L229" s="530">
        <f t="shared" si="103"/>
        <v>0</v>
      </c>
      <c r="M229" s="530">
        <f t="shared" si="98"/>
        <v>0</v>
      </c>
      <c r="N229" s="530">
        <f t="shared" si="99"/>
        <v>0</v>
      </c>
      <c r="O229" s="530">
        <f t="shared" si="100"/>
        <v>0</v>
      </c>
      <c r="P229" s="530">
        <f t="shared" si="101"/>
        <v>0</v>
      </c>
      <c r="Q229" s="530">
        <f t="shared" si="102"/>
        <v>0</v>
      </c>
      <c r="R229" s="132"/>
      <c r="S229" s="132"/>
      <c r="T229" s="132"/>
      <c r="U229" s="132"/>
      <c r="V229" s="132"/>
      <c r="W229" s="132"/>
      <c r="X229" s="132"/>
      <c r="Y229" s="132"/>
      <c r="Z229" s="132"/>
      <c r="AJ229" s="281"/>
      <c r="AK229" s="281"/>
      <c r="AL229" s="281"/>
      <c r="AM229" s="281"/>
      <c r="AN229" s="281"/>
    </row>
    <row r="230" spans="1:40">
      <c r="A230" s="284"/>
      <c r="B230" s="326" t="s">
        <v>1148</v>
      </c>
      <c r="C230" s="758">
        <f>'Inputs and eligible population'!F$109</f>
        <v>4</v>
      </c>
      <c r="D230" s="127">
        <f>('Financial impact (cash)'!$D$14*'Inputs and eligible population'!$E60/(365/'Inputs and eligible population'!D60))*$C230</f>
        <v>0</v>
      </c>
      <c r="E230" s="127">
        <f>(('Financial impact (cash)'!E$14)*'Inputs and eligible population'!$E$60/(365/'Inputs and eligible population'!$D$60))*'Capacity (local prices)'!$C230</f>
        <v>0</v>
      </c>
      <c r="F230" s="127">
        <f>(('Financial impact (cash)'!F$14)*'Inputs and eligible population'!$E$60/(365/'Inputs and eligible population'!$D$60))*'Capacity (local prices)'!$C230</f>
        <v>0</v>
      </c>
      <c r="G230" s="127">
        <f>(('Financial impact (cash)'!G$14)*'Inputs and eligible population'!$E$60/(365/'Inputs and eligible population'!$D$60))*'Capacity (local prices)'!$C230</f>
        <v>0</v>
      </c>
      <c r="H230" s="127">
        <f>(('Financial impact (cash)'!H$14)*'Inputs and eligible population'!$E$60/(365/'Inputs and eligible population'!$D$60))*'Capacity (local prices)'!$C230</f>
        <v>0</v>
      </c>
      <c r="I230" s="127">
        <f>(('Financial impact (cash)'!I14)*'Inputs and eligible population'!$E$60/(365/'Inputs and eligible population'!$D$60))*'Capacity (local prices)'!$C230</f>
        <v>0</v>
      </c>
      <c r="J230" s="218"/>
      <c r="K230" s="528">
        <f>'Inputs and eligible population'!$K$100*'Inputs and eligible population'!F$100/60</f>
        <v>60.54</v>
      </c>
      <c r="L230" s="530">
        <f>$K230/1000*D230</f>
        <v>0</v>
      </c>
      <c r="M230" s="530">
        <f t="shared" si="98"/>
        <v>0</v>
      </c>
      <c r="N230" s="530">
        <f t="shared" si="99"/>
        <v>0</v>
      </c>
      <c r="O230" s="530">
        <f t="shared" si="100"/>
        <v>0</v>
      </c>
      <c r="P230" s="530">
        <f t="shared" si="101"/>
        <v>0</v>
      </c>
      <c r="Q230" s="530">
        <f t="shared" si="102"/>
        <v>0</v>
      </c>
      <c r="R230" s="132"/>
      <c r="S230" s="132"/>
      <c r="T230" s="132"/>
      <c r="U230" s="132"/>
      <c r="V230" s="132"/>
      <c r="W230" s="132"/>
      <c r="X230" s="132"/>
      <c r="Y230" s="132"/>
      <c r="Z230" s="132"/>
      <c r="AJ230" s="281"/>
      <c r="AK230" s="281"/>
      <c r="AL230" s="281"/>
      <c r="AM230" s="281"/>
      <c r="AN230" s="281"/>
    </row>
    <row r="231" spans="1:40">
      <c r="A231" s="284"/>
      <c r="B231" s="326" t="s">
        <v>1149</v>
      </c>
      <c r="C231" s="758">
        <f>'Inputs and eligible population'!F$109</f>
        <v>4</v>
      </c>
      <c r="D231" s="127">
        <f>(('Financial impact (cash)'!$D$14)*'Inputs and eligible population'!$F$60/(365/'Inputs and eligible population'!$D$60))*'Capacity (local prices)'!$C231</f>
        <v>0</v>
      </c>
      <c r="E231" s="127">
        <f>(('Financial impact (cash)'!D$14)*'Inputs and eligible population'!$F$60/(365/'Inputs and eligible population'!$D$60))*'Capacity (local prices)'!$C231</f>
        <v>0</v>
      </c>
      <c r="F231" s="127">
        <f>(('Financial impact (cash)'!E$14)*'Inputs and eligible population'!$F$60/(365/'Inputs and eligible population'!$D$60))*'Capacity (local prices)'!$C231</f>
        <v>0</v>
      </c>
      <c r="G231" s="127">
        <f>(('Financial impact (cash)'!F$14)*'Inputs and eligible population'!$F$60/(365/'Inputs and eligible population'!$D$60))*'Capacity (local prices)'!$C231</f>
        <v>0</v>
      </c>
      <c r="H231" s="127">
        <f>(('Financial impact (cash)'!G$14)*'Inputs and eligible population'!$F$60/(365/'Inputs and eligible population'!$D$60))*'Capacity (local prices)'!$C231</f>
        <v>0</v>
      </c>
      <c r="I231" s="127">
        <f>(('Financial impact (cash)'!H$14)*'Inputs and eligible population'!$F$60/(365/'Inputs and eligible population'!$D$60))*'Capacity (local prices)'!$C231</f>
        <v>0</v>
      </c>
      <c r="J231" s="218"/>
      <c r="K231" s="528">
        <f>'Inputs and eligible population'!$K$100*'Inputs and eligible population'!F$100/60</f>
        <v>60.54</v>
      </c>
      <c r="L231" s="530">
        <f t="shared" ref="L231:L249" si="104">$K231/1000*D231</f>
        <v>0</v>
      </c>
      <c r="M231" s="530">
        <f t="shared" si="98"/>
        <v>0</v>
      </c>
      <c r="N231" s="530">
        <f t="shared" si="99"/>
        <v>0</v>
      </c>
      <c r="O231" s="530">
        <f t="shared" si="100"/>
        <v>0</v>
      </c>
      <c r="P231" s="530">
        <f t="shared" si="101"/>
        <v>0</v>
      </c>
      <c r="Q231" s="530">
        <f t="shared" si="102"/>
        <v>0</v>
      </c>
      <c r="R231" s="132"/>
      <c r="S231" s="132"/>
      <c r="T231" s="132"/>
      <c r="U231" s="132"/>
      <c r="V231" s="132"/>
      <c r="W231" s="132"/>
      <c r="X231" s="132"/>
      <c r="Y231" s="132"/>
      <c r="Z231" s="132"/>
      <c r="AJ231" s="281"/>
      <c r="AK231" s="281"/>
      <c r="AL231" s="281"/>
      <c r="AM231" s="281"/>
      <c r="AN231" s="281"/>
    </row>
    <row r="232" spans="1:40">
      <c r="A232" s="284"/>
      <c r="B232" s="326" t="s">
        <v>1150</v>
      </c>
      <c r="C232" s="758">
        <f>'Inputs and eligible population'!F$109</f>
        <v>4</v>
      </c>
      <c r="D232" s="127">
        <f>(('Financial impact (cash)'!$D$14)*'Inputs and eligible population'!$G$60/(365/'Inputs and eligible population'!$D$60))*'Capacity (local prices)'!$C232</f>
        <v>0</v>
      </c>
      <c r="E232" s="127">
        <f>(('Financial impact (cash)'!D$14)*'Inputs and eligible population'!$G$60/(365/'Inputs and eligible population'!$D$60))*'Capacity (local prices)'!$C232</f>
        <v>0</v>
      </c>
      <c r="F232" s="127">
        <f>(('Financial impact (cash)'!D$14)*'Inputs and eligible population'!$G$60/(365/'Inputs and eligible population'!$D$60))*'Capacity (local prices)'!$C232</f>
        <v>0</v>
      </c>
      <c r="G232" s="127">
        <f>(('Financial impact (cash)'!E$14)*'Inputs and eligible population'!$G$60/(365/'Inputs and eligible population'!$D$60))*'Capacity (local prices)'!$C232</f>
        <v>0</v>
      </c>
      <c r="H232" s="127">
        <f>(('Financial impact (cash)'!F$14)*'Inputs and eligible population'!$G$60/(365/'Inputs and eligible population'!$D$60))*'Capacity (local prices)'!$C232</f>
        <v>0</v>
      </c>
      <c r="I232" s="127">
        <f>(('Financial impact (cash)'!G$14)*'Inputs and eligible population'!$G$60/(365/'Inputs and eligible population'!$D$60))*'Capacity (local prices)'!$C232</f>
        <v>0</v>
      </c>
      <c r="J232" s="218"/>
      <c r="K232" s="528">
        <f>'Inputs and eligible population'!$K$100*'Inputs and eligible population'!F$100/60</f>
        <v>60.54</v>
      </c>
      <c r="L232" s="530">
        <f t="shared" si="104"/>
        <v>0</v>
      </c>
      <c r="M232" s="530">
        <f t="shared" si="98"/>
        <v>0</v>
      </c>
      <c r="N232" s="530">
        <f t="shared" si="99"/>
        <v>0</v>
      </c>
      <c r="O232" s="530">
        <f t="shared" si="100"/>
        <v>0</v>
      </c>
      <c r="P232" s="530">
        <f t="shared" si="101"/>
        <v>0</v>
      </c>
      <c r="Q232" s="530">
        <f t="shared" si="102"/>
        <v>0</v>
      </c>
      <c r="R232" s="132"/>
      <c r="S232" s="132"/>
      <c r="T232" s="132"/>
      <c r="U232" s="132"/>
      <c r="V232" s="132"/>
      <c r="W232" s="132"/>
      <c r="X232" s="132"/>
      <c r="Y232" s="132"/>
      <c r="Z232" s="132"/>
      <c r="AJ232" s="281"/>
      <c r="AK232" s="281"/>
      <c r="AL232" s="281"/>
      <c r="AM232" s="281"/>
      <c r="AN232" s="281"/>
    </row>
    <row r="233" spans="1:40">
      <c r="A233" s="284"/>
      <c r="B233" s="326" t="s">
        <v>1151</v>
      </c>
      <c r="C233" s="758">
        <f>'Inputs and eligible population'!F$109</f>
        <v>4</v>
      </c>
      <c r="D233" s="127">
        <f>(('Financial impact (cash)'!$D$14)*'Inputs and eligible population'!$H$60/(365/'Inputs and eligible population'!$D$60))*'Capacity (local prices)'!$C233</f>
        <v>0</v>
      </c>
      <c r="E233" s="127">
        <f>(('Financial impact (cash)'!D$14)*'Inputs and eligible population'!$H$60/(365/'Inputs and eligible population'!$D$60))*'Capacity (local prices)'!$C233</f>
        <v>0</v>
      </c>
      <c r="F233" s="127">
        <f>(('Financial impact (cash)'!D$14)*'Inputs and eligible population'!$H$60/(365/'Inputs and eligible population'!$D$60))*'Capacity (local prices)'!$C233</f>
        <v>0</v>
      </c>
      <c r="G233" s="127">
        <f>(('Financial impact (cash)'!D$14)*'Inputs and eligible population'!$H$60/(365/'Inputs and eligible population'!$D$60))*'Capacity (local prices)'!$C233</f>
        <v>0</v>
      </c>
      <c r="H233" s="127">
        <f>(('Financial impact (cash)'!E$14)*'Inputs and eligible population'!$H$60/(365/'Inputs and eligible population'!$D$60))*'Capacity (local prices)'!$C233</f>
        <v>0</v>
      </c>
      <c r="I233" s="127">
        <f>(('Financial impact (cash)'!F$14)*'Inputs and eligible population'!$H$60/(365/'Inputs and eligible population'!$D$60))*'Capacity (local prices)'!$C233</f>
        <v>0</v>
      </c>
      <c r="J233" s="218"/>
      <c r="K233" s="528">
        <f>'Inputs and eligible population'!$K$100*'Inputs and eligible population'!F$100/60</f>
        <v>60.54</v>
      </c>
      <c r="L233" s="530">
        <f t="shared" si="104"/>
        <v>0</v>
      </c>
      <c r="M233" s="530">
        <f t="shared" si="98"/>
        <v>0</v>
      </c>
      <c r="N233" s="530">
        <f t="shared" si="99"/>
        <v>0</v>
      </c>
      <c r="O233" s="530">
        <f t="shared" si="100"/>
        <v>0</v>
      </c>
      <c r="P233" s="530">
        <f t="shared" si="101"/>
        <v>0</v>
      </c>
      <c r="Q233" s="530">
        <f t="shared" si="102"/>
        <v>0</v>
      </c>
      <c r="R233" s="132"/>
      <c r="S233" s="132"/>
      <c r="T233" s="132"/>
      <c r="U233" s="132"/>
      <c r="V233" s="132"/>
      <c r="W233" s="132"/>
      <c r="X233" s="132"/>
      <c r="Y233" s="132"/>
      <c r="Z233" s="132"/>
      <c r="AJ233" s="281"/>
      <c r="AK233" s="281"/>
      <c r="AL233" s="281"/>
      <c r="AM233" s="281"/>
      <c r="AN233" s="281"/>
    </row>
    <row r="234" spans="1:40">
      <c r="A234" s="284"/>
      <c r="B234" s="326" t="s">
        <v>1152</v>
      </c>
      <c r="C234" s="758">
        <f>'Inputs and eligible population'!F$109</f>
        <v>4</v>
      </c>
      <c r="D234" s="127">
        <f>(('Financial impact (cash)'!$D$14)*'Inputs and eligible population'!$I$60/(365/'Inputs and eligible population'!$D$60))*'Capacity (local prices)'!$C234</f>
        <v>0</v>
      </c>
      <c r="E234" s="127">
        <f>(('Financial impact (cash)'!D$14)*'Inputs and eligible population'!$I$60/(365/'Inputs and eligible population'!$D$60))*'Capacity (local prices)'!$C234</f>
        <v>0</v>
      </c>
      <c r="F234" s="127">
        <f>(('Financial impact (cash)'!D$14)*'Inputs and eligible population'!$I$60/(365/'Inputs and eligible population'!$D$60))*'Capacity (local prices)'!$C234</f>
        <v>0</v>
      </c>
      <c r="G234" s="127">
        <f>(('Financial impact (cash)'!D$14)*'Inputs and eligible population'!$I$60/(365/'Inputs and eligible population'!$D$60))*'Capacity (local prices)'!$C234</f>
        <v>0</v>
      </c>
      <c r="H234" s="127">
        <f>(('Financial impact (cash)'!D$14)*'Inputs and eligible population'!$I$60/(365/'Inputs and eligible population'!$D$60))*'Capacity (local prices)'!$C234</f>
        <v>0</v>
      </c>
      <c r="I234" s="127">
        <f>(('Financial impact (cash)'!E$14)*'Inputs and eligible population'!$I$60/(365/'Inputs and eligible population'!$D$60))*'Capacity (local prices)'!$C234</f>
        <v>0</v>
      </c>
      <c r="J234" s="218"/>
      <c r="K234" s="528">
        <f>'Inputs and eligible population'!$K$100*'Inputs and eligible population'!F$100/60</f>
        <v>60.54</v>
      </c>
      <c r="L234" s="530">
        <f t="shared" si="104"/>
        <v>0</v>
      </c>
      <c r="M234" s="530">
        <f t="shared" si="98"/>
        <v>0</v>
      </c>
      <c r="N234" s="530">
        <f t="shared" si="99"/>
        <v>0</v>
      </c>
      <c r="O234" s="530">
        <f t="shared" si="100"/>
        <v>0</v>
      </c>
      <c r="P234" s="530">
        <f t="shared" si="101"/>
        <v>0</v>
      </c>
      <c r="Q234" s="530">
        <f t="shared" si="102"/>
        <v>0</v>
      </c>
      <c r="R234" s="132"/>
      <c r="S234" s="132"/>
      <c r="T234" s="132"/>
      <c r="U234" s="132"/>
      <c r="V234" s="132"/>
      <c r="W234" s="132"/>
      <c r="X234" s="132"/>
      <c r="Y234" s="132"/>
      <c r="Z234" s="132"/>
      <c r="AJ234" s="281"/>
      <c r="AK234" s="281"/>
      <c r="AL234" s="281"/>
      <c r="AM234" s="281"/>
      <c r="AN234" s="281"/>
    </row>
    <row r="235" spans="1:40">
      <c r="A235" s="284"/>
      <c r="B235" s="326" t="s">
        <v>1153</v>
      </c>
      <c r="C235" s="758">
        <f>'Inputs and eligible population'!$G$109</f>
        <v>4</v>
      </c>
      <c r="D235" s="127">
        <f>('Financial impact (cash)'!$D$15*'Inputs and eligible population'!$E$61/(365/'Inputs and eligible population'!D$61))*$C235</f>
        <v>0</v>
      </c>
      <c r="E235" s="127">
        <f>(('Financial impact (cash)'!E$15)*'Inputs and eligible population'!$E$61/(365/'Inputs and eligible population'!$D$61))*'Capacity (local prices)'!$C235</f>
        <v>0</v>
      </c>
      <c r="F235" s="127">
        <f>(('Financial impact (cash)'!F$15)*'Inputs and eligible population'!$E$61/(365/'Inputs and eligible population'!$D$61))*'Capacity (local prices)'!$C235</f>
        <v>0</v>
      </c>
      <c r="G235" s="127">
        <f>(('Financial impact (cash)'!G$15)*'Inputs and eligible population'!$E$61/(365/'Inputs and eligible population'!$D$61))*'Capacity (local prices)'!$C235</f>
        <v>0</v>
      </c>
      <c r="H235" s="127">
        <f>(('Financial impact (cash)'!H$15)*'Inputs and eligible population'!$E$61/(365/'Inputs and eligible population'!$D$61))*'Capacity (local prices)'!$C235</f>
        <v>0</v>
      </c>
      <c r="I235" s="127">
        <f>(('Financial impact (cash)'!I$15)*'Inputs and eligible population'!$E$61/(365/'Inputs and eligible population'!$D$61))*'Capacity (local prices)'!$C235</f>
        <v>0</v>
      </c>
      <c r="J235" s="218"/>
      <c r="K235" s="528">
        <f>'Inputs and eligible population'!$K$100*'Inputs and eligible population'!G$100/60</f>
        <v>60.54</v>
      </c>
      <c r="L235" s="530">
        <f t="shared" si="104"/>
        <v>0</v>
      </c>
      <c r="M235" s="530">
        <f t="shared" si="98"/>
        <v>0</v>
      </c>
      <c r="N235" s="530">
        <f t="shared" si="99"/>
        <v>0</v>
      </c>
      <c r="O235" s="530">
        <f t="shared" si="100"/>
        <v>0</v>
      </c>
      <c r="P235" s="530">
        <f t="shared" si="101"/>
        <v>0</v>
      </c>
      <c r="Q235" s="530">
        <f t="shared" si="102"/>
        <v>0</v>
      </c>
      <c r="R235" s="132"/>
      <c r="S235" s="132"/>
      <c r="T235" s="132"/>
      <c r="U235" s="132"/>
      <c r="V235" s="132"/>
      <c r="W235" s="132"/>
      <c r="X235" s="132"/>
      <c r="Y235" s="132"/>
      <c r="Z235" s="132"/>
      <c r="AJ235" s="281"/>
      <c r="AK235" s="281"/>
      <c r="AL235" s="281"/>
      <c r="AM235" s="281"/>
      <c r="AN235" s="281"/>
    </row>
    <row r="236" spans="1:40">
      <c r="A236" s="284"/>
      <c r="B236" s="326" t="s">
        <v>1154</v>
      </c>
      <c r="C236" s="758">
        <f>'Inputs and eligible population'!$G$109</f>
        <v>4</v>
      </c>
      <c r="D236" s="127">
        <f>(('Financial impact (cash)'!D$15)*'Inputs and eligible population'!$F$61/(365/'Inputs and eligible population'!$D$61))*'Capacity (local prices)'!$C236</f>
        <v>0</v>
      </c>
      <c r="E236" s="127">
        <f>(('Financial impact (cash)'!D$15)*'Inputs and eligible population'!$F$61/(365/'Inputs and eligible population'!$D$61))*'Capacity (local prices)'!$C236</f>
        <v>0</v>
      </c>
      <c r="F236" s="127">
        <f>(('Financial impact (cash)'!E$15)*'Inputs and eligible population'!$F$61/(365/'Inputs and eligible population'!$D$61))*'Capacity (local prices)'!$C236</f>
        <v>0</v>
      </c>
      <c r="G236" s="127">
        <f>(('Financial impact (cash)'!F$15)*'Inputs and eligible population'!$F$61/(365/'Inputs and eligible population'!$D$61))*'Capacity (local prices)'!$C236</f>
        <v>0</v>
      </c>
      <c r="H236" s="127">
        <f>(('Financial impact (cash)'!G$15)*'Inputs and eligible population'!$F$61/(365/'Inputs and eligible population'!$D$61))*'Capacity (local prices)'!$C236</f>
        <v>0</v>
      </c>
      <c r="I236" s="127">
        <f>(('Financial impact (cash)'!H$15)*'Inputs and eligible population'!$F$61/(365/'Inputs and eligible population'!$D$61))*'Capacity (local prices)'!$C236</f>
        <v>0</v>
      </c>
      <c r="J236" s="218"/>
      <c r="K236" s="528">
        <f>'Inputs and eligible population'!$K$100*'Inputs and eligible population'!G$100/60</f>
        <v>60.54</v>
      </c>
      <c r="L236" s="530">
        <f t="shared" si="104"/>
        <v>0</v>
      </c>
      <c r="M236" s="530">
        <f t="shared" si="98"/>
        <v>0</v>
      </c>
      <c r="N236" s="530">
        <f t="shared" si="99"/>
        <v>0</v>
      </c>
      <c r="O236" s="530">
        <f t="shared" si="100"/>
        <v>0</v>
      </c>
      <c r="P236" s="530">
        <f t="shared" si="101"/>
        <v>0</v>
      </c>
      <c r="Q236" s="530">
        <f t="shared" si="102"/>
        <v>0</v>
      </c>
      <c r="R236" s="132"/>
      <c r="S236" s="132"/>
      <c r="T236" s="132"/>
      <c r="U236" s="132"/>
      <c r="V236" s="132"/>
      <c r="W236" s="132"/>
      <c r="X236" s="132"/>
      <c r="Y236" s="132"/>
      <c r="Z236" s="132"/>
      <c r="AJ236" s="281"/>
      <c r="AK236" s="281"/>
      <c r="AL236" s="281"/>
      <c r="AM236" s="281"/>
      <c r="AN236" s="281"/>
    </row>
    <row r="237" spans="1:40">
      <c r="A237" s="284"/>
      <c r="B237" s="326" t="s">
        <v>1155</v>
      </c>
      <c r="C237" s="758">
        <f>'Inputs and eligible population'!$G$109</f>
        <v>4</v>
      </c>
      <c r="D237" s="127">
        <f>(('Financial impact (cash)'!D$15)*'Inputs and eligible population'!$G$61/(365/'Inputs and eligible population'!$D$61))*'Capacity (local prices)'!$C237</f>
        <v>0</v>
      </c>
      <c r="E237" s="127">
        <f>(('Financial impact (cash)'!D$15)*'Inputs and eligible population'!$G$61/(365/'Inputs and eligible population'!$D$61))*'Capacity (local prices)'!$C237</f>
        <v>0</v>
      </c>
      <c r="F237" s="127">
        <f>(('Financial impact (cash)'!D$15)*'Inputs and eligible population'!$G$61/(365/'Inputs and eligible population'!$D$61))*'Capacity (local prices)'!$C237</f>
        <v>0</v>
      </c>
      <c r="G237" s="127">
        <f>(('Financial impact (cash)'!E$15)*'Inputs and eligible population'!$G$61/(365/'Inputs and eligible population'!$D$61))*'Capacity (local prices)'!$C237</f>
        <v>0</v>
      </c>
      <c r="H237" s="127">
        <f>(('Financial impact (cash)'!F$15)*'Inputs and eligible population'!$G$61/(365/'Inputs and eligible population'!$D$61))*'Capacity (local prices)'!$C237</f>
        <v>0</v>
      </c>
      <c r="I237" s="127">
        <f>(('Financial impact (cash)'!G$15)*'Inputs and eligible population'!$G$61/(365/'Inputs and eligible population'!$D$61))*'Capacity (local prices)'!$C237</f>
        <v>0</v>
      </c>
      <c r="J237" s="218"/>
      <c r="K237" s="528">
        <f>'Inputs and eligible population'!$K$100*'Inputs and eligible population'!G$100/60</f>
        <v>60.54</v>
      </c>
      <c r="L237" s="530">
        <f t="shared" si="104"/>
        <v>0</v>
      </c>
      <c r="M237" s="530">
        <f t="shared" si="98"/>
        <v>0</v>
      </c>
      <c r="N237" s="530">
        <f t="shared" si="99"/>
        <v>0</v>
      </c>
      <c r="O237" s="530">
        <f t="shared" si="100"/>
        <v>0</v>
      </c>
      <c r="P237" s="530">
        <f t="shared" si="101"/>
        <v>0</v>
      </c>
      <c r="Q237" s="530">
        <f t="shared" si="102"/>
        <v>0</v>
      </c>
      <c r="R237" s="132"/>
      <c r="S237" s="132"/>
      <c r="T237" s="132"/>
      <c r="U237" s="132"/>
      <c r="V237" s="132"/>
      <c r="W237" s="132"/>
      <c r="X237" s="132"/>
      <c r="Y237" s="132"/>
      <c r="Z237" s="132"/>
      <c r="AJ237" s="281"/>
      <c r="AK237" s="281"/>
      <c r="AL237" s="281"/>
      <c r="AM237" s="281"/>
      <c r="AN237" s="281"/>
    </row>
    <row r="238" spans="1:40">
      <c r="A238" s="284"/>
      <c r="B238" s="326" t="s">
        <v>1156</v>
      </c>
      <c r="C238" s="758">
        <f>'Inputs and eligible population'!$G$109</f>
        <v>4</v>
      </c>
      <c r="D238" s="127">
        <f>(('Financial impact (cash)'!D$15)*'Inputs and eligible population'!$H$61/(365/'Inputs and eligible population'!$D$61))*'Capacity (local prices)'!$C238</f>
        <v>0</v>
      </c>
      <c r="E238" s="127">
        <f>(('Financial impact (cash)'!D$15)*'Inputs and eligible population'!$H$61/(365/'Inputs and eligible population'!$D$61))*'Capacity (local prices)'!$C238</f>
        <v>0</v>
      </c>
      <c r="F238" s="127">
        <f>(('Financial impact (cash)'!D$15)*'Inputs and eligible population'!$H$61/(365/'Inputs and eligible population'!$D$61))*'Capacity (local prices)'!$C238</f>
        <v>0</v>
      </c>
      <c r="G238" s="127">
        <f>(('Financial impact (cash)'!D$15)*'Inputs and eligible population'!$H$61/(365/'Inputs and eligible population'!$D$61))*'Capacity (local prices)'!$C238</f>
        <v>0</v>
      </c>
      <c r="H238" s="127">
        <f>(('Financial impact (cash)'!E$15)*'Inputs and eligible population'!$H$61/(365/'Inputs and eligible population'!$D$61))*'Capacity (local prices)'!$C238</f>
        <v>0</v>
      </c>
      <c r="I238" s="127">
        <f>(('Financial impact (cash)'!F$15)*'Inputs and eligible population'!$H$61/(365/'Inputs and eligible population'!$D$61))*'Capacity (local prices)'!$C238</f>
        <v>0</v>
      </c>
      <c r="J238" s="218"/>
      <c r="K238" s="528">
        <f>'Inputs and eligible population'!$K$100*'Inputs and eligible population'!G$100/60</f>
        <v>60.54</v>
      </c>
      <c r="L238" s="530">
        <f t="shared" si="104"/>
        <v>0</v>
      </c>
      <c r="M238" s="530">
        <f t="shared" si="98"/>
        <v>0</v>
      </c>
      <c r="N238" s="530">
        <f t="shared" si="99"/>
        <v>0</v>
      </c>
      <c r="O238" s="530">
        <f t="shared" si="100"/>
        <v>0</v>
      </c>
      <c r="P238" s="530">
        <f t="shared" si="101"/>
        <v>0</v>
      </c>
      <c r="Q238" s="530">
        <f t="shared" si="102"/>
        <v>0</v>
      </c>
      <c r="R238" s="132"/>
      <c r="S238" s="132"/>
      <c r="T238" s="132"/>
      <c r="U238" s="132"/>
      <c r="V238" s="132"/>
      <c r="W238" s="132"/>
      <c r="X238" s="132"/>
      <c r="Y238" s="132"/>
      <c r="Z238" s="132"/>
      <c r="AJ238" s="281"/>
      <c r="AK238" s="281"/>
      <c r="AL238" s="281"/>
      <c r="AM238" s="281"/>
      <c r="AN238" s="281"/>
    </row>
    <row r="239" spans="1:40">
      <c r="A239" s="284"/>
      <c r="B239" s="326" t="s">
        <v>1157</v>
      </c>
      <c r="C239" s="758">
        <f>'Inputs and eligible population'!$G$109</f>
        <v>4</v>
      </c>
      <c r="D239" s="127">
        <f>(('Financial impact (cash)'!D$15)*'Inputs and eligible population'!$I$61/(365/'Inputs and eligible population'!$D$61))*'Capacity (local prices)'!$C239</f>
        <v>0</v>
      </c>
      <c r="E239" s="127">
        <f>(('Financial impact (cash)'!D$15)*'Inputs and eligible population'!$I$61/(365/'Inputs and eligible population'!$D$61))*'Capacity (local prices)'!$C239</f>
        <v>0</v>
      </c>
      <c r="F239" s="127">
        <f>(('Financial impact (cash)'!D$15)*'Inputs and eligible population'!$I$61/(365/'Inputs and eligible population'!$D$61))*'Capacity (local prices)'!$C239</f>
        <v>0</v>
      </c>
      <c r="G239" s="127">
        <f>(('Financial impact (cash)'!D$15)*'Inputs and eligible population'!$I$61/(365/'Inputs and eligible population'!$D$61))*'Capacity (local prices)'!$C239</f>
        <v>0</v>
      </c>
      <c r="H239" s="127">
        <f>(('Financial impact (cash)'!D$15)*'Inputs and eligible population'!$I$61/(365/'Inputs and eligible population'!$D$61))*'Capacity (local prices)'!$C239</f>
        <v>0</v>
      </c>
      <c r="I239" s="127">
        <f>(('Financial impact (cash)'!E$15)*'Inputs and eligible population'!$I$61/(365/'Inputs and eligible population'!$D$61))*'Capacity (local prices)'!$C239</f>
        <v>0</v>
      </c>
      <c r="J239" s="218"/>
      <c r="K239" s="528">
        <f>'Inputs and eligible population'!$K$100*'Inputs and eligible population'!G$100/60</f>
        <v>60.54</v>
      </c>
      <c r="L239" s="530">
        <f t="shared" si="104"/>
        <v>0</v>
      </c>
      <c r="M239" s="530">
        <f t="shared" si="98"/>
        <v>0</v>
      </c>
      <c r="N239" s="530">
        <f t="shared" si="99"/>
        <v>0</v>
      </c>
      <c r="O239" s="530">
        <f t="shared" si="100"/>
        <v>0</v>
      </c>
      <c r="P239" s="530">
        <f t="shared" si="101"/>
        <v>0</v>
      </c>
      <c r="Q239" s="530">
        <f t="shared" si="102"/>
        <v>0</v>
      </c>
      <c r="R239" s="132"/>
      <c r="S239" s="132"/>
      <c r="T239" s="132"/>
      <c r="U239" s="132"/>
      <c r="V239" s="132"/>
      <c r="W239" s="132"/>
      <c r="X239" s="132"/>
      <c r="Y239" s="132"/>
      <c r="Z239" s="132"/>
      <c r="AJ239" s="281"/>
      <c r="AK239" s="281"/>
      <c r="AL239" s="281"/>
      <c r="AM239" s="281"/>
      <c r="AN239" s="281"/>
    </row>
    <row r="240" spans="1:40">
      <c r="A240" s="284"/>
      <c r="B240" s="326" t="s">
        <v>1158</v>
      </c>
      <c r="C240" s="758">
        <f>'Inputs and eligible population'!$H$109</f>
        <v>4</v>
      </c>
      <c r="D240" s="127">
        <f>('Financial impact (cash)'!D$16*'Inputs and eligible population'!$E$62/(365/'Inputs and eligible population'!D$62))*$C240</f>
        <v>0</v>
      </c>
      <c r="E240" s="127">
        <f>(('Financial impact (cash)'!E$16)*'Inputs and eligible population'!$E$62/(365/'Inputs and eligible population'!$D$62))*'Capacity (local prices)'!$C240</f>
        <v>0</v>
      </c>
      <c r="F240" s="127">
        <f>(('Financial impact (cash)'!F$16)*'Inputs and eligible population'!$E$62/(365/'Inputs and eligible population'!$D$62))*'Capacity (local prices)'!$C240</f>
        <v>0</v>
      </c>
      <c r="G240" s="127">
        <f>(('Financial impact (cash)'!G$16)*'Inputs and eligible population'!$E$62/(365/'Inputs and eligible population'!$D$62))*'Capacity (local prices)'!$C240</f>
        <v>0</v>
      </c>
      <c r="H240" s="127">
        <f>(('Financial impact (cash)'!H$16)*'Inputs and eligible population'!$E$62/(365/'Inputs and eligible population'!$D$62))*'Capacity (local prices)'!$C240</f>
        <v>0</v>
      </c>
      <c r="I240" s="127">
        <f>(('Financial impact (cash)'!I$16)*'Inputs and eligible population'!$E$62/(365/'Inputs and eligible population'!$D$62))*'Capacity (local prices)'!$C240</f>
        <v>0</v>
      </c>
      <c r="J240" s="218"/>
      <c r="K240" s="528">
        <f>'Inputs and eligible population'!$K$100*'Inputs and eligible population'!H$100/60</f>
        <v>60.54</v>
      </c>
      <c r="L240" s="530">
        <f t="shared" si="104"/>
        <v>0</v>
      </c>
      <c r="M240" s="530">
        <f t="shared" si="98"/>
        <v>0</v>
      </c>
      <c r="N240" s="530">
        <f t="shared" si="99"/>
        <v>0</v>
      </c>
      <c r="O240" s="530">
        <f t="shared" si="100"/>
        <v>0</v>
      </c>
      <c r="P240" s="530">
        <f t="shared" si="101"/>
        <v>0</v>
      </c>
      <c r="Q240" s="530">
        <f t="shared" si="102"/>
        <v>0</v>
      </c>
      <c r="R240" s="132"/>
      <c r="S240" s="132"/>
      <c r="T240" s="132"/>
      <c r="U240" s="132"/>
      <c r="V240" s="132"/>
      <c r="W240" s="132"/>
      <c r="X240" s="132"/>
      <c r="Y240" s="132"/>
      <c r="Z240" s="132"/>
      <c r="AJ240" s="281"/>
      <c r="AK240" s="281"/>
      <c r="AL240" s="281"/>
      <c r="AM240" s="281"/>
      <c r="AN240" s="281"/>
    </row>
    <row r="241" spans="1:40">
      <c r="A241" s="284"/>
      <c r="B241" s="326" t="s">
        <v>1159</v>
      </c>
      <c r="C241" s="758">
        <f>'Inputs and eligible population'!$H$109</f>
        <v>4</v>
      </c>
      <c r="D241" s="127">
        <f>(('Financial impact (cash)'!D$16)*'Inputs and eligible population'!$F$62/(365/'Inputs and eligible population'!$D$62))*'Capacity (local prices)'!$C241</f>
        <v>0</v>
      </c>
      <c r="E241" s="127">
        <f>(('Financial impact (cash)'!D$16)*'Inputs and eligible population'!$F$62/(365/'Inputs and eligible population'!$D$62))*'Capacity (local prices)'!$C241</f>
        <v>0</v>
      </c>
      <c r="F241" s="127">
        <f>(('Financial impact (cash)'!E$16)*'Inputs and eligible population'!$F$62/(365/'Inputs and eligible population'!$D$62))*'Capacity (local prices)'!$C241</f>
        <v>0</v>
      </c>
      <c r="G241" s="127">
        <f>(('Financial impact (cash)'!F$16)*'Inputs and eligible population'!$F$62/(365/'Inputs and eligible population'!$D$62))*'Capacity (local prices)'!$C241</f>
        <v>0</v>
      </c>
      <c r="H241" s="127">
        <f>(('Financial impact (cash)'!G$16)*'Inputs and eligible population'!$F$62/(365/'Inputs and eligible population'!$D$62))*'Capacity (local prices)'!$C241</f>
        <v>0</v>
      </c>
      <c r="I241" s="127">
        <f>(('Financial impact (cash)'!H$16)*'Inputs and eligible population'!$F$62/(365/'Inputs and eligible population'!$D$62))*'Capacity (local prices)'!$C241</f>
        <v>0</v>
      </c>
      <c r="J241" s="218"/>
      <c r="K241" s="528">
        <f>'Inputs and eligible population'!$K$100*'Inputs and eligible population'!H$100/60</f>
        <v>60.54</v>
      </c>
      <c r="L241" s="530">
        <f t="shared" si="104"/>
        <v>0</v>
      </c>
      <c r="M241" s="530">
        <f t="shared" si="98"/>
        <v>0</v>
      </c>
      <c r="N241" s="530">
        <f t="shared" si="99"/>
        <v>0</v>
      </c>
      <c r="O241" s="530">
        <f t="shared" si="100"/>
        <v>0</v>
      </c>
      <c r="P241" s="530">
        <f t="shared" si="101"/>
        <v>0</v>
      </c>
      <c r="Q241" s="530">
        <f t="shared" si="102"/>
        <v>0</v>
      </c>
      <c r="R241" s="132"/>
      <c r="S241" s="132"/>
      <c r="T241" s="132"/>
      <c r="U241" s="132"/>
      <c r="V241" s="132"/>
      <c r="W241" s="132"/>
      <c r="X241" s="132"/>
      <c r="Y241" s="132"/>
      <c r="Z241" s="132"/>
      <c r="AJ241" s="281"/>
      <c r="AK241" s="281"/>
      <c r="AL241" s="281"/>
      <c r="AM241" s="281"/>
      <c r="AN241" s="281"/>
    </row>
    <row r="242" spans="1:40">
      <c r="A242" s="284"/>
      <c r="B242" s="326" t="s">
        <v>1160</v>
      </c>
      <c r="C242" s="758">
        <f>'Inputs and eligible population'!$H$109</f>
        <v>4</v>
      </c>
      <c r="D242" s="127">
        <f>(('Financial impact (cash)'!D$16)*'Inputs and eligible population'!$G$62/(365/'Inputs and eligible population'!$D$62))*'Capacity (local prices)'!$C242</f>
        <v>0</v>
      </c>
      <c r="E242" s="127">
        <f>(('Financial impact (cash)'!D$16)*'Inputs and eligible population'!$G$62/(365/'Inputs and eligible population'!$D$62))*'Capacity (local prices)'!$C242</f>
        <v>0</v>
      </c>
      <c r="F242" s="127">
        <f>(('Financial impact (cash)'!D$16)*'Inputs and eligible population'!$G$62/(365/'Inputs and eligible population'!$D$62))*'Capacity (local prices)'!$C242</f>
        <v>0</v>
      </c>
      <c r="G242" s="127">
        <f>(('Financial impact (cash)'!E$16)*'Inputs and eligible population'!$G$62/(365/'Inputs and eligible population'!$D$62))*'Capacity (local prices)'!$C242</f>
        <v>0</v>
      </c>
      <c r="H242" s="127">
        <f>(('Financial impact (cash)'!F$16)*'Inputs and eligible population'!$G$62/(365/'Inputs and eligible population'!$D$62))*'Capacity (local prices)'!$C242</f>
        <v>0</v>
      </c>
      <c r="I242" s="127">
        <f>(('Financial impact (cash)'!G$16)*'Inputs and eligible population'!$G$62/(365/'Inputs and eligible population'!$D$62))*'Capacity (local prices)'!$C242</f>
        <v>0</v>
      </c>
      <c r="J242" s="218"/>
      <c r="K242" s="528">
        <f>'Inputs and eligible population'!$K$100*'Inputs and eligible population'!H$100/60</f>
        <v>60.54</v>
      </c>
      <c r="L242" s="530">
        <f t="shared" si="104"/>
        <v>0</v>
      </c>
      <c r="M242" s="530">
        <f t="shared" si="98"/>
        <v>0</v>
      </c>
      <c r="N242" s="530">
        <f t="shared" si="99"/>
        <v>0</v>
      </c>
      <c r="O242" s="530">
        <f t="shared" si="100"/>
        <v>0</v>
      </c>
      <c r="P242" s="530">
        <f t="shared" si="101"/>
        <v>0</v>
      </c>
      <c r="Q242" s="530">
        <f t="shared" si="102"/>
        <v>0</v>
      </c>
      <c r="R242" s="132"/>
      <c r="S242" s="132"/>
      <c r="T242" s="132"/>
      <c r="U242" s="132"/>
      <c r="V242" s="132"/>
      <c r="W242" s="132"/>
      <c r="X242" s="132"/>
      <c r="Y242" s="132"/>
      <c r="Z242" s="132"/>
      <c r="AJ242" s="281"/>
      <c r="AK242" s="281"/>
      <c r="AL242" s="281"/>
      <c r="AM242" s="281"/>
      <c r="AN242" s="281"/>
    </row>
    <row r="243" spans="1:40">
      <c r="A243" s="284"/>
      <c r="B243" s="326" t="s">
        <v>1161</v>
      </c>
      <c r="C243" s="758">
        <f>'Inputs and eligible population'!$H$109</f>
        <v>4</v>
      </c>
      <c r="D243" s="127">
        <f>(('Financial impact (cash)'!D$16)*'Inputs and eligible population'!$H$62/(365/'Inputs and eligible population'!$D$62))*'Capacity (local prices)'!$C243</f>
        <v>0</v>
      </c>
      <c r="E243" s="127">
        <f>(('Financial impact (cash)'!D$16)*'Inputs and eligible population'!$H$62/(365/'Inputs and eligible population'!$D$62))*'Capacity (local prices)'!$C243</f>
        <v>0</v>
      </c>
      <c r="F243" s="127">
        <f>(('Financial impact (cash)'!D$16)*'Inputs and eligible population'!$H$62/(365/'Inputs and eligible population'!$D$62))*'Capacity (local prices)'!$C243</f>
        <v>0</v>
      </c>
      <c r="G243" s="127">
        <f>(('Financial impact (cash)'!D$16)*'Inputs and eligible population'!$H$62/(365/'Inputs and eligible population'!$D$62))*'Capacity (local prices)'!$C243</f>
        <v>0</v>
      </c>
      <c r="H243" s="127">
        <f>(('Financial impact (cash)'!E$16)*'Inputs and eligible population'!$H$62/(365/'Inputs and eligible population'!$D$62))*'Capacity (local prices)'!$C243</f>
        <v>0</v>
      </c>
      <c r="I243" s="127">
        <f>(('Financial impact (cash)'!F$16)*'Inputs and eligible population'!$H$62/(365/'Inputs and eligible population'!$D$62))*'Capacity (local prices)'!$C243</f>
        <v>0</v>
      </c>
      <c r="J243" s="218"/>
      <c r="K243" s="528">
        <f>'Inputs and eligible population'!$K$100*'Inputs and eligible population'!H$100/60</f>
        <v>60.54</v>
      </c>
      <c r="L243" s="530">
        <f t="shared" si="104"/>
        <v>0</v>
      </c>
      <c r="M243" s="530">
        <f t="shared" si="98"/>
        <v>0</v>
      </c>
      <c r="N243" s="530">
        <f t="shared" si="99"/>
        <v>0</v>
      </c>
      <c r="O243" s="530">
        <f t="shared" si="100"/>
        <v>0</v>
      </c>
      <c r="P243" s="530">
        <f t="shared" si="101"/>
        <v>0</v>
      </c>
      <c r="Q243" s="530">
        <f t="shared" si="102"/>
        <v>0</v>
      </c>
      <c r="R243" s="132"/>
      <c r="S243" s="132"/>
      <c r="T243" s="132"/>
      <c r="U243" s="132"/>
      <c r="V243" s="132"/>
      <c r="W243" s="132"/>
      <c r="X243" s="132"/>
      <c r="Y243" s="132"/>
      <c r="Z243" s="132"/>
      <c r="AJ243" s="281"/>
      <c r="AK243" s="281"/>
      <c r="AL243" s="281"/>
      <c r="AM243" s="281"/>
      <c r="AN243" s="281"/>
    </row>
    <row r="244" spans="1:40">
      <c r="A244" s="284"/>
      <c r="B244" s="326" t="s">
        <v>1162</v>
      </c>
      <c r="C244" s="758">
        <f>'Inputs and eligible population'!$H$109</f>
        <v>4</v>
      </c>
      <c r="D244" s="127">
        <f>(('Financial impact (cash)'!D$16)*'Inputs and eligible population'!$I$62/(365/'Inputs and eligible population'!$D$62))*'Capacity (local prices)'!$C244</f>
        <v>0</v>
      </c>
      <c r="E244" s="127">
        <f>(('Financial impact (cash)'!D$16)*'Inputs and eligible population'!$I$62/(365/'Inputs and eligible population'!$D$62))*'Capacity (local prices)'!$C244</f>
        <v>0</v>
      </c>
      <c r="F244" s="127">
        <f>(('Financial impact (cash)'!D$16)*'Inputs and eligible population'!$I$62/(365/'Inputs and eligible population'!$D$62))*'Capacity (local prices)'!$C244</f>
        <v>0</v>
      </c>
      <c r="G244" s="127">
        <f>(('Financial impact (cash)'!D$16)*'Inputs and eligible population'!$I$62/(365/'Inputs and eligible population'!$D$62))*'Capacity (local prices)'!$C244</f>
        <v>0</v>
      </c>
      <c r="H244" s="127">
        <f>(('Financial impact (cash)'!D$16)*'Inputs and eligible population'!$I$62/(365/'Inputs and eligible population'!$D$62))*'Capacity (local prices)'!$C244</f>
        <v>0</v>
      </c>
      <c r="I244" s="127">
        <f>(('Financial impact (cash)'!E$16)*'Inputs and eligible population'!$I$62/(365/'Inputs and eligible population'!$D$62))*'Capacity (local prices)'!$C244</f>
        <v>0</v>
      </c>
      <c r="J244" s="218"/>
      <c r="K244" s="528">
        <f>'Inputs and eligible population'!$K$100*'Inputs and eligible population'!H$100/60</f>
        <v>60.54</v>
      </c>
      <c r="L244" s="530">
        <f t="shared" si="104"/>
        <v>0</v>
      </c>
      <c r="M244" s="530">
        <f t="shared" si="98"/>
        <v>0</v>
      </c>
      <c r="N244" s="530">
        <f t="shared" si="99"/>
        <v>0</v>
      </c>
      <c r="O244" s="530">
        <f t="shared" si="100"/>
        <v>0</v>
      </c>
      <c r="P244" s="530">
        <f t="shared" si="101"/>
        <v>0</v>
      </c>
      <c r="Q244" s="530">
        <f t="shared" si="102"/>
        <v>0</v>
      </c>
      <c r="R244" s="132"/>
      <c r="S244" s="132"/>
      <c r="T244" s="132"/>
      <c r="U244" s="132"/>
      <c r="V244" s="132"/>
      <c r="W244" s="132"/>
      <c r="X244" s="132"/>
      <c r="Y244" s="132"/>
      <c r="Z244" s="132"/>
      <c r="AJ244" s="281"/>
      <c r="AK244" s="281"/>
      <c r="AL244" s="281"/>
      <c r="AM244" s="281"/>
      <c r="AN244" s="281"/>
    </row>
    <row r="245" spans="1:40">
      <c r="A245" s="284"/>
      <c r="B245" s="326" t="s">
        <v>1163</v>
      </c>
      <c r="C245" s="758">
        <f>'Inputs and eligible population'!$I$109</f>
        <v>4</v>
      </c>
      <c r="D245" s="127">
        <f>('Financial impact (cash)'!D$17*'Inputs and eligible population'!$E$63/(365/'Inputs and eligible population'!D$63))*$C245</f>
        <v>0</v>
      </c>
      <c r="E245" s="127">
        <f>(('Financial impact (cash)'!E$17)*'Inputs and eligible population'!$E$63/(365/'Inputs and eligible population'!$D$63))*'Capacity (local prices)'!$C245</f>
        <v>0</v>
      </c>
      <c r="F245" s="127">
        <f>(('Financial impact (cash)'!F$17)*'Inputs and eligible population'!$E$63/(365/'Inputs and eligible population'!$D$63))*'Capacity (local prices)'!$C245</f>
        <v>0</v>
      </c>
      <c r="G245" s="127">
        <f>(('Financial impact (cash)'!G$17)*'Inputs and eligible population'!$E$63/(365/'Inputs and eligible population'!$D$63))*'Capacity (local prices)'!$C245</f>
        <v>0</v>
      </c>
      <c r="H245" s="127">
        <f>(('Financial impact (cash)'!H$17)*'Inputs and eligible population'!$E$63/(365/'Inputs and eligible population'!$D$63))*'Capacity (local prices)'!$C245</f>
        <v>0</v>
      </c>
      <c r="I245" s="127">
        <f>(('Financial impact (cash)'!I$17)*'Inputs and eligible population'!$E$63/(365/'Inputs and eligible population'!$D$63))*'Capacity (local prices)'!$C245</f>
        <v>0</v>
      </c>
      <c r="J245" s="218"/>
      <c r="K245" s="528">
        <f>'Inputs and eligible population'!$K$100*'Inputs and eligible population'!I$100/60</f>
        <v>60.54</v>
      </c>
      <c r="L245" s="530">
        <f t="shared" si="104"/>
        <v>0</v>
      </c>
      <c r="M245" s="530">
        <f t="shared" si="98"/>
        <v>0</v>
      </c>
      <c r="N245" s="530">
        <f t="shared" si="99"/>
        <v>0</v>
      </c>
      <c r="O245" s="530">
        <f t="shared" si="100"/>
        <v>0</v>
      </c>
      <c r="P245" s="530">
        <f t="shared" si="101"/>
        <v>0</v>
      </c>
      <c r="Q245" s="530">
        <f t="shared" si="102"/>
        <v>0</v>
      </c>
      <c r="R245" s="132"/>
      <c r="S245" s="132"/>
      <c r="T245" s="132"/>
      <c r="U245" s="132"/>
      <c r="V245" s="132"/>
      <c r="W245" s="132"/>
      <c r="X245" s="132"/>
      <c r="Y245" s="132"/>
      <c r="Z245" s="132"/>
      <c r="AJ245" s="281"/>
      <c r="AK245" s="281"/>
      <c r="AL245" s="281"/>
      <c r="AM245" s="281"/>
      <c r="AN245" s="281"/>
    </row>
    <row r="246" spans="1:40">
      <c r="A246" s="284"/>
      <c r="B246" s="326" t="s">
        <v>1164</v>
      </c>
      <c r="C246" s="758">
        <f>'Inputs and eligible population'!$I$109</f>
        <v>4</v>
      </c>
      <c r="D246" s="127">
        <f>(('Financial impact (cash)'!D$17)*'Inputs and eligible population'!$F$63/(365/'Inputs and eligible population'!$D$63))*'Capacity (local prices)'!$C246</f>
        <v>0</v>
      </c>
      <c r="E246" s="127">
        <f>(('Financial impact (cash)'!D$17)*'Inputs and eligible population'!$F$63/(365/'Inputs and eligible population'!$D$63))*'Capacity (local prices)'!$C246</f>
        <v>0</v>
      </c>
      <c r="F246" s="127">
        <f>(('Financial impact (cash)'!E$17)*'Inputs and eligible population'!$F$63/(365/'Inputs and eligible population'!$D$63))*'Capacity (local prices)'!$C246</f>
        <v>0</v>
      </c>
      <c r="G246" s="127">
        <f>(('Financial impact (cash)'!F$17)*'Inputs and eligible population'!$F$63/(365/'Inputs and eligible population'!$D$63))*'Capacity (local prices)'!$C246</f>
        <v>0</v>
      </c>
      <c r="H246" s="127">
        <f>(('Financial impact (cash)'!G$17)*'Inputs and eligible population'!$F$63/(365/'Inputs and eligible population'!$D$63))*'Capacity (local prices)'!$C246</f>
        <v>0</v>
      </c>
      <c r="I246" s="127">
        <f>(('Financial impact (cash)'!H$17)*'Inputs and eligible population'!$F$63/(365/'Inputs and eligible population'!$D$63))*'Capacity (local prices)'!$C246</f>
        <v>0</v>
      </c>
      <c r="J246" s="218"/>
      <c r="K246" s="528">
        <f>'Inputs and eligible population'!$K$100*'Inputs and eligible population'!I$100/60</f>
        <v>60.54</v>
      </c>
      <c r="L246" s="530">
        <f t="shared" si="104"/>
        <v>0</v>
      </c>
      <c r="M246" s="530">
        <f t="shared" si="98"/>
        <v>0</v>
      </c>
      <c r="N246" s="530">
        <f t="shared" si="99"/>
        <v>0</v>
      </c>
      <c r="O246" s="530">
        <f t="shared" si="100"/>
        <v>0</v>
      </c>
      <c r="P246" s="530">
        <f t="shared" si="101"/>
        <v>0</v>
      </c>
      <c r="Q246" s="530">
        <f t="shared" si="102"/>
        <v>0</v>
      </c>
      <c r="R246" s="132"/>
      <c r="S246" s="132"/>
      <c r="T246" s="132"/>
      <c r="U246" s="132"/>
      <c r="V246" s="132"/>
      <c r="W246" s="132"/>
      <c r="X246" s="132"/>
      <c r="Y246" s="132"/>
      <c r="Z246" s="132"/>
      <c r="AJ246" s="281"/>
      <c r="AK246" s="281"/>
      <c r="AL246" s="281"/>
      <c r="AM246" s="281"/>
      <c r="AN246" s="281"/>
    </row>
    <row r="247" spans="1:40">
      <c r="A247" s="284"/>
      <c r="B247" s="326" t="s">
        <v>1165</v>
      </c>
      <c r="C247" s="758">
        <f>'Inputs and eligible population'!$I$109</f>
        <v>4</v>
      </c>
      <c r="D247" s="127">
        <f>(('Financial impact (cash)'!D$17)*'Inputs and eligible population'!$G$63/(365/'Inputs and eligible population'!$D$63))*'Capacity (local prices)'!$C247</f>
        <v>0</v>
      </c>
      <c r="E247" s="127">
        <f>(('Financial impact (cash)'!D$17)*'Inputs and eligible population'!$G$63/(365/'Inputs and eligible population'!$D$63))*'Capacity (local prices)'!$C247</f>
        <v>0</v>
      </c>
      <c r="F247" s="127">
        <f>(('Financial impact (cash)'!D$17)*'Inputs and eligible population'!$G$63/(365/'Inputs and eligible population'!$D$63))*'Capacity (local prices)'!$C247</f>
        <v>0</v>
      </c>
      <c r="G247" s="127">
        <f>(('Financial impact (cash)'!E$17)*'Inputs and eligible population'!$G$63/(365/'Inputs and eligible population'!$D$63))*'Capacity (local prices)'!$C247</f>
        <v>0</v>
      </c>
      <c r="H247" s="127">
        <f>(('Financial impact (cash)'!F$17)*'Inputs and eligible population'!$G$63/(365/'Inputs and eligible population'!$D$63))*'Capacity (local prices)'!$C247</f>
        <v>0</v>
      </c>
      <c r="I247" s="127">
        <f>(('Financial impact (cash)'!G$17)*'Inputs and eligible population'!$G$63/(365/'Inputs and eligible population'!$D$63))*'Capacity (local prices)'!$C247</f>
        <v>0</v>
      </c>
      <c r="J247" s="218"/>
      <c r="K247" s="528">
        <f>'Inputs and eligible population'!$K$100*'Inputs and eligible population'!I$100/60</f>
        <v>60.54</v>
      </c>
      <c r="L247" s="530">
        <f t="shared" si="104"/>
        <v>0</v>
      </c>
      <c r="M247" s="530">
        <f t="shared" si="98"/>
        <v>0</v>
      </c>
      <c r="N247" s="530">
        <f t="shared" si="99"/>
        <v>0</v>
      </c>
      <c r="O247" s="530">
        <f t="shared" si="100"/>
        <v>0</v>
      </c>
      <c r="P247" s="530">
        <f t="shared" si="101"/>
        <v>0</v>
      </c>
      <c r="Q247" s="530">
        <f t="shared" si="102"/>
        <v>0</v>
      </c>
      <c r="R247" s="132"/>
      <c r="S247" s="132"/>
      <c r="T247" s="132"/>
      <c r="U247" s="132"/>
      <c r="V247" s="132"/>
      <c r="W247" s="132"/>
      <c r="X247" s="132"/>
      <c r="Y247" s="132"/>
      <c r="Z247" s="132"/>
      <c r="AJ247" s="281"/>
      <c r="AK247" s="281"/>
      <c r="AL247" s="281"/>
      <c r="AM247" s="281"/>
      <c r="AN247" s="281"/>
    </row>
    <row r="248" spans="1:40">
      <c r="A248" s="284"/>
      <c r="B248" s="326" t="s">
        <v>1166</v>
      </c>
      <c r="C248" s="758">
        <f>'Inputs and eligible population'!$I$109</f>
        <v>4</v>
      </c>
      <c r="D248" s="127">
        <f>(('Financial impact (cash)'!D$17)*'Inputs and eligible population'!$H$63/(365/'Inputs and eligible population'!$D$63))*'Capacity (local prices)'!$C248</f>
        <v>0</v>
      </c>
      <c r="E248" s="127">
        <f>(('Financial impact (cash)'!D$17)*'Inputs and eligible population'!$H$63/(365/'Inputs and eligible population'!$D$63))*'Capacity (local prices)'!$C248</f>
        <v>0</v>
      </c>
      <c r="F248" s="127">
        <f>(('Financial impact (cash)'!D$17)*'Inputs and eligible population'!$H$63/(365/'Inputs and eligible population'!$D$63))*'Capacity (local prices)'!$C248</f>
        <v>0</v>
      </c>
      <c r="G248" s="127">
        <f>(('Financial impact (cash)'!D$17)*'Inputs and eligible population'!$H$63/(365/'Inputs and eligible population'!$D$63))*'Capacity (local prices)'!$C248</f>
        <v>0</v>
      </c>
      <c r="H248" s="127">
        <f>(('Financial impact (cash)'!E$17)*'Inputs and eligible population'!$H$63/(365/'Inputs and eligible population'!$D$63))*'Capacity (local prices)'!$C248</f>
        <v>0</v>
      </c>
      <c r="I248" s="127">
        <f>(('Financial impact (cash)'!F$17)*'Inputs and eligible population'!$H$63/(365/'Inputs and eligible population'!$D$63))*'Capacity (local prices)'!$C248</f>
        <v>0</v>
      </c>
      <c r="J248" s="218"/>
      <c r="K248" s="528">
        <f>'Inputs and eligible population'!$K$100*'Inputs and eligible population'!I$100/60</f>
        <v>60.54</v>
      </c>
      <c r="L248" s="530">
        <f t="shared" si="104"/>
        <v>0</v>
      </c>
      <c r="M248" s="530">
        <f t="shared" si="98"/>
        <v>0</v>
      </c>
      <c r="N248" s="530">
        <f t="shared" si="99"/>
        <v>0</v>
      </c>
      <c r="O248" s="530">
        <f t="shared" si="100"/>
        <v>0</v>
      </c>
      <c r="P248" s="530">
        <f t="shared" si="101"/>
        <v>0</v>
      </c>
      <c r="Q248" s="530">
        <f t="shared" si="102"/>
        <v>0</v>
      </c>
      <c r="R248" s="132"/>
      <c r="S248" s="132"/>
      <c r="T248" s="132"/>
      <c r="U248" s="132"/>
      <c r="V248" s="132"/>
      <c r="W248" s="132"/>
      <c r="X248" s="132"/>
      <c r="Y248" s="132"/>
      <c r="Z248" s="132"/>
      <c r="AJ248" s="281"/>
      <c r="AK248" s="281"/>
      <c r="AL248" s="281"/>
      <c r="AM248" s="281"/>
      <c r="AN248" s="281"/>
    </row>
    <row r="249" spans="1:40">
      <c r="A249" s="284"/>
      <c r="B249" s="326" t="s">
        <v>1167</v>
      </c>
      <c r="C249" s="758">
        <f>'Inputs and eligible population'!$I$109</f>
        <v>4</v>
      </c>
      <c r="D249" s="127">
        <f>(('Financial impact (cash)'!D$17)*'Inputs and eligible population'!$I$63/(365/'Inputs and eligible population'!$D$63))*'Capacity (local prices)'!$C249</f>
        <v>0</v>
      </c>
      <c r="E249" s="127">
        <f>(('Financial impact (cash)'!D$17)*'Inputs and eligible population'!$I$63/(365/'Inputs and eligible population'!$D$63))*'Capacity (local prices)'!$C249</f>
        <v>0</v>
      </c>
      <c r="F249" s="127">
        <f>(('Financial impact (cash)'!D$17)*'Inputs and eligible population'!$I$63/(365/'Inputs and eligible population'!$D$63))*'Capacity (local prices)'!$C249</f>
        <v>0</v>
      </c>
      <c r="G249" s="127">
        <f>(('Financial impact (cash)'!D$17)*'Inputs and eligible population'!$I$63/(365/'Inputs and eligible population'!$D$63))*'Capacity (local prices)'!$C249</f>
        <v>0</v>
      </c>
      <c r="H249" s="127">
        <f>(('Financial impact (cash)'!D$17)*'Inputs and eligible population'!$I$63/(365/'Inputs and eligible population'!$D$63))*'Capacity (local prices)'!$C249</f>
        <v>0</v>
      </c>
      <c r="I249" s="127">
        <f>(('Financial impact (cash)'!E$17)*'Inputs and eligible population'!$I$63/(365/'Inputs and eligible population'!$D$63))*'Capacity (local prices)'!$C249</f>
        <v>0</v>
      </c>
      <c r="J249" s="218"/>
      <c r="K249" s="528">
        <f>'Inputs and eligible population'!$K$100*'Inputs and eligible population'!I$100/60</f>
        <v>60.54</v>
      </c>
      <c r="L249" s="530">
        <f t="shared" si="104"/>
        <v>0</v>
      </c>
      <c r="M249" s="530">
        <f t="shared" si="98"/>
        <v>0</v>
      </c>
      <c r="N249" s="530">
        <f t="shared" si="99"/>
        <v>0</v>
      </c>
      <c r="O249" s="530">
        <f t="shared" si="100"/>
        <v>0</v>
      </c>
      <c r="P249" s="530">
        <f t="shared" si="101"/>
        <v>0</v>
      </c>
      <c r="Q249" s="530">
        <f t="shared" si="102"/>
        <v>0</v>
      </c>
      <c r="R249" s="132"/>
      <c r="S249" s="132"/>
      <c r="T249" s="132"/>
      <c r="U249" s="132"/>
      <c r="V249" s="132"/>
      <c r="W249" s="132"/>
      <c r="X249" s="132"/>
      <c r="Y249" s="132"/>
      <c r="Z249" s="132"/>
      <c r="AJ249" s="281"/>
      <c r="AK249" s="281"/>
      <c r="AL249" s="281"/>
      <c r="AM249" s="281"/>
      <c r="AN249" s="281"/>
    </row>
    <row r="250" spans="1:40">
      <c r="A250" s="837"/>
      <c r="B250" s="205"/>
      <c r="C250" s="184"/>
      <c r="D250" s="184">
        <f>SUM(D225:D249)</f>
        <v>0</v>
      </c>
      <c r="E250" s="184">
        <f t="shared" ref="E250:I250" si="105">SUM(E225:E249)</f>
        <v>0</v>
      </c>
      <c r="F250" s="184">
        <f t="shared" si="105"/>
        <v>0</v>
      </c>
      <c r="G250" s="184">
        <f t="shared" si="105"/>
        <v>0</v>
      </c>
      <c r="H250" s="184">
        <f t="shared" si="105"/>
        <v>0</v>
      </c>
      <c r="I250" s="184">
        <f t="shared" si="105"/>
        <v>0</v>
      </c>
      <c r="J250" s="284"/>
      <c r="K250" s="284"/>
      <c r="L250" s="838">
        <f t="shared" ref="L250" si="106">SUM(L225:L249)</f>
        <v>0</v>
      </c>
      <c r="M250" s="838">
        <f t="shared" ref="M250" si="107">SUM(M225:M249)</f>
        <v>0</v>
      </c>
      <c r="N250" s="838">
        <f t="shared" ref="N250" si="108">SUM(N225:N249)</f>
        <v>0</v>
      </c>
      <c r="O250" s="838">
        <f t="shared" ref="O250" si="109">SUM(O225:O249)</f>
        <v>0</v>
      </c>
      <c r="P250" s="838">
        <f t="shared" ref="P250" si="110">SUM(P225:P249)</f>
        <v>0</v>
      </c>
      <c r="Q250" s="838">
        <f t="shared" ref="Q250" si="111">SUM(Q225:Q249)</f>
        <v>0</v>
      </c>
      <c r="R250" s="132"/>
      <c r="S250" s="132"/>
      <c r="T250" s="132"/>
      <c r="U250" s="132"/>
      <c r="V250" s="132"/>
      <c r="W250" s="132"/>
      <c r="X250" s="132"/>
      <c r="Y250" s="132"/>
      <c r="Z250" s="132"/>
      <c r="AJ250" s="281"/>
      <c r="AK250" s="281"/>
      <c r="AL250" s="281"/>
      <c r="AM250" s="281"/>
      <c r="AN250" s="281"/>
    </row>
    <row r="251" spans="1:40">
      <c r="A251" s="284"/>
      <c r="B251" s="289"/>
      <c r="C251" s="252"/>
      <c r="D251" s="280" t="s">
        <v>817</v>
      </c>
      <c r="E251" s="184">
        <f>E250-$D$250</f>
        <v>0</v>
      </c>
      <c r="F251" s="184">
        <f t="shared" ref="F251:I251" si="112">F250-$D$250</f>
        <v>0</v>
      </c>
      <c r="G251" s="184">
        <f t="shared" si="112"/>
        <v>0</v>
      </c>
      <c r="H251" s="184">
        <f t="shared" si="112"/>
        <v>0</v>
      </c>
      <c r="I251" s="184">
        <f t="shared" si="112"/>
        <v>0</v>
      </c>
      <c r="J251" s="284"/>
      <c r="K251" s="284"/>
      <c r="L251" s="506"/>
      <c r="M251" s="287">
        <f>M250-$L$250</f>
        <v>0</v>
      </c>
      <c r="N251" s="287">
        <f>N250-$L$250</f>
        <v>0</v>
      </c>
      <c r="O251" s="287">
        <f>O250-$L$250</f>
        <v>0</v>
      </c>
      <c r="P251" s="287">
        <f>P250-$L$250</f>
        <v>0</v>
      </c>
      <c r="Q251" s="287">
        <f>Q250-$L$250</f>
        <v>0</v>
      </c>
      <c r="V251" s="132"/>
    </row>
    <row r="252" spans="1:40">
      <c r="A252" s="284"/>
      <c r="B252" s="304"/>
      <c r="C252" s="218"/>
      <c r="D252" s="218"/>
      <c r="E252" s="218"/>
      <c r="F252" s="218"/>
      <c r="G252" s="218"/>
      <c r="H252" s="218"/>
      <c r="I252" s="218"/>
      <c r="J252" s="218"/>
      <c r="K252" s="218"/>
      <c r="L252" s="218"/>
      <c r="M252" s="218"/>
      <c r="N252" s="218"/>
      <c r="O252" s="218"/>
      <c r="P252" s="218"/>
      <c r="Q252" s="218"/>
      <c r="V252" s="132"/>
    </row>
    <row r="253" spans="1:40">
      <c r="A253" s="284"/>
      <c r="B253" s="372" t="s">
        <v>1076</v>
      </c>
      <c r="C253" s="373"/>
      <c r="D253" s="373"/>
      <c r="E253" s="373"/>
      <c r="F253" s="373"/>
      <c r="G253" s="373"/>
      <c r="H253" s="373"/>
      <c r="I253" s="217"/>
      <c r="J253" s="218"/>
      <c r="K253" s="218"/>
      <c r="L253" s="218"/>
      <c r="M253" s="218"/>
      <c r="N253" s="218"/>
      <c r="O253" s="218"/>
      <c r="P253" s="218"/>
      <c r="Q253" s="218"/>
      <c r="R253" s="132"/>
      <c r="S253" s="132"/>
      <c r="T253" s="132"/>
      <c r="U253" s="132"/>
      <c r="V253" s="132"/>
      <c r="W253" s="132"/>
      <c r="X253" s="132"/>
      <c r="Y253" s="132"/>
      <c r="Z253" s="132"/>
      <c r="AJ253" s="281"/>
      <c r="AK253" s="281"/>
      <c r="AL253" s="281"/>
      <c r="AM253" s="281"/>
      <c r="AN253" s="281"/>
    </row>
    <row r="254" spans="1:40" ht="30">
      <c r="A254" s="284"/>
      <c r="B254" s="274" t="s">
        <v>757</v>
      </c>
      <c r="C254" s="165" t="s">
        <v>841</v>
      </c>
      <c r="D254" s="392" t="s">
        <v>825</v>
      </c>
      <c r="E254" s="251" t="s">
        <v>674</v>
      </c>
      <c r="F254" s="251" t="s">
        <v>675</v>
      </c>
      <c r="G254" s="164" t="s">
        <v>792</v>
      </c>
      <c r="H254" s="164" t="s">
        <v>793</v>
      </c>
      <c r="I254" s="251" t="s">
        <v>794</v>
      </c>
      <c r="J254" s="284"/>
      <c r="K254" s="284"/>
      <c r="L254" s="218"/>
      <c r="M254" s="218"/>
      <c r="N254" s="218"/>
      <c r="O254" s="218"/>
      <c r="P254" s="218"/>
      <c r="Q254" s="218"/>
      <c r="R254" s="132"/>
      <c r="S254" s="132"/>
      <c r="T254" s="132"/>
      <c r="U254" s="132"/>
      <c r="V254" s="132"/>
      <c r="W254" s="132"/>
      <c r="X254" s="132"/>
      <c r="Y254" s="132"/>
      <c r="Z254" s="132"/>
      <c r="AJ254" s="281"/>
      <c r="AK254" s="281"/>
      <c r="AL254" s="281"/>
      <c r="AM254" s="281"/>
      <c r="AN254" s="281"/>
    </row>
    <row r="255" spans="1:40">
      <c r="A255" s="284"/>
      <c r="B255" s="326" t="s">
        <v>927</v>
      </c>
      <c r="C255" s="148">
        <f>'Inputs and eligible population'!F111</f>
        <v>0</v>
      </c>
      <c r="D255" s="127">
        <f>('Financial impact (cash)'!D13+'Financial impact (cash)'!D14)*C255</f>
        <v>0</v>
      </c>
      <c r="E255" s="127">
        <f>('Financial impact (cash)'!E13+'Financial impact (cash)'!E14)*C255</f>
        <v>0</v>
      </c>
      <c r="F255" s="127">
        <f>('Financial impact (cash)'!F13+'Financial impact (cash)'!F14)*C255</f>
        <v>0</v>
      </c>
      <c r="G255" s="127">
        <f>('Financial impact (cash)'!G13+'Financial impact (cash)'!G14)*C255</f>
        <v>0</v>
      </c>
      <c r="H255" s="127">
        <f>('Financial impact (cash)'!H13+'Financial impact (cash)'!H14)*C255</f>
        <v>0</v>
      </c>
      <c r="I255" s="127">
        <f>('Financial impact (cash)'!I13+'Financial impact (cash)'!I14)*C255</f>
        <v>0</v>
      </c>
      <c r="J255" s="284"/>
      <c r="K255" s="284"/>
      <c r="L255" s="218"/>
      <c r="M255" s="218"/>
      <c r="N255" s="218"/>
      <c r="O255" s="218"/>
      <c r="P255" s="218"/>
      <c r="Q255" s="218"/>
      <c r="R255" s="132"/>
      <c r="S255" s="132"/>
      <c r="T255" s="132"/>
      <c r="U255" s="132"/>
      <c r="V255" s="132"/>
      <c r="W255" s="132"/>
      <c r="X255" s="132"/>
      <c r="Y255" s="132"/>
      <c r="Z255" s="132"/>
      <c r="AJ255" s="281"/>
      <c r="AK255" s="281"/>
      <c r="AL255" s="281"/>
      <c r="AM255" s="281"/>
      <c r="AN255" s="281"/>
    </row>
    <row r="256" spans="1:40">
      <c r="A256" s="284"/>
      <c r="B256" s="326" t="s">
        <v>958</v>
      </c>
      <c r="C256" s="148">
        <f>'Inputs and eligible population'!G111</f>
        <v>0</v>
      </c>
      <c r="D256" s="127">
        <f>'Financial impact (cash)'!D15*C256</f>
        <v>0</v>
      </c>
      <c r="E256" s="127">
        <f>'Financial impact (cash)'!E15*C256</f>
        <v>0</v>
      </c>
      <c r="F256" s="127">
        <f>'Financial impact (cash)'!F15*C256</f>
        <v>0</v>
      </c>
      <c r="G256" s="127">
        <f>'Financial impact (cash)'!G15*C256</f>
        <v>0</v>
      </c>
      <c r="H256" s="127">
        <f>'Financial impact (cash)'!H15*C256</f>
        <v>0</v>
      </c>
      <c r="I256" s="127">
        <f>'Financial impact (cash)'!I15*C256</f>
        <v>0</v>
      </c>
      <c r="J256" s="284"/>
      <c r="K256" s="284"/>
      <c r="L256" s="218"/>
      <c r="M256" s="218"/>
      <c r="N256" s="218"/>
      <c r="O256" s="218"/>
      <c r="P256" s="218"/>
      <c r="Q256" s="218"/>
      <c r="R256" s="132"/>
      <c r="S256" s="132"/>
      <c r="T256" s="132"/>
      <c r="U256" s="132"/>
      <c r="V256" s="132"/>
      <c r="W256" s="132"/>
      <c r="X256" s="132"/>
      <c r="Y256" s="132"/>
      <c r="Z256" s="132"/>
      <c r="AJ256" s="281"/>
      <c r="AK256" s="281"/>
      <c r="AL256" s="281"/>
      <c r="AM256" s="281"/>
      <c r="AN256" s="281"/>
    </row>
    <row r="257" spans="1:40">
      <c r="A257" s="284"/>
      <c r="B257" s="326" t="s">
        <v>934</v>
      </c>
      <c r="C257" s="148">
        <f>'Inputs and eligible population'!H111</f>
        <v>0</v>
      </c>
      <c r="D257" s="127">
        <f>'Financial impact (cash)'!D16*C257</f>
        <v>0</v>
      </c>
      <c r="E257" s="127">
        <f>'Financial impact (cash)'!E16*C257</f>
        <v>0</v>
      </c>
      <c r="F257" s="127">
        <f>'Financial impact (cash)'!F16*C257</f>
        <v>0</v>
      </c>
      <c r="G257" s="127">
        <f>'Financial impact (cash)'!G16*C257</f>
        <v>0</v>
      </c>
      <c r="H257" s="127">
        <f>'Financial impact (cash)'!H16*C257</f>
        <v>0</v>
      </c>
      <c r="I257" s="127">
        <f>'Financial impact (cash)'!I16*C257</f>
        <v>0</v>
      </c>
      <c r="J257" s="284"/>
      <c r="K257" s="284"/>
      <c r="L257" s="218"/>
      <c r="M257" s="218"/>
      <c r="N257" s="218"/>
      <c r="O257" s="218"/>
      <c r="P257" s="218"/>
      <c r="Q257" s="218"/>
      <c r="R257" s="132"/>
      <c r="S257" s="132"/>
      <c r="T257" s="132"/>
      <c r="U257" s="132"/>
      <c r="V257" s="132"/>
      <c r="W257" s="132"/>
      <c r="X257" s="132"/>
      <c r="Y257" s="132"/>
      <c r="Z257" s="132"/>
      <c r="AJ257" s="281"/>
      <c r="AK257" s="281"/>
      <c r="AL257" s="281"/>
      <c r="AM257" s="281"/>
      <c r="AN257" s="281"/>
    </row>
    <row r="258" spans="1:40">
      <c r="A258" s="284"/>
      <c r="B258" s="326" t="s">
        <v>935</v>
      </c>
      <c r="C258" s="148">
        <f>'Inputs and eligible population'!I111</f>
        <v>0</v>
      </c>
      <c r="D258" s="127">
        <f>'Financial impact (cash)'!D17*C258</f>
        <v>0</v>
      </c>
      <c r="E258" s="127">
        <f>'Financial impact (cash)'!E17*C258</f>
        <v>0</v>
      </c>
      <c r="F258" s="127">
        <f>'Financial impact (cash)'!F17*C258</f>
        <v>0</v>
      </c>
      <c r="G258" s="127">
        <f>'Financial impact (cash)'!G17*C258</f>
        <v>0</v>
      </c>
      <c r="H258" s="127">
        <f>'Financial impact (cash)'!H17*C258</f>
        <v>0</v>
      </c>
      <c r="I258" s="127">
        <f>'Financial impact (cash)'!I17*C258</f>
        <v>0</v>
      </c>
      <c r="J258" s="284"/>
      <c r="K258" s="284"/>
      <c r="L258" s="218"/>
      <c r="M258" s="218"/>
      <c r="N258" s="218"/>
      <c r="O258" s="218"/>
      <c r="P258" s="218"/>
      <c r="Q258" s="218"/>
      <c r="R258" s="132"/>
      <c r="S258" s="132"/>
      <c r="T258" s="132"/>
      <c r="U258" s="132"/>
      <c r="V258" s="132"/>
      <c r="W258" s="132"/>
      <c r="X258" s="132"/>
      <c r="Y258" s="132"/>
      <c r="Z258" s="132"/>
      <c r="AJ258" s="281"/>
      <c r="AK258" s="281"/>
      <c r="AL258" s="281"/>
      <c r="AM258" s="281"/>
      <c r="AN258" s="281"/>
    </row>
    <row r="259" spans="1:40">
      <c r="A259" s="284"/>
      <c r="B259" s="278"/>
      <c r="C259" s="205"/>
      <c r="D259" s="184">
        <f t="shared" ref="D259:I259" si="113">SUM(D255:D258)</f>
        <v>0</v>
      </c>
      <c r="E259" s="184">
        <f t="shared" si="113"/>
        <v>0</v>
      </c>
      <c r="F259" s="184">
        <f t="shared" si="113"/>
        <v>0</v>
      </c>
      <c r="G259" s="184">
        <f t="shared" si="113"/>
        <v>0</v>
      </c>
      <c r="H259" s="184">
        <f t="shared" si="113"/>
        <v>0</v>
      </c>
      <c r="I259" s="184">
        <f t="shared" si="113"/>
        <v>0</v>
      </c>
      <c r="J259" s="284"/>
      <c r="K259" s="284"/>
      <c r="L259" s="218"/>
      <c r="M259" s="218"/>
      <c r="N259" s="218"/>
      <c r="O259" s="218"/>
      <c r="P259" s="218"/>
      <c r="Q259" s="218"/>
      <c r="R259" s="132"/>
      <c r="S259" s="132"/>
      <c r="T259" s="132"/>
      <c r="U259" s="132"/>
      <c r="V259" s="132"/>
      <c r="W259" s="132"/>
      <c r="X259" s="132"/>
      <c r="Y259" s="132"/>
      <c r="Z259" s="132"/>
      <c r="AJ259" s="281"/>
      <c r="AK259" s="281"/>
      <c r="AL259" s="281"/>
      <c r="AM259" s="281"/>
      <c r="AN259" s="281"/>
    </row>
    <row r="260" spans="1:40">
      <c r="A260" s="284"/>
      <c r="B260" s="289"/>
      <c r="C260" s="252"/>
      <c r="D260" s="280" t="s">
        <v>818</v>
      </c>
      <c r="E260" s="184">
        <f>E259-$D$259</f>
        <v>0</v>
      </c>
      <c r="F260" s="184">
        <f>F259-$D$259</f>
        <v>0</v>
      </c>
      <c r="G260" s="184">
        <f>G259-$D$259</f>
        <v>0</v>
      </c>
      <c r="H260" s="184">
        <f>H259-$D$259</f>
        <v>0</v>
      </c>
      <c r="I260" s="184">
        <f>I259-$D$259</f>
        <v>0</v>
      </c>
      <c r="J260" s="284"/>
      <c r="K260" s="284"/>
      <c r="L260" s="218"/>
      <c r="M260" s="218"/>
      <c r="N260" s="218"/>
      <c r="O260" s="218"/>
      <c r="P260" s="218"/>
      <c r="Q260" s="218"/>
      <c r="V260" s="132"/>
    </row>
    <row r="261" spans="1:40">
      <c r="A261" s="284"/>
      <c r="B261" s="284"/>
      <c r="C261" s="218"/>
      <c r="D261" s="284"/>
      <c r="E261" s="284"/>
      <c r="F261" s="284"/>
      <c r="G261" s="284"/>
      <c r="H261" s="284"/>
      <c r="I261" s="218"/>
      <c r="J261" s="218"/>
      <c r="K261" s="218"/>
      <c r="L261" s="218"/>
      <c r="M261" s="218"/>
      <c r="N261" s="218"/>
      <c r="O261" s="218"/>
      <c r="P261" s="218"/>
      <c r="Q261" s="218"/>
      <c r="V261" s="132"/>
    </row>
    <row r="262" spans="1:40">
      <c r="A262" s="284"/>
      <c r="B262" s="372" t="s">
        <v>842</v>
      </c>
      <c r="C262" s="373"/>
      <c r="D262" s="373"/>
      <c r="E262" s="373"/>
      <c r="F262" s="373"/>
      <c r="G262" s="373"/>
      <c r="H262" s="373"/>
      <c r="I262" s="217"/>
      <c r="J262" s="218"/>
      <c r="K262" s="218"/>
      <c r="L262" s="398"/>
      <c r="M262" s="398"/>
      <c r="N262" s="398"/>
      <c r="O262" s="398"/>
      <c r="P262" s="398"/>
      <c r="Q262" s="398"/>
      <c r="V262" s="132"/>
    </row>
    <row r="263" spans="1:40" ht="45">
      <c r="A263" s="284"/>
      <c r="B263" s="274" t="s">
        <v>757</v>
      </c>
      <c r="C263" s="165" t="s">
        <v>843</v>
      </c>
      <c r="D263" s="392" t="s">
        <v>825</v>
      </c>
      <c r="E263" s="251" t="s">
        <v>674</v>
      </c>
      <c r="F263" s="251" t="s">
        <v>675</v>
      </c>
      <c r="G263" s="164" t="s">
        <v>792</v>
      </c>
      <c r="H263" s="164" t="s">
        <v>793</v>
      </c>
      <c r="I263" s="251" t="s">
        <v>794</v>
      </c>
      <c r="J263" s="284"/>
      <c r="K263" s="515" t="s">
        <v>834</v>
      </c>
      <c r="L263" s="392" t="s">
        <v>825</v>
      </c>
      <c r="M263" s="251" t="s">
        <v>674</v>
      </c>
      <c r="N263" s="251" t="s">
        <v>675</v>
      </c>
      <c r="O263" s="164" t="s">
        <v>792</v>
      </c>
      <c r="P263" s="164" t="s">
        <v>793</v>
      </c>
      <c r="Q263" s="251" t="s">
        <v>794</v>
      </c>
      <c r="V263" s="132"/>
    </row>
    <row r="264" spans="1:40">
      <c r="A264" s="284"/>
      <c r="B264" s="326" t="s">
        <v>927</v>
      </c>
      <c r="C264" s="148">
        <f>'Inputs and eligible population'!F112</f>
        <v>0</v>
      </c>
      <c r="D264" s="127">
        <f>D255*$C264/60</f>
        <v>0</v>
      </c>
      <c r="E264" s="127">
        <f t="shared" ref="E264:I264" si="114">E255*$C264/60</f>
        <v>0</v>
      </c>
      <c r="F264" s="127">
        <f t="shared" si="114"/>
        <v>0</v>
      </c>
      <c r="G264" s="127">
        <f t="shared" si="114"/>
        <v>0</v>
      </c>
      <c r="H264" s="127">
        <f t="shared" si="114"/>
        <v>0</v>
      </c>
      <c r="I264" s="127">
        <f t="shared" si="114"/>
        <v>0</v>
      </c>
      <c r="J264" s="284"/>
      <c r="K264" s="531">
        <f>'Inputs and eligible population'!$K$112</f>
        <v>27.81</v>
      </c>
      <c r="L264" s="286">
        <f>D264*$K264</f>
        <v>0</v>
      </c>
      <c r="M264" s="286">
        <f t="shared" ref="M264:M267" si="115">E264*$K264</f>
        <v>0</v>
      </c>
      <c r="N264" s="286">
        <f t="shared" ref="N264:N267" si="116">F264*$K264</f>
        <v>0</v>
      </c>
      <c r="O264" s="286">
        <f t="shared" ref="O264:O267" si="117">G264*$K264</f>
        <v>0</v>
      </c>
      <c r="P264" s="286">
        <f t="shared" ref="P264:P267" si="118">H264*$K264</f>
        <v>0</v>
      </c>
      <c r="Q264" s="286">
        <f t="shared" ref="Q264:Q267" si="119">I264*$K264</f>
        <v>0</v>
      </c>
      <c r="V264" s="132"/>
    </row>
    <row r="265" spans="1:40">
      <c r="A265" s="284"/>
      <c r="B265" s="326" t="s">
        <v>958</v>
      </c>
      <c r="C265" s="148">
        <f>'Inputs and eligible population'!G112</f>
        <v>0</v>
      </c>
      <c r="D265" s="127">
        <f t="shared" ref="D265:I265" si="120">D256*$C265/60</f>
        <v>0</v>
      </c>
      <c r="E265" s="127">
        <f t="shared" si="120"/>
        <v>0</v>
      </c>
      <c r="F265" s="127">
        <f t="shared" si="120"/>
        <v>0</v>
      </c>
      <c r="G265" s="127">
        <f t="shared" si="120"/>
        <v>0</v>
      </c>
      <c r="H265" s="127">
        <f t="shared" si="120"/>
        <v>0</v>
      </c>
      <c r="I265" s="127">
        <f t="shared" si="120"/>
        <v>0</v>
      </c>
      <c r="J265" s="284"/>
      <c r="K265" s="531">
        <f>'Inputs and eligible population'!$K$112</f>
        <v>27.81</v>
      </c>
      <c r="L265" s="286">
        <f t="shared" ref="L265:L267" si="121">D265*$K265</f>
        <v>0</v>
      </c>
      <c r="M265" s="286">
        <f t="shared" si="115"/>
        <v>0</v>
      </c>
      <c r="N265" s="286">
        <f t="shared" si="116"/>
        <v>0</v>
      </c>
      <c r="O265" s="286">
        <f t="shared" si="117"/>
        <v>0</v>
      </c>
      <c r="P265" s="286">
        <f t="shared" si="118"/>
        <v>0</v>
      </c>
      <c r="Q265" s="286">
        <f t="shared" si="119"/>
        <v>0</v>
      </c>
      <c r="V265" s="132"/>
    </row>
    <row r="266" spans="1:40">
      <c r="A266" s="284"/>
      <c r="B266" s="326" t="s">
        <v>934</v>
      </c>
      <c r="C266" s="148">
        <f>'Inputs and eligible population'!H112</f>
        <v>0</v>
      </c>
      <c r="D266" s="127">
        <f>D257*$C266/60</f>
        <v>0</v>
      </c>
      <c r="E266" s="127">
        <f t="shared" ref="E266:I266" si="122">E257*$C266/60</f>
        <v>0</v>
      </c>
      <c r="F266" s="127">
        <f t="shared" si="122"/>
        <v>0</v>
      </c>
      <c r="G266" s="127">
        <f t="shared" si="122"/>
        <v>0</v>
      </c>
      <c r="H266" s="127">
        <f t="shared" si="122"/>
        <v>0</v>
      </c>
      <c r="I266" s="127">
        <f t="shared" si="122"/>
        <v>0</v>
      </c>
      <c r="J266" s="284"/>
      <c r="K266" s="531">
        <f>'Inputs and eligible population'!$K$112</f>
        <v>27.81</v>
      </c>
      <c r="L266" s="286">
        <f t="shared" si="121"/>
        <v>0</v>
      </c>
      <c r="M266" s="286">
        <f t="shared" si="115"/>
        <v>0</v>
      </c>
      <c r="N266" s="286">
        <f t="shared" si="116"/>
        <v>0</v>
      </c>
      <c r="O266" s="286">
        <f t="shared" si="117"/>
        <v>0</v>
      </c>
      <c r="P266" s="286">
        <f t="shared" si="118"/>
        <v>0</v>
      </c>
      <c r="Q266" s="286">
        <f t="shared" si="119"/>
        <v>0</v>
      </c>
      <c r="V266" s="132"/>
    </row>
    <row r="267" spans="1:40">
      <c r="A267" s="284"/>
      <c r="B267" s="326" t="s">
        <v>935</v>
      </c>
      <c r="C267" s="148">
        <f>'Inputs and eligible population'!I112</f>
        <v>0</v>
      </c>
      <c r="D267" s="127">
        <f t="shared" ref="D267:I267" si="123">D258*$C267/60</f>
        <v>0</v>
      </c>
      <c r="E267" s="127">
        <f t="shared" si="123"/>
        <v>0</v>
      </c>
      <c r="F267" s="127">
        <f t="shared" si="123"/>
        <v>0</v>
      </c>
      <c r="G267" s="127">
        <f t="shared" si="123"/>
        <v>0</v>
      </c>
      <c r="H267" s="127">
        <f t="shared" si="123"/>
        <v>0</v>
      </c>
      <c r="I267" s="127">
        <f t="shared" si="123"/>
        <v>0</v>
      </c>
      <c r="J267" s="284"/>
      <c r="K267" s="531">
        <f>'Inputs and eligible population'!$K$112</f>
        <v>27.81</v>
      </c>
      <c r="L267" s="286">
        <f t="shared" si="121"/>
        <v>0</v>
      </c>
      <c r="M267" s="286">
        <f t="shared" si="115"/>
        <v>0</v>
      </c>
      <c r="N267" s="286">
        <f t="shared" si="116"/>
        <v>0</v>
      </c>
      <c r="O267" s="286">
        <f t="shared" si="117"/>
        <v>0</v>
      </c>
      <c r="P267" s="286">
        <f t="shared" si="118"/>
        <v>0</v>
      </c>
      <c r="Q267" s="286">
        <f t="shared" si="119"/>
        <v>0</v>
      </c>
      <c r="V267" s="132"/>
    </row>
    <row r="268" spans="1:40">
      <c r="A268" s="284"/>
      <c r="B268" s="278"/>
      <c r="C268" s="205"/>
      <c r="D268" s="184">
        <f t="shared" ref="D268:I268" si="124">SUM(D264:D267)</f>
        <v>0</v>
      </c>
      <c r="E268" s="184">
        <f t="shared" si="124"/>
        <v>0</v>
      </c>
      <c r="F268" s="184">
        <f t="shared" si="124"/>
        <v>0</v>
      </c>
      <c r="G268" s="184">
        <f t="shared" si="124"/>
        <v>0</v>
      </c>
      <c r="H268" s="184">
        <f t="shared" si="124"/>
        <v>0</v>
      </c>
      <c r="I268" s="184">
        <f t="shared" si="124"/>
        <v>0</v>
      </c>
      <c r="J268" s="284"/>
      <c r="K268" s="284"/>
      <c r="L268" s="287">
        <f>SUM(L264:L267)</f>
        <v>0</v>
      </c>
      <c r="M268" s="287">
        <f t="shared" ref="M268" si="125">SUM(M264:M267)</f>
        <v>0</v>
      </c>
      <c r="N268" s="287">
        <f t="shared" ref="N268" si="126">SUM(N264:N267)</f>
        <v>0</v>
      </c>
      <c r="O268" s="287">
        <f t="shared" ref="O268" si="127">SUM(O264:O267)</f>
        <v>0</v>
      </c>
      <c r="P268" s="287">
        <f t="shared" ref="P268" si="128">SUM(P264:P267)</f>
        <v>0</v>
      </c>
      <c r="Q268" s="287">
        <f t="shared" ref="Q268" si="129">SUM(Q264:Q267)</f>
        <v>0</v>
      </c>
      <c r="V268" s="132"/>
    </row>
    <row r="269" spans="1:40">
      <c r="A269" s="284"/>
      <c r="B269" s="289"/>
      <c r="C269" s="252"/>
      <c r="D269" s="280" t="s">
        <v>819</v>
      </c>
      <c r="E269" s="184">
        <f>E268-$D$268</f>
        <v>0</v>
      </c>
      <c r="F269" s="184">
        <f>F268-$D$268</f>
        <v>0</v>
      </c>
      <c r="G269" s="184">
        <f>G268-$D$268</f>
        <v>0</v>
      </c>
      <c r="H269" s="184">
        <f>H268-$D$268</f>
        <v>0</v>
      </c>
      <c r="I269" s="184">
        <f>I268-$D$268</f>
        <v>0</v>
      </c>
      <c r="J269" s="284"/>
      <c r="K269" s="284"/>
      <c r="L269" s="506"/>
      <c r="M269" s="287">
        <f>M268-$L$268</f>
        <v>0</v>
      </c>
      <c r="N269" s="287">
        <f t="shared" ref="N269:Q269" si="130">N268-$L$268</f>
        <v>0</v>
      </c>
      <c r="O269" s="287">
        <f t="shared" si="130"/>
        <v>0</v>
      </c>
      <c r="P269" s="287">
        <f t="shared" si="130"/>
        <v>0</v>
      </c>
      <c r="Q269" s="287">
        <f t="shared" si="130"/>
        <v>0</v>
      </c>
      <c r="V269" s="132"/>
    </row>
    <row r="270" spans="1:40">
      <c r="A270" s="284"/>
      <c r="B270" s="284"/>
      <c r="C270" s="218"/>
      <c r="D270" s="284"/>
      <c r="E270" s="284"/>
      <c r="F270" s="284"/>
      <c r="G270" s="284"/>
      <c r="H270" s="284"/>
      <c r="I270" s="218"/>
      <c r="J270" s="218"/>
      <c r="K270" s="218"/>
      <c r="L270" s="218"/>
      <c r="M270" s="218"/>
      <c r="N270" s="218"/>
      <c r="O270" s="218"/>
      <c r="P270" s="218"/>
      <c r="Q270" s="218"/>
      <c r="V270" s="132"/>
    </row>
    <row r="271" spans="1:40">
      <c r="A271" s="285"/>
      <c r="B271" s="305" t="s">
        <v>724</v>
      </c>
      <c r="C271" s="295"/>
      <c r="D271" s="296"/>
      <c r="E271" s="297"/>
      <c r="F271" s="298"/>
      <c r="G271" s="298"/>
      <c r="H271" s="298"/>
      <c r="I271" s="399"/>
      <c r="J271" s="404"/>
      <c r="K271" s="285"/>
      <c r="L271" s="285"/>
      <c r="M271" s="285"/>
      <c r="N271" s="285"/>
      <c r="O271" s="285"/>
      <c r="P271" s="285"/>
      <c r="Q271" s="285"/>
      <c r="R271" s="132"/>
      <c r="S271" s="132"/>
      <c r="T271" s="132"/>
      <c r="U271" s="132"/>
      <c r="V271" s="132"/>
      <c r="W271" s="132"/>
      <c r="X271" s="132"/>
      <c r="Y271" s="132"/>
      <c r="Z271" s="132"/>
      <c r="AJ271" s="281"/>
      <c r="AK271" s="281"/>
      <c r="AL271" s="281"/>
      <c r="AM271" s="281"/>
      <c r="AN271" s="281"/>
    </row>
    <row r="272" spans="1:40">
      <c r="A272" s="285"/>
      <c r="B272" s="374" t="s">
        <v>844</v>
      </c>
      <c r="C272" s="375"/>
      <c r="D272" s="375"/>
      <c r="E272" s="375"/>
      <c r="F272" s="375"/>
      <c r="G272" s="375"/>
      <c r="H272" s="375"/>
      <c r="I272" s="219"/>
      <c r="J272" s="402"/>
      <c r="K272" s="402"/>
      <c r="L272" s="403"/>
      <c r="M272" s="403"/>
      <c r="N272" s="403"/>
      <c r="O272" s="403"/>
      <c r="P272" s="403"/>
      <c r="Q272" s="403"/>
      <c r="R272" s="132"/>
      <c r="S272" s="132"/>
      <c r="T272" s="132"/>
      <c r="U272" s="132"/>
      <c r="V272" s="132"/>
      <c r="W272" s="132"/>
      <c r="X272" s="132"/>
      <c r="Y272" s="132"/>
      <c r="Z272" s="132"/>
      <c r="AJ272" s="281"/>
      <c r="AK272" s="281"/>
      <c r="AL272" s="281"/>
      <c r="AM272" s="281"/>
      <c r="AN272" s="281"/>
    </row>
    <row r="273" spans="1:40" ht="45">
      <c r="A273" s="285"/>
      <c r="B273" s="274" t="s">
        <v>757</v>
      </c>
      <c r="C273" s="207"/>
      <c r="D273" s="392" t="s">
        <v>825</v>
      </c>
      <c r="E273" s="251" t="s">
        <v>674</v>
      </c>
      <c r="F273" s="251" t="s">
        <v>675</v>
      </c>
      <c r="G273" s="164" t="s">
        <v>792</v>
      </c>
      <c r="H273" s="164" t="s">
        <v>793</v>
      </c>
      <c r="I273" s="251" t="s">
        <v>794</v>
      </c>
      <c r="J273" s="285"/>
      <c r="K273" s="515" t="s">
        <v>845</v>
      </c>
      <c r="L273" s="392" t="s">
        <v>825</v>
      </c>
      <c r="M273" s="251" t="s">
        <v>674</v>
      </c>
      <c r="N273" s="251" t="s">
        <v>675</v>
      </c>
      <c r="O273" s="164" t="s">
        <v>792</v>
      </c>
      <c r="P273" s="164" t="s">
        <v>793</v>
      </c>
      <c r="Q273" s="251" t="s">
        <v>794</v>
      </c>
      <c r="R273" s="132"/>
      <c r="S273" s="132"/>
      <c r="T273" s="132"/>
      <c r="U273" s="132"/>
      <c r="V273" s="132"/>
      <c r="W273" s="132"/>
      <c r="X273" s="132"/>
      <c r="Y273" s="132"/>
      <c r="Z273" s="132"/>
      <c r="AJ273" s="281"/>
      <c r="AK273" s="281"/>
      <c r="AL273" s="281"/>
      <c r="AM273" s="281"/>
      <c r="AN273" s="281"/>
    </row>
    <row r="274" spans="1:40">
      <c r="A274" s="285"/>
      <c r="B274" s="770" t="s">
        <v>973</v>
      </c>
      <c r="C274" s="768"/>
      <c r="D274" s="774">
        <f>('Unit costs'!$D89*('Financial impact (cash)'!D$13+'Financial impact (cash)'!D$14))+('Unit costs'!$E89*'Financial impact (cash)'!D$15)+('Unit costs'!$F89*'Financial impact (cash)'!D$16)+('Unit costs'!$G89*'Financial impact (cash)'!D$17)</f>
        <v>4.9916617352357679</v>
      </c>
      <c r="E274" s="774">
        <f>('Unit costs'!$D89*('Financial impact (cash)'!E$13+'Financial impact (cash)'!E$14))+('Unit costs'!$E89*'Financial impact (cash)'!E$15)+('Unit costs'!$F89*'Financial impact (cash)'!E$16)+('Unit costs'!$G89*'Financial impact (cash)'!E$17)</f>
        <v>3.3798867274654421</v>
      </c>
      <c r="F274" s="774">
        <f>('Unit costs'!$D89*('Financial impact (cash)'!F$13+'Financial impact (cash)'!F$14))+('Unit costs'!$E89*'Financial impact (cash)'!F$15)+('Unit costs'!$F89*'Financial impact (cash)'!F$16)+('Unit costs'!$G89*'Financial impact (cash)'!F$17)</f>
        <v>1.9073079800329329</v>
      </c>
      <c r="G274" s="774">
        <f>('Unit costs'!$D89*('Financial impact (cash)'!G$13+'Financial impact (cash)'!G$14))+('Unit costs'!$E89*'Financial impact (cash)'!G$15)+('Unit costs'!$F89*'Financial impact (cash)'!G$16)+('Unit costs'!$G89*'Financial impact (cash)'!G$17)</f>
        <v>1.9274248737624966</v>
      </c>
      <c r="H274" s="774">
        <f>('Unit costs'!$D89*('Financial impact (cash)'!H$13+'Financial impact (cash)'!H$14))+('Unit costs'!$E89*'Financial impact (cash)'!H$15)+('Unit costs'!$F89*'Financial impact (cash)'!H$16)+('Unit costs'!$G89*'Financial impact (cash)'!H$17)</f>
        <v>1.9460087332965019</v>
      </c>
      <c r="I274" s="774">
        <f>('Unit costs'!$D89*('Financial impact (cash)'!I$13+'Financial impact (cash)'!I$14))+('Unit costs'!$E89*'Financial impact (cash)'!I$15)+('Unit costs'!$F89*'Financial impact (cash)'!I$16)+('Unit costs'!$G89*'Financial impact (cash)'!I$17)</f>
        <v>1.9647717748260707</v>
      </c>
      <c r="J274" s="285"/>
      <c r="K274" s="771">
        <f>'Unit costs'!O89</f>
        <v>2725.8240000000005</v>
      </c>
      <c r="L274" s="769">
        <f t="shared" ref="L274:L278" si="131">(D274*$K274)/1000</f>
        <v>13.606391357787304</v>
      </c>
      <c r="M274" s="769">
        <f t="shared" ref="M274:M294" si="132">(E274*$K274)/1000</f>
        <v>9.2129763590067633</v>
      </c>
      <c r="N274" s="769">
        <f t="shared" ref="N274:N294" si="133">(F274*$K274)/1000</f>
        <v>5.1989858673652911</v>
      </c>
      <c r="O274" s="769">
        <f t="shared" ref="O274:O294" si="134">(G274*$K274)/1000</f>
        <v>5.2538209790987844</v>
      </c>
      <c r="P274" s="769">
        <f t="shared" ref="P274:P294" si="135">(H274*$K274)/1000</f>
        <v>5.3044773094292053</v>
      </c>
      <c r="Q274" s="769">
        <f t="shared" ref="Q274:Q294" si="136">(I274*$K274)/1000</f>
        <v>5.355622058343501</v>
      </c>
      <c r="R274" s="132"/>
      <c r="S274" s="132"/>
      <c r="T274" s="132"/>
      <c r="U274" s="132"/>
      <c r="V274" s="132"/>
      <c r="W274" s="132"/>
      <c r="X274" s="132"/>
      <c r="Y274" s="132"/>
      <c r="Z274" s="132"/>
      <c r="AJ274" s="281"/>
      <c r="AK274" s="281"/>
      <c r="AL274" s="281"/>
      <c r="AM274" s="281"/>
      <c r="AN274" s="281"/>
    </row>
    <row r="275" spans="1:40">
      <c r="A275" s="285"/>
      <c r="B275" s="770" t="s">
        <v>974</v>
      </c>
      <c r="C275" s="768"/>
      <c r="D275" s="774">
        <f>('Unit costs'!$D90*('Financial impact (cash)'!D$13+'Financial impact (cash)'!D$14))+('Unit costs'!$E90*'Financial impact (cash)'!D$15)+('Unit costs'!$F90*'Financial impact (cash)'!D$16)+('Unit costs'!$G90*'Financial impact (cash)'!D$17)</f>
        <v>2.9144563283714717</v>
      </c>
      <c r="E275" s="774">
        <f>('Unit costs'!$D90*('Financial impact (cash)'!E$13+'Financial impact (cash)'!E$14))+('Unit costs'!$E90*'Financial impact (cash)'!E$15)+('Unit costs'!$F90*'Financial impact (cash)'!E$16)+('Unit costs'!$G90*'Financial impact (cash)'!E$17)</f>
        <v>1.4706066514665839</v>
      </c>
      <c r="F275" s="774">
        <f>('Unit costs'!$D90*('Financial impact (cash)'!F$13+'Financial impact (cash)'!F$14))+('Unit costs'!$E90*'Financial impact (cash)'!F$15)+('Unit costs'!$F90*'Financial impact (cash)'!F$16)+('Unit costs'!$G90*'Financial impact (cash)'!F$17)</f>
        <v>0.14854642613824379</v>
      </c>
      <c r="G275" s="774">
        <f>('Unit costs'!$D90*('Financial impact (cash)'!G$13+'Financial impact (cash)'!G$14))+('Unit costs'!$E90*'Financial impact (cash)'!G$15)+('Unit costs'!$F90*'Financial impact (cash)'!G$16)+('Unit costs'!$G90*'Financial impact (cash)'!G$17)</f>
        <v>0.15573534021742783</v>
      </c>
      <c r="H275" s="774">
        <f>('Unit costs'!$D90*('Financial impact (cash)'!H$13+'Financial impact (cash)'!H$14))+('Unit costs'!$E90*'Financial impact (cash)'!H$15)+('Unit costs'!$F90*'Financial impact (cash)'!H$16)+('Unit costs'!$G90*'Financial impact (cash)'!H$17)</f>
        <v>0.15723691038313373</v>
      </c>
      <c r="I275" s="774">
        <f>('Unit costs'!$D90*('Financial impact (cash)'!I$13+'Financial impact (cash)'!I$14))+('Unit costs'!$E90*'Financial impact (cash)'!I$15)+('Unit costs'!$F90*'Financial impact (cash)'!I$16)+('Unit costs'!$G90*'Financial impact (cash)'!I$17)</f>
        <v>0.15875295839927095</v>
      </c>
      <c r="J275" s="285"/>
      <c r="K275" s="771">
        <f>'Unit costs'!O90</f>
        <v>1317.4981128462559</v>
      </c>
      <c r="L275" s="769">
        <f t="shared" si="131"/>
        <v>3.8397907126022419</v>
      </c>
      <c r="M275" s="769">
        <f t="shared" si="132"/>
        <v>1.9375214880463758</v>
      </c>
      <c r="N275" s="769">
        <f t="shared" si="133"/>
        <v>0.19570963610719191</v>
      </c>
      <c r="O275" s="769">
        <f t="shared" si="134"/>
        <v>0.20518101683993079</v>
      </c>
      <c r="P275" s="769">
        <f t="shared" si="135"/>
        <v>0.20715933269955453</v>
      </c>
      <c r="Q275" s="769">
        <f t="shared" si="136"/>
        <v>0.20915672309979966</v>
      </c>
      <c r="R275" s="132"/>
      <c r="S275" s="132"/>
      <c r="T275" s="132"/>
      <c r="U275" s="132"/>
      <c r="V275" s="132"/>
      <c r="W275" s="132"/>
      <c r="X275" s="132"/>
      <c r="Y275" s="132"/>
      <c r="Z275" s="132"/>
      <c r="AJ275" s="281"/>
      <c r="AK275" s="281"/>
      <c r="AL275" s="281"/>
      <c r="AM275" s="281"/>
      <c r="AN275" s="281"/>
    </row>
    <row r="276" spans="1:40">
      <c r="A276" s="285"/>
      <c r="B276" s="770" t="s">
        <v>975</v>
      </c>
      <c r="C276" s="768"/>
      <c r="D276" s="774">
        <f>('Unit costs'!$D91*('Financial impact (cash)'!D$13+'Financial impact (cash)'!D$14))+('Unit costs'!$E91*'Financial impact (cash)'!D$15)+('Unit costs'!$F91*'Financial impact (cash)'!D$16)+('Unit costs'!$G91*'Financial impact (cash)'!D$17)</f>
        <v>4.9159213772756232</v>
      </c>
      <c r="E276" s="774">
        <f>('Unit costs'!$D91*('Financial impact (cash)'!E$13+'Financial impact (cash)'!E$14))+('Unit costs'!$E91*'Financial impact (cash)'!E$15)+('Unit costs'!$F91*'Financial impact (cash)'!E$16)+('Unit costs'!$G91*'Financial impact (cash)'!E$17)</f>
        <v>3.3349331504185673</v>
      </c>
      <c r="F276" s="774">
        <f>('Unit costs'!$D91*('Financial impact (cash)'!F$13+'Financial impact (cash)'!F$14))+('Unit costs'!$E91*'Financial impact (cash)'!F$15)+('Unit costs'!$F91*'Financial impact (cash)'!F$16)+('Unit costs'!$G91*'Financial impact (cash)'!F$17)</f>
        <v>1.9034475826820152</v>
      </c>
      <c r="G276" s="774">
        <f>('Unit costs'!$D91*('Financial impact (cash)'!G$13+'Financial impact (cash)'!G$14))+('Unit costs'!$E91*'Financial impact (cash)'!G$15)+('Unit costs'!$F91*'Financial impact (cash)'!G$16)+('Unit costs'!$G91*'Financial impact (cash)'!G$17)</f>
        <v>1.9245346703603956</v>
      </c>
      <c r="H276" s="774">
        <f>('Unit costs'!$D91*('Financial impact (cash)'!H$13+'Financial impact (cash)'!H$14))+('Unit costs'!$E91*'Financial impact (cash)'!H$15)+('Unit costs'!$F91*'Financial impact (cash)'!H$16)+('Unit costs'!$G91*'Financial impact (cash)'!H$17)</f>
        <v>1.9430906631096663</v>
      </c>
      <c r="I276" s="774">
        <f>('Unit costs'!$D91*('Financial impact (cash)'!I$13+'Financial impact (cash)'!I$14))+('Unit costs'!$E91*'Financial impact (cash)'!I$15)+('Unit costs'!$F91*'Financial impact (cash)'!I$16)+('Unit costs'!$G91*'Financial impact (cash)'!I$17)</f>
        <v>1.9618255691683271</v>
      </c>
      <c r="J276" s="285"/>
      <c r="K276" s="771">
        <f>'Unit costs'!O91</f>
        <v>1840.393101011992</v>
      </c>
      <c r="L276" s="769">
        <f t="shared" si="131"/>
        <v>9.0472277878554266</v>
      </c>
      <c r="M276" s="769">
        <f t="shared" si="132"/>
        <v>6.1375879623665188</v>
      </c>
      <c r="N276" s="769">
        <f t="shared" si="133"/>
        <v>3.5030917993059338</v>
      </c>
      <c r="O276" s="769">
        <f t="shared" si="134"/>
        <v>3.5419003299896605</v>
      </c>
      <c r="P276" s="769">
        <f t="shared" si="135"/>
        <v>3.5760506510278462</v>
      </c>
      <c r="Q276" s="769">
        <f t="shared" si="136"/>
        <v>3.610530242886314</v>
      </c>
      <c r="R276" s="132"/>
      <c r="S276" s="132"/>
      <c r="T276" s="132"/>
      <c r="U276" s="132"/>
      <c r="V276" s="132"/>
      <c r="W276" s="132"/>
      <c r="X276" s="132"/>
      <c r="Y276" s="132"/>
      <c r="Z276" s="132"/>
      <c r="AJ276" s="281"/>
      <c r="AK276" s="281"/>
      <c r="AL276" s="281"/>
      <c r="AM276" s="281"/>
      <c r="AN276" s="281"/>
    </row>
    <row r="277" spans="1:40">
      <c r="A277" s="285"/>
      <c r="B277" s="770" t="s">
        <v>976</v>
      </c>
      <c r="C277" s="768"/>
      <c r="D277" s="774">
        <f>('Unit costs'!$D92*('Financial impact (cash)'!D$13+'Financial impact (cash)'!D$14))+('Unit costs'!$E92*'Financial impact (cash)'!D$15)+('Unit costs'!$F92*'Financial impact (cash)'!D$16)+('Unit costs'!$G92*'Financial impact (cash)'!D$17)</f>
        <v>0</v>
      </c>
      <c r="E277" s="774">
        <f>('Unit costs'!$D92*('Financial impact (cash)'!E$13+'Financial impact (cash)'!E$14))+('Unit costs'!$E92*'Financial impact (cash)'!E$15)+('Unit costs'!$F92*'Financial impact (cash)'!E$16)+('Unit costs'!$G92*'Financial impact (cash)'!E$17)</f>
        <v>0.63563147760971372</v>
      </c>
      <c r="F277" s="774">
        <f>('Unit costs'!$D92*('Financial impact (cash)'!F$13+'Financial impact (cash)'!F$14))+('Unit costs'!$E92*'Financial impact (cash)'!F$15)+('Unit costs'!$F92*'Financial impact (cash)'!F$16)+('Unit costs'!$G92*'Financial impact (cash)'!F$17)</f>
        <v>1.2193442164761945</v>
      </c>
      <c r="G277" s="774">
        <f>('Unit costs'!$D92*('Financial impact (cash)'!G$13+'Financial impact (cash)'!G$14))+('Unit costs'!$E92*'Financial impact (cash)'!G$15)+('Unit costs'!$F92*'Financial impact (cash)'!G$16)+('Unit costs'!$G92*'Financial impact (cash)'!G$17)</f>
        <v>1.2311008986437131</v>
      </c>
      <c r="H277" s="774">
        <f>('Unit costs'!$D92*('Financial impact (cash)'!H$13+'Financial impact (cash)'!H$14))+('Unit costs'!$E92*'Financial impact (cash)'!H$15)+('Unit costs'!$F92*'Financial impact (cash)'!H$16)+('Unit costs'!$G92*'Financial impact (cash)'!H$17)</f>
        <v>1.2429709364771055</v>
      </c>
      <c r="I277" s="774">
        <f>('Unit costs'!$D92*('Financial impact (cash)'!I$13+'Financial impact (cash)'!I$14))+('Unit costs'!$E92*'Financial impact (cash)'!I$15)+('Unit costs'!$F92*'Financial impact (cash)'!I$16)+('Unit costs'!$G92*'Financial impact (cash)'!I$17)</f>
        <v>1.2549554229298772</v>
      </c>
      <c r="J277" s="285"/>
      <c r="K277" s="771">
        <f>'Unit costs'!O92</f>
        <v>1319.2886938032641</v>
      </c>
      <c r="L277" s="769">
        <f t="shared" si="131"/>
        <v>0</v>
      </c>
      <c r="M277" s="769">
        <f t="shared" si="132"/>
        <v>0.83858142183595796</v>
      </c>
      <c r="N277" s="769">
        <f t="shared" si="133"/>
        <v>1.6086670386514432</v>
      </c>
      <c r="O277" s="769">
        <f t="shared" si="134"/>
        <v>1.6241774965116889</v>
      </c>
      <c r="P277" s="769">
        <f t="shared" si="135"/>
        <v>1.6398375032203005</v>
      </c>
      <c r="Q277" s="769">
        <f t="shared" si="136"/>
        <v>1.6556485006984807</v>
      </c>
      <c r="R277" s="132"/>
      <c r="S277" s="132"/>
      <c r="T277" s="132"/>
      <c r="U277" s="132"/>
      <c r="V277" s="132"/>
      <c r="W277" s="132"/>
      <c r="X277" s="132"/>
      <c r="Y277" s="132"/>
      <c r="Z277" s="132"/>
      <c r="AJ277" s="281"/>
      <c r="AK277" s="281"/>
      <c r="AL277" s="281"/>
      <c r="AM277" s="281"/>
      <c r="AN277" s="281"/>
    </row>
    <row r="278" spans="1:40">
      <c r="A278" s="285"/>
      <c r="B278" s="770" t="s">
        <v>977</v>
      </c>
      <c r="C278" s="768"/>
      <c r="D278" s="774">
        <f>('Unit costs'!$D93*('Financial impact (cash)'!D$13+'Financial impact (cash)'!D$14))+('Unit costs'!$E93*'Financial impact (cash)'!D$15)+('Unit costs'!$F93*'Financial impact (cash)'!D$16)+('Unit costs'!$G93*'Financial impact (cash)'!D$17)</f>
        <v>2.8699072282618152</v>
      </c>
      <c r="E278" s="774">
        <f>('Unit costs'!$D93*('Financial impact (cash)'!E$13+'Financial impact (cash)'!E$14))+('Unit costs'!$E93*'Financial impact (cash)'!E$15)+('Unit costs'!$F93*'Financial impact (cash)'!E$16)+('Unit costs'!$G93*'Financial impact (cash)'!E$17)</f>
        <v>1.446475092888404</v>
      </c>
      <c r="F278" s="774">
        <f>('Unit costs'!$D93*('Financial impact (cash)'!F$13+'Financial impact (cash)'!F$14))+('Unit costs'!$E93*'Financial impact (cash)'!F$15)+('Unit costs'!$F93*'Financial impact (cash)'!F$16)+('Unit costs'!$G93*'Financial impact (cash)'!F$17)</f>
        <v>0.146275810674034</v>
      </c>
      <c r="G278" s="774">
        <f>('Unit costs'!$D93*('Financial impact (cash)'!G$13+'Financial impact (cash)'!G$14))+('Unit costs'!$E93*'Financial impact (cash)'!G$15)+('Unit costs'!$F93*'Financial impact (cash)'!G$16)+('Unit costs'!$G93*'Financial impact (cash)'!G$17)</f>
        <v>0.14941403478756032</v>
      </c>
      <c r="H278" s="774">
        <f>('Unit costs'!$D93*('Financial impact (cash)'!H$13+'Financial impact (cash)'!H$14))+('Unit costs'!$E93*'Financial impact (cash)'!H$15)+('Unit costs'!$F93*'Financial impact (cash)'!H$16)+('Unit costs'!$G93*'Financial impact (cash)'!H$17)</f>
        <v>0.15085465614339072</v>
      </c>
      <c r="I278" s="774">
        <f>('Unit costs'!$D93*('Financial impact (cash)'!I$13+'Financial impact (cash)'!I$14))+('Unit costs'!$E93*'Financial impact (cash)'!I$15)+('Unit costs'!$F93*'Financial impact (cash)'!I$16)+('Unit costs'!$G93*'Financial impact (cash)'!I$17)</f>
        <v>0.15230916769296249</v>
      </c>
      <c r="J278" s="285"/>
      <c r="K278" s="771">
        <f>'Unit costs'!O93</f>
        <v>2434.3603829663439</v>
      </c>
      <c r="L278" s="769">
        <f t="shared" si="131"/>
        <v>6.9863884592693113</v>
      </c>
      <c r="M278" s="769">
        <f t="shared" si="132"/>
        <v>3.5212416610750927</v>
      </c>
      <c r="N278" s="769">
        <f t="shared" si="133"/>
        <v>0.35608803849115384</v>
      </c>
      <c r="O278" s="769">
        <f t="shared" si="134"/>
        <v>0.36372760694599199</v>
      </c>
      <c r="P278" s="769">
        <f t="shared" si="135"/>
        <v>0.36723459850148077</v>
      </c>
      <c r="Q278" s="769">
        <f t="shared" si="136"/>
        <v>0.37077540379432528</v>
      </c>
      <c r="R278" s="132"/>
      <c r="S278" s="132"/>
      <c r="T278" s="132"/>
      <c r="U278" s="132"/>
      <c r="V278" s="132"/>
      <c r="W278" s="132"/>
      <c r="X278" s="132"/>
      <c r="Y278" s="132"/>
      <c r="Z278" s="132"/>
      <c r="AJ278" s="281"/>
      <c r="AK278" s="281"/>
      <c r="AL278" s="281"/>
      <c r="AM278" s="281"/>
      <c r="AN278" s="281"/>
    </row>
    <row r="279" spans="1:40">
      <c r="A279" s="285"/>
      <c r="B279" s="770" t="s">
        <v>978</v>
      </c>
      <c r="C279" s="768"/>
      <c r="D279" s="774">
        <f>('Unit costs'!$D94*('Financial impact (cash)'!D$13+'Financial impact (cash)'!D$14))+('Unit costs'!$E94*'Financial impact (cash)'!D$15)+('Unit costs'!$F94*'Financial impact (cash)'!D$16)+('Unit costs'!$G94*'Financial impact (cash)'!D$17)</f>
        <v>0.66838276367077565</v>
      </c>
      <c r="E279" s="774">
        <f>('Unit costs'!$D94*('Financial impact (cash)'!E$13+'Financial impact (cash)'!E$14))+('Unit costs'!$E94*'Financial impact (cash)'!E$15)+('Unit costs'!$F94*'Financial impact (cash)'!E$16)+('Unit costs'!$G94*'Financial impact (cash)'!E$17)</f>
        <v>0.54929074999838678</v>
      </c>
      <c r="F279" s="774">
        <f>('Unit costs'!$D94*('Financial impact (cash)'!F$13+'Financial impact (cash)'!F$14))+('Unit costs'!$E94*'Financial impact (cash)'!F$15)+('Unit costs'!$F94*'Financial impact (cash)'!F$16)+('Unit costs'!$G94*'Financial impact (cash)'!F$17)</f>
        <v>0.4405147589260624</v>
      </c>
      <c r="G279" s="774">
        <f>('Unit costs'!$D94*('Financial impact (cash)'!G$13+'Financial impact (cash)'!G$14))+('Unit costs'!$E94*'Financial impact (cash)'!G$15)+('Unit costs'!$F94*'Financial impact (cash)'!G$16)+('Unit costs'!$G94*'Financial impact (cash)'!G$17)</f>
        <v>0.44505108725855436</v>
      </c>
      <c r="H279" s="774">
        <f>('Unit costs'!$D94*('Financial impact (cash)'!H$13+'Financial impact (cash)'!H$14))+('Unit costs'!$E94*'Financial impact (cash)'!H$15)+('Unit costs'!$F94*'Financial impact (cash)'!H$16)+('Unit costs'!$G94*'Financial impact (cash)'!H$17)</f>
        <v>0.44934218415351362</v>
      </c>
      <c r="I279" s="774">
        <f>('Unit costs'!$D94*('Financial impact (cash)'!I$13+'Financial impact (cash)'!I$14))+('Unit costs'!$E94*'Financial impact (cash)'!I$15)+('Unit costs'!$F94*'Financial impact (cash)'!I$16)+('Unit costs'!$G94*'Financial impact (cash)'!I$17)</f>
        <v>0.45367465497854303</v>
      </c>
      <c r="J279" s="285"/>
      <c r="K279" s="771">
        <f>'Unit costs'!O94</f>
        <v>1431.20430350376</v>
      </c>
      <c r="L279" s="769">
        <f>(D279*$K279)/1000</f>
        <v>0.9565922877533507</v>
      </c>
      <c r="M279" s="769">
        <f t="shared" si="132"/>
        <v>0.78614728527249922</v>
      </c>
      <c r="N279" s="769">
        <f t="shared" si="133"/>
        <v>0.63046661873190191</v>
      </c>
      <c r="O279" s="769">
        <f t="shared" si="134"/>
        <v>0.63695903136347043</v>
      </c>
      <c r="P279" s="769">
        <f t="shared" si="135"/>
        <v>0.6431004677062877</v>
      </c>
      <c r="Q279" s="769">
        <f t="shared" si="136"/>
        <v>0.64930111859587425</v>
      </c>
      <c r="R279" s="132"/>
      <c r="S279" s="132"/>
      <c r="T279" s="132"/>
      <c r="U279" s="132"/>
      <c r="V279" s="132"/>
      <c r="W279" s="132"/>
      <c r="X279" s="132"/>
      <c r="Y279" s="132"/>
      <c r="Z279" s="132"/>
      <c r="AJ279" s="281"/>
      <c r="AK279" s="281"/>
      <c r="AL279" s="281"/>
      <c r="AM279" s="281"/>
      <c r="AN279" s="281"/>
    </row>
    <row r="280" spans="1:40">
      <c r="A280" s="285"/>
      <c r="B280" s="770" t="s">
        <v>979</v>
      </c>
      <c r="C280" s="167"/>
      <c r="D280" s="774">
        <f>('Unit costs'!$D95*('Financial impact (cash)'!D$13+'Financial impact (cash)'!D$14))+('Unit costs'!$E95*'Financial impact (cash)'!D$15)+('Unit costs'!$F95*'Financial impact (cash)'!D$16)+('Unit costs'!$G95*'Financial impact (cash)'!D$17)</f>
        <v>0.66276736572072226</v>
      </c>
      <c r="E280" s="774">
        <f>('Unit costs'!$D95*('Financial impact (cash)'!E$13+'Financial impact (cash)'!E$14))+('Unit costs'!$E95*'Financial impact (cash)'!E$15)+('Unit costs'!$F95*'Financial impact (cash)'!E$16)+('Unit costs'!$G95*'Financial impact (cash)'!E$17)</f>
        <v>0.3345788205271884</v>
      </c>
      <c r="F280" s="774">
        <f>('Unit costs'!$D95*('Financial impact (cash)'!F$13+'Financial impact (cash)'!F$14))+('Unit costs'!$E95*'Financial impact (cash)'!F$15)+('Unit costs'!$F95*'Financial impact (cash)'!F$16)+('Unit costs'!$G95*'Financial impact (cash)'!F$17)</f>
        <v>3.3780476509622001E-2</v>
      </c>
      <c r="G280" s="774">
        <f>('Unit costs'!$D95*('Financial impact (cash)'!G$13+'Financial impact (cash)'!G$14))+('Unit costs'!$E95*'Financial impact (cash)'!G$15)+('Unit costs'!$F95*'Financial impact (cash)'!G$16)+('Unit costs'!$G95*'Financial impact (cash)'!G$17)</f>
        <v>3.4106181360167548E-2</v>
      </c>
      <c r="H280" s="774">
        <f>('Unit costs'!$D95*('Financial impact (cash)'!H$13+'Financial impact (cash)'!H$14))+('Unit costs'!$E95*'Financial impact (cash)'!H$15)+('Unit costs'!$F95*'Financial impact (cash)'!H$16)+('Unit costs'!$G95*'Financial impact (cash)'!H$17)</f>
        <v>3.4435026594172122E-2</v>
      </c>
      <c r="I280" s="774">
        <f>('Unit costs'!$D95*('Financial impact (cash)'!I$13+'Financial impact (cash)'!I$14))+('Unit costs'!$E95*'Financial impact (cash)'!I$15)+('Unit costs'!$F95*'Financial impact (cash)'!I$16)+('Unit costs'!$G95*'Financial impact (cash)'!I$17)</f>
        <v>3.4767042490608399E-2</v>
      </c>
      <c r="J280" s="285"/>
      <c r="K280" s="771">
        <f>'Unit costs'!O95</f>
        <v>400</v>
      </c>
      <c r="L280" s="769">
        <f t="shared" ref="L280:L294" si="137">(D280*$K280)/1000</f>
        <v>0.2651069462882889</v>
      </c>
      <c r="M280" s="769">
        <f t="shared" si="132"/>
        <v>0.13383152821087535</v>
      </c>
      <c r="N280" s="769">
        <f t="shared" si="133"/>
        <v>1.3512190603848801E-2</v>
      </c>
      <c r="O280" s="769">
        <f t="shared" si="134"/>
        <v>1.3642472544067018E-2</v>
      </c>
      <c r="P280" s="769">
        <f t="shared" si="135"/>
        <v>1.3774010637668848E-2</v>
      </c>
      <c r="Q280" s="769">
        <f t="shared" si="136"/>
        <v>1.3906816996243359E-2</v>
      </c>
      <c r="R280" s="132"/>
      <c r="S280" s="132"/>
      <c r="T280" s="132"/>
      <c r="U280" s="132"/>
      <c r="V280" s="132"/>
      <c r="W280" s="132"/>
      <c r="X280" s="132"/>
      <c r="Y280" s="132"/>
      <c r="Z280" s="132"/>
      <c r="AJ280" s="281"/>
      <c r="AK280" s="281"/>
      <c r="AL280" s="281"/>
      <c r="AM280" s="281"/>
      <c r="AN280" s="281"/>
    </row>
    <row r="281" spans="1:40">
      <c r="A281" s="285"/>
      <c r="B281" s="770" t="s">
        <v>980</v>
      </c>
      <c r="C281" s="167"/>
      <c r="D281" s="774">
        <f>('Unit costs'!$D96*('Financial impact (cash)'!D$13+'Financial impact (cash)'!D$14))+('Unit costs'!$E96*'Financial impact (cash)'!D$15)+('Unit costs'!$F96*'Financial impact (cash)'!D$16)+('Unit costs'!$G96*'Financial impact (cash)'!D$17)</f>
        <v>0.96136922208607589</v>
      </c>
      <c r="E281" s="774">
        <f>('Unit costs'!$D96*('Financial impact (cash)'!E$13+'Financial impact (cash)'!E$14))+('Unit costs'!$E96*'Financial impact (cash)'!E$15)+('Unit costs'!$F96*'Financial impact (cash)'!E$16)+('Unit costs'!$G96*'Financial impact (cash)'!E$17)</f>
        <v>0.48502119026891632</v>
      </c>
      <c r="F281" s="774">
        <f>('Unit costs'!$D96*('Financial impact (cash)'!F$13+'Financial impact (cash)'!F$14))+('Unit costs'!$E96*'Financial impact (cash)'!F$15)+('Unit costs'!$F96*'Financial impact (cash)'!F$16)+('Unit costs'!$G96*'Financial impact (cash)'!F$17)</f>
        <v>4.8999863456519119E-2</v>
      </c>
      <c r="G281" s="774">
        <f>('Unit costs'!$D96*('Financial impact (cash)'!G$13+'Financial impact (cash)'!G$14))+('Unit costs'!$E96*'Financial impact (cash)'!G$15)+('Unit costs'!$F96*'Financial impact (cash)'!G$16)+('Unit costs'!$G96*'Financial impact (cash)'!G$17)</f>
        <v>4.9472310705725685E-2</v>
      </c>
      <c r="H281" s="774">
        <f>('Unit costs'!$D96*('Financial impact (cash)'!H$13+'Financial impact (cash)'!H$14))+('Unit costs'!$E96*'Financial impact (cash)'!H$15)+('Unit costs'!$F96*'Financial impact (cash)'!H$16)+('Unit costs'!$G96*'Financial impact (cash)'!H$17)</f>
        <v>4.9949313200345957E-2</v>
      </c>
      <c r="I281" s="774">
        <f>('Unit costs'!$D96*('Financial impact (cash)'!I$13+'Financial impact (cash)'!I$14))+('Unit costs'!$E96*'Financial impact (cash)'!I$15)+('Unit costs'!$F96*'Financial impact (cash)'!I$16)+('Unit costs'!$G96*'Financial impact (cash)'!I$17)</f>
        <v>5.043091486117917E-2</v>
      </c>
      <c r="J281" s="285"/>
      <c r="K281" s="771">
        <f>'Unit costs'!O96</f>
        <v>1094.3304223852799</v>
      </c>
      <c r="L281" s="769">
        <f t="shared" si="137"/>
        <v>1.0520555868736634</v>
      </c>
      <c r="M281" s="769">
        <f t="shared" si="132"/>
        <v>0.53077344401279447</v>
      </c>
      <c r="N281" s="769">
        <f t="shared" si="133"/>
        <v>5.3622041273193609E-2</v>
      </c>
      <c r="O281" s="769">
        <f t="shared" si="134"/>
        <v>5.4139054670972589E-2</v>
      </c>
      <c r="P281" s="769">
        <f t="shared" si="135"/>
        <v>5.466105301238923E-2</v>
      </c>
      <c r="Q281" s="769">
        <f t="shared" si="136"/>
        <v>5.5188084361310286E-2</v>
      </c>
      <c r="R281" s="132"/>
      <c r="S281" s="132"/>
      <c r="T281" s="132"/>
      <c r="U281" s="132"/>
      <c r="V281" s="132"/>
      <c r="W281" s="132"/>
      <c r="X281" s="132"/>
      <c r="Y281" s="132"/>
      <c r="Z281" s="132"/>
      <c r="AJ281" s="281"/>
      <c r="AK281" s="281"/>
      <c r="AL281" s="281"/>
      <c r="AM281" s="281"/>
      <c r="AN281" s="281"/>
    </row>
    <row r="282" spans="1:40">
      <c r="A282" s="285"/>
      <c r="B282" s="770" t="s">
        <v>981</v>
      </c>
      <c r="C282" s="167"/>
      <c r="D282" s="774">
        <f>('Unit costs'!$D97*('Financial impact (cash)'!D$13+'Financial impact (cash)'!D$14))+('Unit costs'!$E97*'Financial impact (cash)'!D$15)+('Unit costs'!$F97*'Financial impact (cash)'!D$16)+('Unit costs'!$G97*'Financial impact (cash)'!D$17)</f>
        <v>1.8420627935193972</v>
      </c>
      <c r="E282" s="774">
        <f>('Unit costs'!$D97*('Financial impact (cash)'!E$13+'Financial impact (cash)'!E$14))+('Unit costs'!$E97*'Financial impact (cash)'!E$15)+('Unit costs'!$F97*'Financial impact (cash)'!E$16)+('Unit costs'!$G97*'Financial impact (cash)'!E$17)</f>
        <v>1.1406686933215604</v>
      </c>
      <c r="F282" s="774">
        <f>('Unit costs'!$D97*('Financial impact (cash)'!F$13+'Financial impact (cash)'!F$14))+('Unit costs'!$E97*'Financial impact (cash)'!F$15)+('Unit costs'!$F97*'Financial impact (cash)'!F$16)+('Unit costs'!$G97*'Financial impact (cash)'!F$17)</f>
        <v>0.50033585563169058</v>
      </c>
      <c r="G282" s="774">
        <f>('Unit costs'!$D97*('Financial impact (cash)'!G$13+'Financial impact (cash)'!G$14))+('Unit costs'!$E97*'Financial impact (cash)'!G$15)+('Unit costs'!$F97*'Financial impact (cash)'!G$16)+('Unit costs'!$G97*'Financial impact (cash)'!G$17)</f>
        <v>0.5057349582322721</v>
      </c>
      <c r="H282" s="774">
        <f>('Unit costs'!$D97*('Financial impact (cash)'!H$13+'Financial impact (cash)'!H$14))+('Unit costs'!$E97*'Financial impact (cash)'!H$15)+('Unit costs'!$F97*'Financial impact (cash)'!H$16)+('Unit costs'!$G97*'Financial impact (cash)'!H$17)</f>
        <v>0.51061115732732576</v>
      </c>
      <c r="I282" s="774">
        <f>('Unit costs'!$D97*('Financial impact (cash)'!I$13+'Financial impact (cash)'!I$14))+('Unit costs'!$E97*'Financial impact (cash)'!I$15)+('Unit costs'!$F97*'Financial impact (cash)'!I$16)+('Unit costs'!$G97*'Financial impact (cash)'!I$17)</f>
        <v>0.51553437179520978</v>
      </c>
      <c r="J282" s="285"/>
      <c r="K282" s="771">
        <f>'Unit costs'!O97</f>
        <v>2434.3603829663439</v>
      </c>
      <c r="L282" s="769">
        <f t="shared" si="137"/>
        <v>4.4842446874799329</v>
      </c>
      <c r="M282" s="769">
        <f t="shared" si="132"/>
        <v>2.7767986771119926</v>
      </c>
      <c r="N282" s="769">
        <f t="shared" si="133"/>
        <v>1.2179977851273556</v>
      </c>
      <c r="O282" s="769">
        <f t="shared" si="134"/>
        <v>1.2311411466017819</v>
      </c>
      <c r="P282" s="769">
        <f t="shared" si="135"/>
        <v>1.2430115724982367</v>
      </c>
      <c r="Q282" s="769">
        <f t="shared" si="136"/>
        <v>1.2549964507557003</v>
      </c>
      <c r="R282" s="132"/>
      <c r="S282" s="132"/>
      <c r="T282" s="132"/>
      <c r="U282" s="132"/>
      <c r="V282" s="132"/>
      <c r="W282" s="132"/>
      <c r="X282" s="132"/>
      <c r="Y282" s="132"/>
      <c r="Z282" s="132"/>
      <c r="AJ282" s="281"/>
      <c r="AK282" s="281"/>
      <c r="AL282" s="281"/>
      <c r="AM282" s="281"/>
      <c r="AN282" s="281"/>
    </row>
    <row r="283" spans="1:40">
      <c r="A283" s="285"/>
      <c r="B283" s="770" t="s">
        <v>982</v>
      </c>
      <c r="C283" s="167"/>
      <c r="D283" s="774">
        <f>('Unit costs'!$D98*('Financial impact (cash)'!D$13+'Financial impact (cash)'!D$14))+('Unit costs'!$E98*'Financial impact (cash)'!D$15)+('Unit costs'!$F98*'Financial impact (cash)'!D$16)+('Unit costs'!$G98*'Financial impact (cash)'!D$17)</f>
        <v>2.7961208349234819E-2</v>
      </c>
      <c r="E283" s="774">
        <f>('Unit costs'!$D98*('Financial impact (cash)'!E$13+'Financial impact (cash)'!E$14))+('Unit costs'!$E98*'Financial impact (cash)'!E$15)+('Unit costs'!$F98*'Financial impact (cash)'!E$16)+('Unit costs'!$G98*'Financial impact (cash)'!E$17)</f>
        <v>1.4115402468298472E-2</v>
      </c>
      <c r="F283" s="774">
        <f>('Unit costs'!$D98*('Financial impact (cash)'!F$13+'Financial impact (cash)'!F$14))+('Unit costs'!$E98*'Financial impact (cash)'!F$15)+('Unit costs'!$F98*'Financial impact (cash)'!F$16)+('Unit costs'!$G98*'Financial impact (cash)'!F$17)</f>
        <v>1.4251500461173671E-3</v>
      </c>
      <c r="G283" s="774">
        <f>('Unit costs'!$D98*('Financial impact (cash)'!G$13+'Financial impact (cash)'!G$14))+('Unit costs'!$E98*'Financial impact (cash)'!G$15)+('Unit costs'!$F98*'Financial impact (cash)'!G$16)+('Unit costs'!$G98*'Financial impact (cash)'!G$17)</f>
        <v>2.8777821369384807E-3</v>
      </c>
      <c r="H283" s="774">
        <f>('Unit costs'!$D98*('Financial impact (cash)'!H$13+'Financial impact (cash)'!H$14))+('Unit costs'!$E98*'Financial impact (cash)'!H$15)+('Unit costs'!$F98*'Financial impact (cash)'!H$16)+('Unit costs'!$G98*'Financial impact (cash)'!H$17)</f>
        <v>2.9055291582259753E-3</v>
      </c>
      <c r="I283" s="774">
        <f>('Unit costs'!$D98*('Financial impact (cash)'!I$13+'Financial impact (cash)'!I$14))+('Unit costs'!$E98*'Financial impact (cash)'!I$15)+('Unit costs'!$F98*'Financial impact (cash)'!I$16)+('Unit costs'!$G98*'Financial impact (cash)'!I$17)</f>
        <v>2.9335437109504212E-3</v>
      </c>
      <c r="J283" s="285"/>
      <c r="K283" s="771">
        <f>'Unit costs'!O98</f>
        <v>1317.4981128462559</v>
      </c>
      <c r="L283" s="769">
        <f t="shared" si="137"/>
        <v>3.6838839233017853E-2</v>
      </c>
      <c r="M283" s="769">
        <f t="shared" si="132"/>
        <v>1.8597016114048622E-2</v>
      </c>
      <c r="N283" s="769">
        <f t="shared" si="133"/>
        <v>1.8776324962823858E-3</v>
      </c>
      <c r="O283" s="769">
        <f t="shared" si="134"/>
        <v>3.7914725345991138E-3</v>
      </c>
      <c r="P283" s="769">
        <f t="shared" si="135"/>
        <v>3.8280291827824929E-3</v>
      </c>
      <c r="Q283" s="769">
        <f t="shared" si="136"/>
        <v>3.8649383031291828E-3</v>
      </c>
      <c r="R283" s="132"/>
      <c r="S283" s="132"/>
      <c r="T283" s="132"/>
      <c r="U283" s="132"/>
      <c r="V283" s="132"/>
      <c r="W283" s="132"/>
      <c r="X283" s="132"/>
      <c r="Y283" s="132"/>
      <c r="Z283" s="132"/>
      <c r="AJ283" s="281"/>
      <c r="AK283" s="281"/>
      <c r="AL283" s="281"/>
      <c r="AM283" s="281"/>
      <c r="AN283" s="281"/>
    </row>
    <row r="284" spans="1:40">
      <c r="A284" s="285"/>
      <c r="B284" s="770" t="s">
        <v>983</v>
      </c>
      <c r="C284" s="768"/>
      <c r="D284" s="774">
        <f>('Unit costs'!$D99*('Financial impact (cash)'!D$13+'Financial impact (cash)'!D$14))+('Unit costs'!$E99*'Financial impact (cash)'!D$15)+('Unit costs'!$F99*'Financial impact (cash)'!D$16)+('Unit costs'!$G99*'Financial impact (cash)'!D$17)</f>
        <v>0.66276736572072226</v>
      </c>
      <c r="E284" s="774">
        <f>('Unit costs'!$D99*('Financial impact (cash)'!E$13+'Financial impact (cash)'!E$14))+('Unit costs'!$E99*'Financial impact (cash)'!E$15)+('Unit costs'!$F99*'Financial impact (cash)'!E$16)+('Unit costs'!$G99*'Financial impact (cash)'!E$17)</f>
        <v>0.3345788205271884</v>
      </c>
      <c r="F284" s="774">
        <f>('Unit costs'!$D99*('Financial impact (cash)'!F$13+'Financial impact (cash)'!F$14))+('Unit costs'!$E99*'Financial impact (cash)'!F$15)+('Unit costs'!$F99*'Financial impact (cash)'!F$16)+('Unit costs'!$G99*'Financial impact (cash)'!F$17)</f>
        <v>3.3780476509622001E-2</v>
      </c>
      <c r="G284" s="774">
        <f>('Unit costs'!$D99*('Financial impact (cash)'!G$13+'Financial impact (cash)'!G$14))+('Unit costs'!$E99*'Financial impact (cash)'!G$15)+('Unit costs'!$F99*'Financial impact (cash)'!G$16)+('Unit costs'!$G99*'Financial impact (cash)'!G$17)</f>
        <v>3.4106181360167548E-2</v>
      </c>
      <c r="H284" s="774">
        <f>('Unit costs'!$D99*('Financial impact (cash)'!H$13+'Financial impact (cash)'!H$14))+('Unit costs'!$E99*'Financial impact (cash)'!H$15)+('Unit costs'!$F99*'Financial impact (cash)'!H$16)+('Unit costs'!$G99*'Financial impact (cash)'!H$17)</f>
        <v>3.4435026594172122E-2</v>
      </c>
      <c r="I284" s="774">
        <f>('Unit costs'!$D99*('Financial impact (cash)'!I$13+'Financial impact (cash)'!I$14))+('Unit costs'!$E99*'Financial impact (cash)'!I$15)+('Unit costs'!$F99*'Financial impact (cash)'!I$16)+('Unit costs'!$G99*'Financial impact (cash)'!I$17)</f>
        <v>3.4767042490608399E-2</v>
      </c>
      <c r="J284" s="285"/>
      <c r="K284" s="771">
        <f>'Unit costs'!O99</f>
        <v>1317.4981128462559</v>
      </c>
      <c r="L284" s="769">
        <f t="shared" si="137"/>
        <v>0.87319475359313592</v>
      </c>
      <c r="M284" s="769">
        <f t="shared" si="132"/>
        <v>0.44080696464289693</v>
      </c>
      <c r="N284" s="769">
        <f t="shared" si="133"/>
        <v>4.450571405247427E-2</v>
      </c>
      <c r="O284" s="769">
        <f t="shared" si="134"/>
        <v>4.4934829578412896E-2</v>
      </c>
      <c r="P284" s="769">
        <f t="shared" si="135"/>
        <v>4.5368082553632408E-2</v>
      </c>
      <c r="Q284" s="769">
        <f t="shared" si="136"/>
        <v>4.5805512870622157E-2</v>
      </c>
      <c r="R284" s="132"/>
      <c r="S284" s="132"/>
      <c r="T284" s="132"/>
      <c r="U284" s="132"/>
      <c r="V284" s="132"/>
      <c r="W284" s="132"/>
      <c r="X284" s="132"/>
      <c r="Y284" s="132"/>
      <c r="Z284" s="132"/>
      <c r="AJ284" s="281"/>
      <c r="AK284" s="281"/>
      <c r="AL284" s="281"/>
      <c r="AM284" s="281"/>
      <c r="AN284" s="281"/>
    </row>
    <row r="285" spans="1:40">
      <c r="A285" s="285"/>
      <c r="B285" s="770" t="s">
        <v>984</v>
      </c>
      <c r="C285" s="768"/>
      <c r="D285" s="774">
        <f>('Unit costs'!$D100*('Financial impact (cash)'!D$13+'Financial impact (cash)'!D$14))+('Unit costs'!$E100*'Financial impact (cash)'!D$15)+('Unit costs'!$F100*'Financial impact (cash)'!D$16)+('Unit costs'!$G100*'Financial impact (cash)'!D$17)</f>
        <v>2.7787536247686775E-3</v>
      </c>
      <c r="E285" s="774">
        <f>('Unit costs'!$D100*('Financial impact (cash)'!E$13+'Financial impact (cash)'!E$14))+('Unit costs'!$E100*'Financial impact (cash)'!E$15)+('Unit costs'!$F100*'Financial impact (cash)'!E$16)+('Unit costs'!$G100*'Financial impact (cash)'!E$17)</f>
        <v>0.2132799321193421</v>
      </c>
      <c r="F285" s="774">
        <f>('Unit costs'!$D100*('Financial impact (cash)'!F$13+'Financial impact (cash)'!F$14))+('Unit costs'!$E100*'Financial impact (cash)'!F$15)+('Unit costs'!$F100*'Financial impact (cash)'!F$16)+('Unit costs'!$G100*'Financial impact (cash)'!F$17)</f>
        <v>0.40658970197697919</v>
      </c>
      <c r="G285" s="774">
        <f>('Unit costs'!$D100*('Financial impact (cash)'!G$13+'Financial impact (cash)'!G$14))+('Unit costs'!$E100*'Financial impact (cash)'!G$15)+('Unit costs'!$F100*'Financial impact (cash)'!G$16)+('Unit costs'!$G100*'Financial impact (cash)'!G$17)</f>
        <v>0.41065295698594378</v>
      </c>
      <c r="H285" s="774">
        <f>('Unit costs'!$D100*('Financial impact (cash)'!H$13+'Financial impact (cash)'!H$14))+('Unit costs'!$E100*'Financial impact (cash)'!H$15)+('Unit costs'!$F100*'Financial impact (cash)'!H$16)+('Unit costs'!$G100*'Financial impact (cash)'!H$17)</f>
        <v>0.41461239373169534</v>
      </c>
      <c r="I285" s="774">
        <f>('Unit costs'!$D100*('Financial impact (cash)'!I$13+'Financial impact (cash)'!I$14))+('Unit costs'!$E100*'Financial impact (cash)'!I$15)+('Unit costs'!$F100*'Financial impact (cash)'!I$16)+('Unit costs'!$G100*'Financial impact (cash)'!I$17)</f>
        <v>0.41861000660421499</v>
      </c>
      <c r="J285" s="285"/>
      <c r="K285" s="771">
        <f>'Unit costs'!O100</f>
        <v>2434.3603829663439</v>
      </c>
      <c r="L285" s="769">
        <f t="shared" si="137"/>
        <v>6.7644877381609937E-3</v>
      </c>
      <c r="M285" s="769">
        <f t="shared" si="132"/>
        <v>0.51920021723307741</v>
      </c>
      <c r="N285" s="769">
        <f t="shared" si="133"/>
        <v>0.98978586261485069</v>
      </c>
      <c r="O285" s="769">
        <f t="shared" si="134"/>
        <v>0.99967728963456359</v>
      </c>
      <c r="P285" s="769">
        <f t="shared" si="135"/>
        <v>1.0093159855872824</v>
      </c>
      <c r="Q285" s="769">
        <f t="shared" si="136"/>
        <v>1.0190476159905806</v>
      </c>
      <c r="R285" s="132"/>
      <c r="S285" s="132"/>
      <c r="T285" s="132"/>
      <c r="U285" s="132"/>
      <c r="V285" s="132"/>
      <c r="W285" s="132"/>
      <c r="X285" s="132"/>
      <c r="Y285" s="132"/>
      <c r="Z285" s="132"/>
      <c r="AJ285" s="281"/>
      <c r="AK285" s="281"/>
      <c r="AL285" s="281"/>
      <c r="AM285" s="281"/>
      <c r="AN285" s="281"/>
    </row>
    <row r="286" spans="1:40">
      <c r="A286" s="285"/>
      <c r="B286" s="770" t="s">
        <v>985</v>
      </c>
      <c r="C286" s="768"/>
      <c r="D286" s="774">
        <f>('Unit costs'!$D101*('Financial impact (cash)'!D$13+'Financial impact (cash)'!D$14))+('Unit costs'!$E101*'Financial impact (cash)'!D$15)+('Unit costs'!$F101*'Financial impact (cash)'!D$16)+('Unit costs'!$G101*'Financial impact (cash)'!D$17)</f>
        <v>0.60782746782727215</v>
      </c>
      <c r="E286" s="774">
        <f>('Unit costs'!$D101*('Financial impact (cash)'!E$13+'Financial impact (cash)'!E$14))+('Unit costs'!$E101*'Financial impact (cash)'!E$15)+('Unit costs'!$F101*'Financial impact (cash)'!E$16)+('Unit costs'!$G101*'Financial impact (cash)'!E$17)</f>
        <v>0.3065459223770029</v>
      </c>
      <c r="F286" s="774">
        <f>('Unit costs'!$D101*('Financial impact (cash)'!F$13+'Financial impact (cash)'!F$14))+('Unit costs'!$E101*'Financial impact (cash)'!F$15)+('Unit costs'!$F101*'Financial impact (cash)'!F$16)+('Unit costs'!$G101*'Financial impact (cash)'!F$17)</f>
        <v>3.0980254250319084E-2</v>
      </c>
      <c r="G286" s="774">
        <f>('Unit costs'!$D101*('Financial impact (cash)'!G$13+'Financial impact (cash)'!G$14))+('Unit costs'!$E101*'Financial impact (cash)'!G$15)+('Unit costs'!$F101*'Financial impact (cash)'!G$16)+('Unit costs'!$G101*'Financial impact (cash)'!G$17)</f>
        <v>3.2574855579767081E-2</v>
      </c>
      <c r="H286" s="774">
        <f>('Unit costs'!$D101*('Financial impact (cash)'!H$13+'Financial impact (cash)'!H$14))+('Unit costs'!$E101*'Financial impact (cash)'!H$15)+('Unit costs'!$F101*'Financial impact (cash)'!H$16)+('Unit costs'!$G101*'Financial impact (cash)'!H$17)</f>
        <v>3.2888936065432479E-2</v>
      </c>
      <c r="I286" s="774">
        <f>('Unit costs'!$D101*('Financial impact (cash)'!I$13+'Financial impact (cash)'!I$14))+('Unit costs'!$E101*'Financial impact (cash)'!I$15)+('Unit costs'!$F101*'Financial impact (cash)'!I$16)+('Unit costs'!$G101*'Financial impact (cash)'!I$17)</f>
        <v>3.3206044854668847E-2</v>
      </c>
      <c r="J286" s="285"/>
      <c r="K286" s="771">
        <f>'Unit costs'!O101</f>
        <v>1156.954200742384</v>
      </c>
      <c r="L286" s="769">
        <f t="shared" si="137"/>
        <v>0.70322854222936881</v>
      </c>
      <c r="M286" s="769">
        <f t="shared" si="132"/>
        <v>0.35465959261452229</v>
      </c>
      <c r="N286" s="769">
        <f t="shared" si="133"/>
        <v>3.5842735294973761E-2</v>
      </c>
      <c r="O286" s="769">
        <f t="shared" si="134"/>
        <v>3.7687616001588015E-2</v>
      </c>
      <c r="P286" s="769">
        <f t="shared" si="135"/>
        <v>3.80509927388498E-2</v>
      </c>
      <c r="Q286" s="769">
        <f t="shared" si="136"/>
        <v>3.8417873084649154E-2</v>
      </c>
      <c r="R286" s="132"/>
      <c r="S286" s="132"/>
      <c r="T286" s="132"/>
      <c r="U286" s="132"/>
      <c r="V286" s="132"/>
      <c r="W286" s="132"/>
      <c r="X286" s="132"/>
      <c r="Y286" s="132"/>
      <c r="Z286" s="132"/>
      <c r="AJ286" s="281"/>
      <c r="AK286" s="281"/>
      <c r="AL286" s="281"/>
      <c r="AM286" s="281"/>
      <c r="AN286" s="281"/>
    </row>
    <row r="287" spans="1:40">
      <c r="A287" s="285"/>
      <c r="B287" s="770" t="s">
        <v>986</v>
      </c>
      <c r="C287" s="768"/>
      <c r="D287" s="774">
        <f>('Unit costs'!$D102*('Financial impact (cash)'!D$13+'Financial impact (cash)'!D$14))+('Unit costs'!$E102*'Financial impact (cash)'!D$15)+('Unit costs'!$F102*'Financial impact (cash)'!D$16)+('Unit costs'!$G102*'Financial impact (cash)'!D$17)</f>
        <v>0.85774486816241069</v>
      </c>
      <c r="E287" s="774">
        <f>('Unit costs'!$D102*('Financial impact (cash)'!E$13+'Financial impact (cash)'!E$14))+('Unit costs'!$E102*'Financial impact (cash)'!E$15)+('Unit costs'!$F102*'Financial impact (cash)'!E$16)+('Unit costs'!$G102*'Financial impact (cash)'!E$17)</f>
        <v>0.43300753951720283</v>
      </c>
      <c r="F287" s="774">
        <f>('Unit costs'!$D102*('Financial impact (cash)'!F$13+'Financial impact (cash)'!F$14))+('Unit costs'!$E102*'Financial impact (cash)'!F$15)+('Unit costs'!$F102*'Financial impact (cash)'!F$16)+('Unit costs'!$G102*'Financial impact (cash)'!F$17)</f>
        <v>4.3718251484365728E-2</v>
      </c>
      <c r="G287" s="774">
        <f>('Unit costs'!$D102*('Financial impact (cash)'!G$13+'Financial impact (cash)'!G$14))+('Unit costs'!$E102*'Financial impact (cash)'!G$15)+('Unit costs'!$F102*'Financial impact (cash)'!G$16)+('Unit costs'!$G102*'Financial impact (cash)'!G$17)</f>
        <v>4.4428744289745511E-2</v>
      </c>
      <c r="H287" s="774">
        <f>('Unit costs'!$D102*('Financial impact (cash)'!H$13+'Financial impact (cash)'!H$14))+('Unit costs'!$E102*'Financial impact (cash)'!H$15)+('Unit costs'!$F102*'Financial impact (cash)'!H$16)+('Unit costs'!$G102*'Financial impact (cash)'!H$17)</f>
        <v>4.4857117688051368E-2</v>
      </c>
      <c r="I287" s="774">
        <f>('Unit costs'!$D102*('Financial impact (cash)'!I$13+'Financial impact (cash)'!I$14))+('Unit costs'!$E102*'Financial impact (cash)'!I$15)+('Unit costs'!$F102*'Financial impact (cash)'!I$16)+('Unit costs'!$G102*'Financial impact (cash)'!I$17)</f>
        <v>4.5289621380186357E-2</v>
      </c>
      <c r="J287" s="285"/>
      <c r="K287" s="771">
        <f>'Unit costs'!O102</f>
        <v>1676.8735568142963</v>
      </c>
      <c r="L287" s="769">
        <f t="shared" si="137"/>
        <v>1.4383296879147112</v>
      </c>
      <c r="M287" s="769">
        <f t="shared" si="132"/>
        <v>0.72609889291761887</v>
      </c>
      <c r="N287" s="769">
        <f t="shared" si="133"/>
        <v>7.3309979864290248E-2</v>
      </c>
      <c r="O287" s="769">
        <f t="shared" si="134"/>
        <v>7.4501386461938407E-2</v>
      </c>
      <c r="P287" s="769">
        <f t="shared" si="135"/>
        <v>7.5219714486000192E-2</v>
      </c>
      <c r="Q287" s="769">
        <f t="shared" si="136"/>
        <v>7.5944968490565895E-2</v>
      </c>
      <c r="R287" s="132"/>
      <c r="S287" s="132"/>
      <c r="T287" s="132"/>
      <c r="U287" s="132"/>
      <c r="V287" s="132"/>
      <c r="W287" s="132"/>
      <c r="X287" s="132"/>
      <c r="Y287" s="132"/>
      <c r="Z287" s="132"/>
      <c r="AJ287" s="281"/>
      <c r="AK287" s="281"/>
      <c r="AL287" s="281"/>
      <c r="AM287" s="281"/>
      <c r="AN287" s="281"/>
    </row>
    <row r="288" spans="1:40">
      <c r="A288" s="285"/>
      <c r="B288" s="770" t="s">
        <v>987</v>
      </c>
      <c r="C288" s="167"/>
      <c r="D288" s="774">
        <f>('Unit costs'!$D103*('Financial impact (cash)'!D$13+'Financial impact (cash)'!D$14))+('Unit costs'!$E103*'Financial impact (cash)'!D$15)+('Unit costs'!$F103*'Financial impact (cash)'!D$16)+('Unit costs'!$G103*'Financial impact (cash)'!D$17)</f>
        <v>0.18936210449163493</v>
      </c>
      <c r="E288" s="774">
        <f>('Unit costs'!$D103*('Financial impact (cash)'!E$13+'Financial impact (cash)'!E$14))+('Unit costs'!$E103*'Financial impact (cash)'!E$15)+('Unit costs'!$F103*'Financial impact (cash)'!E$16)+('Unit costs'!$G103*'Financial impact (cash)'!E$17)</f>
        <v>9.5593948722053831E-2</v>
      </c>
      <c r="F288" s="774">
        <f>('Unit costs'!$D103*('Financial impact (cash)'!F$13+'Financial impact (cash)'!F$14))+('Unit costs'!$E103*'Financial impact (cash)'!F$15)+('Unit costs'!$F103*'Financial impact (cash)'!F$16)+('Unit costs'!$G103*'Financial impact (cash)'!F$17)</f>
        <v>9.6515647170348565E-3</v>
      </c>
      <c r="G288" s="774">
        <f>('Unit costs'!$D103*('Financial impact (cash)'!G$13+'Financial impact (cash)'!G$14))+('Unit costs'!$E103*'Financial impact (cash)'!G$15)+('Unit costs'!$F103*'Financial impact (cash)'!G$16)+('Unit costs'!$G103*'Financial impact (cash)'!G$17)</f>
        <v>9.7446232457621563E-3</v>
      </c>
      <c r="H288" s="774">
        <f>('Unit costs'!$D103*('Financial impact (cash)'!H$13+'Financial impact (cash)'!H$14))+('Unit costs'!$E103*'Financial impact (cash)'!H$15)+('Unit costs'!$F103*'Financial impact (cash)'!H$16)+('Unit costs'!$G103*'Financial impact (cash)'!H$17)</f>
        <v>9.838579026906321E-3</v>
      </c>
      <c r="I288" s="774">
        <f>('Unit costs'!$D103*('Financial impact (cash)'!I$13+'Financial impact (cash)'!I$14))+('Unit costs'!$E103*'Financial impact (cash)'!I$15)+('Unit costs'!$F103*'Financial impact (cash)'!I$16)+('Unit costs'!$G103*'Financial impact (cash)'!I$17)</f>
        <v>9.9334407116024002E-3</v>
      </c>
      <c r="J288" s="285"/>
      <c r="K288" s="771">
        <f>'Unit costs'!O103</f>
        <v>1367.1731359821761</v>
      </c>
      <c r="L288" s="769">
        <f t="shared" si="137"/>
        <v>0.25889078223401307</v>
      </c>
      <c r="M288" s="769">
        <f t="shared" si="132"/>
        <v>0.13069347865524966</v>
      </c>
      <c r="N288" s="769">
        <f t="shared" si="133"/>
        <v>1.3195360001323469E-2</v>
      </c>
      <c r="O288" s="769">
        <f t="shared" si="134"/>
        <v>1.3322587121873458E-2</v>
      </c>
      <c r="P288" s="769">
        <f t="shared" si="135"/>
        <v>1.3451040941823981E-2</v>
      </c>
      <c r="Q288" s="769">
        <f t="shared" si="136"/>
        <v>1.3580733288774471E-2</v>
      </c>
      <c r="R288" s="132"/>
      <c r="S288" s="132"/>
      <c r="T288" s="132"/>
      <c r="U288" s="132"/>
      <c r="V288" s="132"/>
      <c r="W288" s="132"/>
      <c r="X288" s="132"/>
      <c r="Y288" s="132"/>
      <c r="Z288" s="132"/>
      <c r="AJ288" s="281"/>
      <c r="AK288" s="281"/>
      <c r="AL288" s="281"/>
      <c r="AM288" s="281"/>
      <c r="AN288" s="281"/>
    </row>
    <row r="289" spans="1:40">
      <c r="A289" s="285"/>
      <c r="B289" s="770" t="s">
        <v>988</v>
      </c>
      <c r="C289" s="768"/>
      <c r="D289" s="774">
        <f>('Unit costs'!$D104*('Financial impact (cash)'!D$13+'Financial impact (cash)'!D$14))+('Unit costs'!$E104*'Financial impact (cash)'!D$15)+('Unit costs'!$F104*'Financial impact (cash)'!D$16)+('Unit costs'!$G104*'Financial impact (cash)'!D$17)</f>
        <v>1.5148968359330794</v>
      </c>
      <c r="E289" s="774">
        <f>('Unit costs'!$D104*('Financial impact (cash)'!E$13+'Financial impact (cash)'!E$14))+('Unit costs'!$E104*'Financial impact (cash)'!E$15)+('Unit costs'!$F104*'Financial impact (cash)'!E$16)+('Unit costs'!$G104*'Financial impact (cash)'!E$17)</f>
        <v>0.76475158977643065</v>
      </c>
      <c r="F289" s="774">
        <f>('Unit costs'!$D104*('Financial impact (cash)'!F$13+'Financial impact (cash)'!F$14))+('Unit costs'!$E104*'Financial impact (cash)'!F$15)+('Unit costs'!$F104*'Financial impact (cash)'!F$16)+('Unit costs'!$G104*'Financial impact (cash)'!F$17)</f>
        <v>7.7212517736278852E-2</v>
      </c>
      <c r="G289" s="774">
        <f>('Unit costs'!$D104*('Financial impact (cash)'!G$13+'Financial impact (cash)'!G$14))+('Unit costs'!$E104*'Financial impact (cash)'!G$15)+('Unit costs'!$F104*'Financial impact (cash)'!G$16)+('Unit costs'!$G104*'Financial impact (cash)'!G$17)</f>
        <v>7.795698596609725E-2</v>
      </c>
      <c r="H289" s="774">
        <f>('Unit costs'!$D104*('Financial impact (cash)'!H$13+'Financial impact (cash)'!H$14))+('Unit costs'!$E104*'Financial impact (cash)'!H$15)+('Unit costs'!$F104*'Financial impact (cash)'!H$16)+('Unit costs'!$G104*'Financial impact (cash)'!H$17)</f>
        <v>7.8708632215250568E-2</v>
      </c>
      <c r="I289" s="774">
        <f>('Unit costs'!$D104*('Financial impact (cash)'!I$13+'Financial impact (cash)'!I$14))+('Unit costs'!$E104*'Financial impact (cash)'!I$15)+('Unit costs'!$F104*'Financial impact (cash)'!I$16)+('Unit costs'!$G104*'Financial impact (cash)'!I$17)</f>
        <v>7.9467525692819202E-2</v>
      </c>
      <c r="J289" s="285"/>
      <c r="K289" s="771">
        <f>'Unit costs'!O104</f>
        <v>3821.4035218666645</v>
      </c>
      <c r="L289" s="769">
        <f t="shared" si="137"/>
        <v>5.7890321040993369</v>
      </c>
      <c r="M289" s="769">
        <f t="shared" si="132"/>
        <v>2.9224244185247827</v>
      </c>
      <c r="N289" s="769">
        <f t="shared" si="133"/>
        <v>0.2950601872096083</v>
      </c>
      <c r="O289" s="769">
        <f t="shared" si="134"/>
        <v>0.29790510072495419</v>
      </c>
      <c r="P289" s="769">
        <f t="shared" si="135"/>
        <v>0.30077744434866649</v>
      </c>
      <c r="Q289" s="769">
        <f t="shared" si="136"/>
        <v>0.3036774825565689</v>
      </c>
      <c r="R289" s="132"/>
      <c r="S289" s="132"/>
      <c r="T289" s="132"/>
      <c r="U289" s="132"/>
      <c r="V289" s="132"/>
      <c r="W289" s="132"/>
      <c r="X289" s="132"/>
      <c r="Y289" s="132"/>
      <c r="Z289" s="132"/>
      <c r="AJ289" s="281"/>
      <c r="AK289" s="281"/>
      <c r="AL289" s="281"/>
      <c r="AM289" s="281"/>
      <c r="AN289" s="281"/>
    </row>
    <row r="290" spans="1:40">
      <c r="A290" s="285"/>
      <c r="B290" s="770" t="s">
        <v>989</v>
      </c>
      <c r="C290" s="768"/>
      <c r="D290" s="774">
        <f>('Unit costs'!$D105*('Financial impact (cash)'!D$13+'Financial impact (cash)'!D$14))+('Unit costs'!$E105*'Financial impact (cash)'!D$15)+('Unit costs'!$F105*'Financial impact (cash)'!D$16)+('Unit costs'!$G105*'Financial impact (cash)'!D$17)</f>
        <v>0</v>
      </c>
      <c r="E290" s="774">
        <f>('Unit costs'!$D105*('Financial impact (cash)'!E$13+'Financial impact (cash)'!E$14))+('Unit costs'!$E105*'Financial impact (cash)'!E$15)+('Unit costs'!$F105*'Financial impact (cash)'!E$16)+('Unit costs'!$G105*'Financial impact (cash)'!E$17)</f>
        <v>0</v>
      </c>
      <c r="F290" s="774">
        <f>('Unit costs'!$D105*('Financial impact (cash)'!F$13+'Financial impact (cash)'!F$14))+('Unit costs'!$E105*'Financial impact (cash)'!F$15)+('Unit costs'!$F105*'Financial impact (cash)'!F$16)+('Unit costs'!$G105*'Financial impact (cash)'!F$17)</f>
        <v>0</v>
      </c>
      <c r="G290" s="774">
        <f>('Unit costs'!$D105*('Financial impact (cash)'!G$13+'Financial impact (cash)'!G$14))+('Unit costs'!$E105*'Financial impact (cash)'!G$15)+('Unit costs'!$F105*'Financial impact (cash)'!G$16)+('Unit costs'!$G105*'Financial impact (cash)'!G$17)</f>
        <v>0</v>
      </c>
      <c r="H290" s="774">
        <f>('Unit costs'!$D105*('Financial impact (cash)'!H$13+'Financial impact (cash)'!H$14))+('Unit costs'!$E105*'Financial impact (cash)'!H$15)+('Unit costs'!$F105*'Financial impact (cash)'!H$16)+('Unit costs'!$G105*'Financial impact (cash)'!H$17)</f>
        <v>0</v>
      </c>
      <c r="I290" s="774">
        <f>('Unit costs'!$D105*('Financial impact (cash)'!I$13+'Financial impact (cash)'!I$14))+('Unit costs'!$E105*'Financial impact (cash)'!I$15)+('Unit costs'!$F105*'Financial impact (cash)'!I$16)+('Unit costs'!$G105*'Financial impact (cash)'!I$17)</f>
        <v>0</v>
      </c>
      <c r="J290" s="285"/>
      <c r="K290" s="771">
        <f>'Unit costs'!O105</f>
        <v>1654.2086162186961</v>
      </c>
      <c r="L290" s="769">
        <f t="shared" si="137"/>
        <v>0</v>
      </c>
      <c r="M290" s="769">
        <f t="shared" si="132"/>
        <v>0</v>
      </c>
      <c r="N290" s="769">
        <f t="shared" si="133"/>
        <v>0</v>
      </c>
      <c r="O290" s="769">
        <f t="shared" si="134"/>
        <v>0</v>
      </c>
      <c r="P290" s="769">
        <f t="shared" si="135"/>
        <v>0</v>
      </c>
      <c r="Q290" s="769">
        <f t="shared" si="136"/>
        <v>0</v>
      </c>
      <c r="R290" s="132"/>
      <c r="S290" s="132"/>
      <c r="T290" s="132"/>
      <c r="U290" s="132"/>
      <c r="V290" s="132"/>
      <c r="W290" s="132"/>
      <c r="X290" s="132"/>
      <c r="Y290" s="132"/>
      <c r="Z290" s="132"/>
      <c r="AJ290" s="281"/>
      <c r="AK290" s="281"/>
      <c r="AL290" s="281"/>
      <c r="AM290" s="281"/>
      <c r="AN290" s="281"/>
    </row>
    <row r="291" spans="1:40">
      <c r="A291" s="285"/>
      <c r="B291" s="770" t="s">
        <v>990</v>
      </c>
      <c r="C291" s="768"/>
      <c r="D291" s="774">
        <f>('Unit costs'!$D106*('Financial impact (cash)'!D$13+'Financial impact (cash)'!D$14))+('Unit costs'!$E106*'Financial impact (cash)'!D$15)+('Unit costs'!$F106*'Financial impact (cash)'!D$16)+('Unit costs'!$G106*'Financial impact (cash)'!D$17)</f>
        <v>2.2280291111027344</v>
      </c>
      <c r="E291" s="774">
        <f>('Unit costs'!$D106*('Financial impact (cash)'!E$13+'Financial impact (cash)'!E$14))+('Unit costs'!$E106*'Financial impact (cash)'!E$15)+('Unit costs'!$F106*'Financial impact (cash)'!E$16)+('Unit costs'!$G106*'Financial impact (cash)'!E$17)</f>
        <v>1.1247556694080076</v>
      </c>
      <c r="F291" s="774">
        <f>('Unit costs'!$D106*('Financial impact (cash)'!F$13+'Financial impact (cash)'!F$14))+('Unit costs'!$E106*'Financial impact (cash)'!F$15)+('Unit costs'!$F106*'Financial impact (cash)'!F$16)+('Unit costs'!$G106*'Financial impact (cash)'!F$17)</f>
        <v>0.11356003470164022</v>
      </c>
      <c r="G291" s="774">
        <f>('Unit costs'!$D106*('Financial impact (cash)'!G$13+'Financial impact (cash)'!G$14))+('Unit costs'!$E106*'Financial impact (cash)'!G$15)+('Unit costs'!$F106*'Financial impact (cash)'!G$16)+('Unit costs'!$G106*'Financial impact (cash)'!G$17)</f>
        <v>0.11724675005739624</v>
      </c>
      <c r="H291" s="774">
        <f>('Unit costs'!$D106*('Financial impact (cash)'!H$13+'Financial impact (cash)'!H$14))+('Unit costs'!$E106*'Financial impact (cash)'!H$15)+('Unit costs'!$F106*'Financial impact (cash)'!H$16)+('Unit costs'!$G106*'Financial impact (cash)'!H$17)</f>
        <v>0.11837722064722103</v>
      </c>
      <c r="I291" s="774">
        <f>('Unit costs'!$D106*('Financial impact (cash)'!I$13+'Financial impact (cash)'!I$14))+('Unit costs'!$E106*'Financial impact (cash)'!I$15)+('Unit costs'!$F106*'Financial impact (cash)'!I$16)+('Unit costs'!$G106*'Financial impact (cash)'!I$17)</f>
        <v>0.11951859101681656</v>
      </c>
      <c r="J291" s="285"/>
      <c r="K291" s="771">
        <f>'Unit costs'!O106</f>
        <v>1367.1731359821761</v>
      </c>
      <c r="L291" s="769">
        <f t="shared" si="137"/>
        <v>3.0461015468859056</v>
      </c>
      <c r="M291" s="769">
        <f t="shared" si="132"/>
        <v>1.5377357357582775</v>
      </c>
      <c r="N291" s="769">
        <f t="shared" si="133"/>
        <v>0.15525622876528622</v>
      </c>
      <c r="O291" s="769">
        <f t="shared" si="134"/>
        <v>0.16029660695968881</v>
      </c>
      <c r="P291" s="769">
        <f t="shared" si="135"/>
        <v>0.16184215598111518</v>
      </c>
      <c r="Q291" s="769">
        <f t="shared" si="136"/>
        <v>0.16340260688863223</v>
      </c>
      <c r="R291" s="132"/>
      <c r="S291" s="132"/>
      <c r="T291" s="132"/>
      <c r="U291" s="132"/>
      <c r="V291" s="132"/>
      <c r="W291" s="132"/>
      <c r="X291" s="132"/>
      <c r="Y291" s="132"/>
      <c r="Z291" s="132"/>
      <c r="AJ291" s="281"/>
      <c r="AK291" s="281"/>
      <c r="AL291" s="281"/>
      <c r="AM291" s="281"/>
      <c r="AN291" s="281"/>
    </row>
    <row r="292" spans="1:40">
      <c r="A292" s="285"/>
      <c r="B292" s="770" t="s">
        <v>991</v>
      </c>
      <c r="C292" s="768"/>
      <c r="D292" s="774">
        <f>('Unit costs'!$D107*('Financial impact (cash)'!D$13+'Financial impact (cash)'!D$14))+('Unit costs'!$E107*'Financial impact (cash)'!D$15)+('Unit costs'!$F107*'Financial impact (cash)'!D$16)+('Unit costs'!$G107*'Financial impact (cash)'!D$17)</f>
        <v>0</v>
      </c>
      <c r="E292" s="774">
        <f>('Unit costs'!$D107*('Financial impact (cash)'!E$13+'Financial impact (cash)'!E$14))+('Unit costs'!$E107*'Financial impact (cash)'!E$15)+('Unit costs'!$F107*'Financial impact (cash)'!E$16)+('Unit costs'!$G107*'Financial impact (cash)'!E$17)</f>
        <v>0</v>
      </c>
      <c r="F292" s="774">
        <f>('Unit costs'!$D107*('Financial impact (cash)'!F$13+'Financial impact (cash)'!F$14))+('Unit costs'!$E107*'Financial impact (cash)'!F$15)+('Unit costs'!$F107*'Financial impact (cash)'!F$16)+('Unit costs'!$G107*'Financial impact (cash)'!F$17)</f>
        <v>0</v>
      </c>
      <c r="G292" s="774">
        <f>('Unit costs'!$D107*('Financial impact (cash)'!G$13+'Financial impact (cash)'!G$14))+('Unit costs'!$E107*'Financial impact (cash)'!G$15)+('Unit costs'!$F107*'Financial impact (cash)'!G$16)+('Unit costs'!$G107*'Financial impact (cash)'!G$17)</f>
        <v>0</v>
      </c>
      <c r="H292" s="774">
        <f>('Unit costs'!$D107*('Financial impact (cash)'!H$13+'Financial impact (cash)'!H$14))+('Unit costs'!$E107*'Financial impact (cash)'!H$15)+('Unit costs'!$F107*'Financial impact (cash)'!H$16)+('Unit costs'!$G107*'Financial impact (cash)'!H$17)</f>
        <v>0</v>
      </c>
      <c r="I292" s="774">
        <f>('Unit costs'!$D107*('Financial impact (cash)'!I$13+'Financial impact (cash)'!I$14))+('Unit costs'!$E107*'Financial impact (cash)'!I$15)+('Unit costs'!$F107*'Financial impact (cash)'!I$16)+('Unit costs'!$G107*'Financial impact (cash)'!I$17)</f>
        <v>0</v>
      </c>
      <c r="J292" s="285"/>
      <c r="K292" s="771">
        <f>'Unit costs'!O107</f>
        <v>400</v>
      </c>
      <c r="L292" s="769">
        <f t="shared" si="137"/>
        <v>0</v>
      </c>
      <c r="M292" s="769">
        <f t="shared" si="132"/>
        <v>0</v>
      </c>
      <c r="N292" s="769">
        <f t="shared" si="133"/>
        <v>0</v>
      </c>
      <c r="O292" s="769">
        <f t="shared" si="134"/>
        <v>0</v>
      </c>
      <c r="P292" s="769">
        <f t="shared" si="135"/>
        <v>0</v>
      </c>
      <c r="Q292" s="769">
        <f t="shared" si="136"/>
        <v>0</v>
      </c>
      <c r="R292" s="132"/>
      <c r="S292" s="132"/>
      <c r="T292" s="132"/>
      <c r="U292" s="132"/>
      <c r="V292" s="132"/>
      <c r="W292" s="132"/>
      <c r="X292" s="132"/>
      <c r="Y292" s="132"/>
      <c r="Z292" s="132"/>
      <c r="AJ292" s="281"/>
      <c r="AK292" s="281"/>
      <c r="AL292" s="281"/>
      <c r="AM292" s="281"/>
      <c r="AN292" s="281"/>
    </row>
    <row r="293" spans="1:40">
      <c r="A293" s="285"/>
      <c r="B293" s="770" t="s">
        <v>992</v>
      </c>
      <c r="C293" s="167"/>
      <c r="D293" s="774">
        <f>('Unit costs'!$D108*('Financial impact (cash)'!D$13+'Financial impact (cash)'!D$14))+('Unit costs'!$E108*'Financial impact (cash)'!D$15)+('Unit costs'!$F108*'Financial impact (cash)'!D$16)+('Unit costs'!$G108*'Financial impact (cash)'!D$17)</f>
        <v>0</v>
      </c>
      <c r="E293" s="774">
        <f>('Unit costs'!$D108*('Financial impact (cash)'!E$13+'Financial impact (cash)'!E$14))+('Unit costs'!$E108*'Financial impact (cash)'!E$15)+('Unit costs'!$F108*'Financial impact (cash)'!E$16)+('Unit costs'!$G108*'Financial impact (cash)'!E$17)</f>
        <v>0</v>
      </c>
      <c r="F293" s="774">
        <f>('Unit costs'!$D108*('Financial impact (cash)'!F$13+'Financial impact (cash)'!F$14))+('Unit costs'!$E108*'Financial impact (cash)'!F$15)+('Unit costs'!$F108*'Financial impact (cash)'!F$16)+('Unit costs'!$G108*'Financial impact (cash)'!F$17)</f>
        <v>0</v>
      </c>
      <c r="G293" s="774">
        <f>('Unit costs'!$D108*('Financial impact (cash)'!G$13+'Financial impact (cash)'!G$14))+('Unit costs'!$E108*'Financial impact (cash)'!G$15)+('Unit costs'!$F108*'Financial impact (cash)'!G$16)+('Unit costs'!$G108*'Financial impact (cash)'!G$17)</f>
        <v>0</v>
      </c>
      <c r="H293" s="774">
        <f>('Unit costs'!$D108*('Financial impact (cash)'!H$13+'Financial impact (cash)'!H$14))+('Unit costs'!$E108*'Financial impact (cash)'!H$15)+('Unit costs'!$F108*'Financial impact (cash)'!H$16)+('Unit costs'!$G108*'Financial impact (cash)'!H$17)</f>
        <v>0</v>
      </c>
      <c r="I293" s="774">
        <f>('Unit costs'!$D108*('Financial impact (cash)'!I$13+'Financial impact (cash)'!I$14))+('Unit costs'!$E108*'Financial impact (cash)'!I$15)+('Unit costs'!$F108*'Financial impact (cash)'!I$16)+('Unit costs'!$G108*'Financial impact (cash)'!I$17)</f>
        <v>0</v>
      </c>
      <c r="J293" s="285"/>
      <c r="K293" s="771">
        <f>'Unit costs'!O108</f>
        <v>1431.20430350376</v>
      </c>
      <c r="L293" s="769">
        <f t="shared" si="137"/>
        <v>0</v>
      </c>
      <c r="M293" s="769">
        <f t="shared" si="132"/>
        <v>0</v>
      </c>
      <c r="N293" s="769">
        <f t="shared" si="133"/>
        <v>0</v>
      </c>
      <c r="O293" s="769">
        <f t="shared" si="134"/>
        <v>0</v>
      </c>
      <c r="P293" s="769">
        <f t="shared" si="135"/>
        <v>0</v>
      </c>
      <c r="Q293" s="769">
        <f t="shared" si="136"/>
        <v>0</v>
      </c>
      <c r="R293" s="132"/>
      <c r="S293" s="132"/>
      <c r="T293" s="132"/>
      <c r="U293" s="132"/>
      <c r="V293" s="132"/>
      <c r="W293" s="132"/>
      <c r="X293" s="132"/>
      <c r="Y293" s="132"/>
      <c r="Z293" s="132"/>
      <c r="AJ293" s="281"/>
      <c r="AK293" s="281"/>
      <c r="AL293" s="281"/>
      <c r="AM293" s="281"/>
      <c r="AN293" s="281"/>
    </row>
    <row r="294" spans="1:40">
      <c r="A294" s="285"/>
      <c r="B294" s="770" t="s">
        <v>993</v>
      </c>
      <c r="C294" s="167"/>
      <c r="D294" s="774">
        <f>('Unit costs'!$D109*('Financial impact (cash)'!D$13+'Financial impact (cash)'!D$14))+('Unit costs'!$E109*'Financial impact (cash)'!D$15)+('Unit costs'!$F109*'Financial impact (cash)'!D$16)+('Unit costs'!$G109*'Financial impact (cash)'!D$17)</f>
        <v>0</v>
      </c>
      <c r="E294" s="774">
        <f>('Unit costs'!$D109*('Financial impact (cash)'!E$13+'Financial impact (cash)'!E$14))+('Unit costs'!$E109*'Financial impact (cash)'!E$15)+('Unit costs'!$F109*'Financial impact (cash)'!E$16)+('Unit costs'!$G109*'Financial impact (cash)'!E$17)</f>
        <v>0</v>
      </c>
      <c r="F294" s="774">
        <f>('Unit costs'!$D109*('Financial impact (cash)'!F$13+'Financial impact (cash)'!F$14))+('Unit costs'!$E109*'Financial impact (cash)'!F$15)+('Unit costs'!$F109*'Financial impact (cash)'!F$16)+('Unit costs'!$G109*'Financial impact (cash)'!F$17)</f>
        <v>0</v>
      </c>
      <c r="G294" s="774">
        <f>('Unit costs'!$D109*('Financial impact (cash)'!G$13+'Financial impact (cash)'!G$14))+('Unit costs'!$E109*'Financial impact (cash)'!G$15)+('Unit costs'!$F109*'Financial impact (cash)'!G$16)+('Unit costs'!$G109*'Financial impact (cash)'!G$17)</f>
        <v>0</v>
      </c>
      <c r="H294" s="774">
        <f>('Unit costs'!$D109*('Financial impact (cash)'!H$13+'Financial impact (cash)'!H$14))+('Unit costs'!$E109*'Financial impact (cash)'!H$15)+('Unit costs'!$F109*'Financial impact (cash)'!H$16)+('Unit costs'!$G109*'Financial impact (cash)'!H$17)</f>
        <v>0</v>
      </c>
      <c r="I294" s="774">
        <f>('Unit costs'!$D109*('Financial impact (cash)'!I$13+'Financial impact (cash)'!I$14))+('Unit costs'!$E109*'Financial impact (cash)'!I$15)+('Unit costs'!$F109*'Financial impact (cash)'!I$16)+('Unit costs'!$G109*'Financial impact (cash)'!I$17)</f>
        <v>0</v>
      </c>
      <c r="J294" s="285"/>
      <c r="K294" s="771">
        <f>'Unit costs'!O109</f>
        <v>4623.968338100236</v>
      </c>
      <c r="L294" s="769">
        <f t="shared" si="137"/>
        <v>0</v>
      </c>
      <c r="M294" s="769">
        <f t="shared" si="132"/>
        <v>0</v>
      </c>
      <c r="N294" s="769">
        <f t="shared" si="133"/>
        <v>0</v>
      </c>
      <c r="O294" s="769">
        <f t="shared" si="134"/>
        <v>0</v>
      </c>
      <c r="P294" s="769">
        <f t="shared" si="135"/>
        <v>0</v>
      </c>
      <c r="Q294" s="769">
        <f t="shared" si="136"/>
        <v>0</v>
      </c>
      <c r="R294" s="132"/>
      <c r="S294" s="132"/>
      <c r="T294" s="132"/>
      <c r="U294" s="132"/>
      <c r="V294" s="132"/>
      <c r="W294" s="132"/>
      <c r="X294" s="132"/>
      <c r="Y294" s="132"/>
      <c r="Z294" s="132"/>
      <c r="AJ294" s="281"/>
      <c r="AK294" s="281"/>
      <c r="AL294" s="281"/>
      <c r="AM294" s="281"/>
      <c r="AN294" s="281"/>
    </row>
    <row r="295" spans="1:40">
      <c r="A295" s="285"/>
      <c r="B295" s="275"/>
      <c r="C295" s="207"/>
      <c r="D295" s="184">
        <f t="shared" ref="D295:I295" si="138">SUM(D279:D294)</f>
        <v>10.225949860208829</v>
      </c>
      <c r="E295" s="184">
        <f t="shared" si="138"/>
        <v>5.7961882790315791</v>
      </c>
      <c r="F295" s="184">
        <f t="shared" si="138"/>
        <v>1.7405489059462509</v>
      </c>
      <c r="G295" s="184">
        <f t="shared" si="138"/>
        <v>1.7639534171785378</v>
      </c>
      <c r="H295" s="184">
        <f t="shared" si="138"/>
        <v>1.7809611164023129</v>
      </c>
      <c r="I295" s="184">
        <f t="shared" si="138"/>
        <v>1.7981328005874073</v>
      </c>
      <c r="J295" s="285"/>
      <c r="K295" s="285"/>
      <c r="L295" s="287">
        <f t="shared" ref="L295:Q295" si="139">SUM(L279:L294)</f>
        <v>18.910380252322888</v>
      </c>
      <c r="M295" s="287">
        <f t="shared" si="139"/>
        <v>10.877767251068635</v>
      </c>
      <c r="N295" s="287">
        <f t="shared" si="139"/>
        <v>3.5244323360353893</v>
      </c>
      <c r="O295" s="287">
        <f t="shared" si="139"/>
        <v>3.5679985941979107</v>
      </c>
      <c r="P295" s="287">
        <f t="shared" si="139"/>
        <v>3.6024005496747358</v>
      </c>
      <c r="Q295" s="287">
        <f t="shared" si="139"/>
        <v>3.6371342021826507</v>
      </c>
      <c r="R295" s="132"/>
      <c r="S295" s="132"/>
      <c r="T295" s="132"/>
      <c r="U295" s="132"/>
      <c r="V295" s="132"/>
      <c r="W295" s="132"/>
      <c r="X295" s="132"/>
      <c r="Y295" s="132"/>
      <c r="Z295" s="132"/>
      <c r="AJ295" s="281"/>
      <c r="AK295" s="281"/>
      <c r="AL295" s="281"/>
      <c r="AM295" s="281"/>
      <c r="AN295" s="281"/>
    </row>
    <row r="296" spans="1:40">
      <c r="A296" s="285"/>
      <c r="B296" s="289"/>
      <c r="C296" s="207"/>
      <c r="D296" s="280" t="s">
        <v>846</v>
      </c>
      <c r="E296" s="184">
        <f>E295-$D$295</f>
        <v>-4.4297615811772495</v>
      </c>
      <c r="F296" s="184">
        <f>F295-$D$295</f>
        <v>-8.4854009542625768</v>
      </c>
      <c r="G296" s="184">
        <f>G295-$D$295</f>
        <v>-8.4619964430302907</v>
      </c>
      <c r="H296" s="184">
        <f>H295-$D$295</f>
        <v>-8.4449887438065154</v>
      </c>
      <c r="I296" s="184">
        <f>I295-$D$295</f>
        <v>-8.4278170596214217</v>
      </c>
      <c r="J296" s="285"/>
      <c r="K296" s="285"/>
      <c r="L296" s="507"/>
      <c r="M296" s="287">
        <f>M295-$L$295</f>
        <v>-8.0326130012542531</v>
      </c>
      <c r="N296" s="287">
        <f t="shared" ref="N296:Q296" si="140">N295-$L$295</f>
        <v>-15.385947916287499</v>
      </c>
      <c r="O296" s="287">
        <f t="shared" si="140"/>
        <v>-15.342381658124978</v>
      </c>
      <c r="P296" s="287">
        <f t="shared" si="140"/>
        <v>-15.307979702648153</v>
      </c>
      <c r="Q296" s="287">
        <f t="shared" si="140"/>
        <v>-15.273246050140237</v>
      </c>
    </row>
    <row r="297" spans="1:40">
      <c r="A297" s="285"/>
      <c r="B297" s="285"/>
      <c r="C297" s="285"/>
      <c r="D297" s="285"/>
      <c r="E297" s="285"/>
      <c r="F297" s="285"/>
      <c r="G297" s="285"/>
      <c r="H297" s="285"/>
      <c r="I297" s="285"/>
      <c r="J297" s="285"/>
      <c r="K297" s="285"/>
      <c r="L297" s="285"/>
      <c r="M297" s="285"/>
      <c r="N297" s="285"/>
      <c r="O297" s="285"/>
      <c r="P297" s="285"/>
      <c r="Q297" s="285"/>
    </row>
    <row r="298" spans="1:40">
      <c r="B298"/>
    </row>
    <row r="299" spans="1:40">
      <c r="B299"/>
    </row>
    <row r="300" spans="1:40">
      <c r="B300"/>
    </row>
    <row r="301" spans="1:40">
      <c r="B301"/>
    </row>
    <row r="302" spans="1:40">
      <c r="B302"/>
    </row>
  </sheetData>
  <sheetProtection algorithmName="SHA-512" hashValue="jtD7hFVfUuwIPcULjyIVcIl2xG7cHE1CGDWoS33UnrZ0T9bcNtJ/osnyn82Vc36UMgap8aueh66ue9WflLfckA==" saltValue="50jihVUroKRyMv7rRt4syw==" spinCount="100000" sheet="1" objects="1" scenarios="1"/>
  <protectedRanges>
    <protectedRange sqref="B274:B294" name="Range1_5"/>
  </protectedRanges>
  <pageMargins left="0.70866141732283472" right="0.70866141732283472" top="0.74803149606299213" bottom="0.74803149606299213" header="0.31496062992125984" footer="0.31496062992125984"/>
  <pageSetup paperSize="9" scale="34" fitToHeight="0" orientation="portrait" horizontalDpi="4294967293" r:id="rId1"/>
  <ignoredErrors>
    <ignoredError sqref="F1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301"/>
  <sheetViews>
    <sheetView showGridLines="0" zoomScale="80" zoomScaleNormal="80" zoomScaleSheetLayoutView="30" workbookViewId="0"/>
  </sheetViews>
  <sheetFormatPr defaultColWidth="8.85546875" defaultRowHeight="15"/>
  <cols>
    <col min="1" max="1" width="3.5703125" customWidth="1"/>
    <col min="2" max="2" width="80.28515625" style="1" customWidth="1"/>
    <col min="3" max="8" width="12.5703125" customWidth="1"/>
    <col min="9" max="9" width="14.42578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12" t="str">
        <f>'Inputs and eligible population'!B1</f>
        <v>Selpercatinib for advanced thyroid cancer with RET alterations untreated with a targeted cancer drug in people 12 years and over</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40" ht="42.6" customHeight="1">
      <c r="B2" s="212" t="s">
        <v>847</v>
      </c>
      <c r="C2" s="126" t="s">
        <v>738</v>
      </c>
      <c r="D2" s="126" t="s">
        <v>738</v>
      </c>
      <c r="E2" s="126" t="s">
        <v>738</v>
      </c>
      <c r="F2" s="126" t="s">
        <v>738</v>
      </c>
      <c r="G2" s="126" t="s">
        <v>738</v>
      </c>
      <c r="H2" s="126" t="s">
        <v>738</v>
      </c>
      <c r="I2" s="126" t="s">
        <v>738</v>
      </c>
      <c r="J2" s="126" t="s">
        <v>738</v>
      </c>
      <c r="K2" s="126"/>
      <c r="L2" s="126" t="s">
        <v>738</v>
      </c>
      <c r="M2" s="126" t="s">
        <v>738</v>
      </c>
      <c r="N2" s="126" t="s">
        <v>738</v>
      </c>
      <c r="O2" s="126" t="s">
        <v>738</v>
      </c>
      <c r="P2" s="126" t="s">
        <v>738</v>
      </c>
      <c r="Q2" s="126"/>
      <c r="R2" s="126"/>
      <c r="S2" s="126"/>
      <c r="T2" s="126"/>
      <c r="U2" s="126"/>
      <c r="V2" s="126"/>
      <c r="W2" s="126"/>
      <c r="X2" s="126"/>
      <c r="Y2" s="126"/>
      <c r="Z2" s="126"/>
    </row>
    <row r="3" spans="1:40" ht="14.45" customHeight="1">
      <c r="B3" s="129" t="s">
        <v>738</v>
      </c>
      <c r="C3" s="132" t="s">
        <v>738</v>
      </c>
      <c r="D3" s="132" t="s">
        <v>738</v>
      </c>
      <c r="E3" s="132" t="s">
        <v>738</v>
      </c>
      <c r="F3" s="132" t="s">
        <v>738</v>
      </c>
      <c r="G3" s="132" t="s">
        <v>738</v>
      </c>
      <c r="H3" s="132" t="s">
        <v>738</v>
      </c>
      <c r="I3" s="132" t="s">
        <v>738</v>
      </c>
      <c r="J3" s="132" t="s">
        <v>738</v>
      </c>
      <c r="K3" s="132"/>
      <c r="L3" s="132" t="s">
        <v>738</v>
      </c>
      <c r="M3" s="132" t="s">
        <v>738</v>
      </c>
      <c r="N3" s="132" t="s">
        <v>738</v>
      </c>
      <c r="O3" s="132" t="s">
        <v>738</v>
      </c>
      <c r="P3" s="132" t="s">
        <v>738</v>
      </c>
      <c r="Q3" s="132"/>
      <c r="R3" s="132"/>
      <c r="S3" s="126"/>
      <c r="T3" s="126"/>
      <c r="U3" s="126"/>
      <c r="V3" s="126"/>
      <c r="W3" s="126"/>
      <c r="X3" s="126"/>
      <c r="Y3" s="132"/>
      <c r="Z3" s="132"/>
    </row>
    <row r="4" spans="1:40" ht="14.45" customHeight="1">
      <c r="B4" t="s">
        <v>830</v>
      </c>
      <c r="C4" s="132"/>
      <c r="D4" s="132"/>
      <c r="F4" s="132"/>
      <c r="G4" s="132"/>
      <c r="H4" s="132"/>
      <c r="I4" s="132"/>
      <c r="J4" s="132"/>
      <c r="K4" s="132"/>
      <c r="L4" s="132"/>
      <c r="M4" s="132"/>
      <c r="N4" s="132"/>
      <c r="O4" s="132"/>
      <c r="P4" s="132"/>
      <c r="Q4" s="132"/>
      <c r="R4" s="132"/>
      <c r="S4" s="132"/>
      <c r="T4" s="132"/>
      <c r="U4" s="132"/>
      <c r="V4" s="132"/>
      <c r="W4" s="132"/>
      <c r="X4" s="132"/>
      <c r="Y4" s="132"/>
      <c r="Z4" s="132"/>
    </row>
    <row r="5" spans="1:40" ht="14.45" customHeight="1">
      <c r="B5" s="5"/>
      <c r="F5" s="132"/>
      <c r="G5" s="132"/>
      <c r="H5" s="132"/>
      <c r="I5" s="132"/>
      <c r="J5" s="132"/>
      <c r="K5" s="132"/>
      <c r="L5" s="132"/>
      <c r="M5" s="132"/>
      <c r="N5" s="132"/>
      <c r="O5" s="132"/>
      <c r="P5" s="132"/>
      <c r="Q5" s="132"/>
      <c r="R5" s="132"/>
      <c r="S5" s="132"/>
      <c r="T5" s="132"/>
      <c r="U5" s="132"/>
      <c r="V5" s="132"/>
      <c r="W5" s="132"/>
      <c r="X5" s="132"/>
      <c r="Y5" s="132"/>
      <c r="Z5" s="132"/>
    </row>
    <row r="6" spans="1:40" ht="45">
      <c r="B6" s="253" t="s">
        <v>795</v>
      </c>
      <c r="C6" s="207"/>
      <c r="D6" s="392" t="s">
        <v>825</v>
      </c>
      <c r="E6" s="251" t="s">
        <v>674</v>
      </c>
      <c r="F6" s="251" t="s">
        <v>675</v>
      </c>
      <c r="G6" s="164" t="s">
        <v>792</v>
      </c>
      <c r="H6" s="164" t="s">
        <v>793</v>
      </c>
      <c r="I6" s="251" t="s">
        <v>794</v>
      </c>
      <c r="L6" s="392" t="s">
        <v>825</v>
      </c>
      <c r="M6" s="251" t="s">
        <v>674</v>
      </c>
      <c r="N6" s="251" t="s">
        <v>675</v>
      </c>
      <c r="O6" s="164" t="s">
        <v>792</v>
      </c>
      <c r="P6" s="164" t="s">
        <v>793</v>
      </c>
      <c r="Q6" s="251" t="s">
        <v>794</v>
      </c>
      <c r="R6" s="132"/>
      <c r="S6" s="132"/>
      <c r="T6" s="132"/>
      <c r="U6" s="132"/>
      <c r="V6" s="132"/>
      <c r="W6" s="132"/>
      <c r="X6" s="132"/>
      <c r="Y6" s="132"/>
      <c r="Z6" s="132"/>
      <c r="AJ6" s="281"/>
      <c r="AK6" s="281"/>
      <c r="AL6" s="281"/>
      <c r="AM6" s="281"/>
      <c r="AN6" s="281"/>
    </row>
    <row r="7" spans="1:40">
      <c r="B7" s="221" t="s">
        <v>795</v>
      </c>
      <c r="C7" s="167"/>
      <c r="D7" s="360">
        <f>'Inputs and eligible population'!F49</f>
        <v>27.980505249406825</v>
      </c>
      <c r="E7" s="360">
        <f>'Inputs and eligible population'!G49</f>
        <v>28.250287893765055</v>
      </c>
      <c r="F7" s="360">
        <f>'Inputs and eligible population'!H49</f>
        <v>28.522671730437303</v>
      </c>
      <c r="G7" s="360">
        <f>'Inputs and eligible population'!I49</f>
        <v>28.797681839619027</v>
      </c>
      <c r="H7" s="360">
        <f>'Inputs and eligible population'!J49</f>
        <v>29.075343543324113</v>
      </c>
      <c r="I7" s="360">
        <f>'Inputs and eligible population'!K49</f>
        <v>29.355682407716429</v>
      </c>
      <c r="P7" s="132"/>
      <c r="Q7" s="132"/>
      <c r="R7" s="132"/>
      <c r="S7" s="132"/>
      <c r="T7" s="132"/>
      <c r="U7" s="132"/>
      <c r="V7" s="132"/>
      <c r="W7" s="132"/>
      <c r="X7" s="132"/>
      <c r="Y7" s="132"/>
      <c r="Z7" s="132"/>
      <c r="AJ7" s="281"/>
      <c r="AK7" s="281"/>
      <c r="AL7" s="281"/>
      <c r="AM7" s="281"/>
      <c r="AN7" s="281"/>
    </row>
    <row r="8" spans="1:40">
      <c r="B8"/>
      <c r="P8" s="132"/>
      <c r="Q8" s="132"/>
      <c r="R8" s="132"/>
      <c r="S8" s="132"/>
      <c r="T8" s="132"/>
      <c r="U8" s="132"/>
      <c r="V8" s="132"/>
      <c r="W8" s="132"/>
      <c r="X8" s="132"/>
      <c r="Y8" s="132"/>
      <c r="Z8" s="132"/>
      <c r="AJ8" s="281"/>
      <c r="AK8" s="281"/>
      <c r="AL8" s="281"/>
      <c r="AM8" s="281"/>
      <c r="AN8" s="281"/>
    </row>
    <row r="9" spans="1:40">
      <c r="B9" s="274" t="s">
        <v>831</v>
      </c>
      <c r="C9" s="405"/>
      <c r="D9" s="405"/>
      <c r="E9" s="406"/>
      <c r="F9" s="405"/>
      <c r="G9" s="407"/>
      <c r="H9" s="408"/>
      <c r="I9" s="535"/>
      <c r="L9" s="672" t="s">
        <v>799</v>
      </c>
      <c r="M9" s="672" t="s">
        <v>799</v>
      </c>
      <c r="N9" s="672" t="s">
        <v>799</v>
      </c>
      <c r="O9" s="672" t="s">
        <v>799</v>
      </c>
      <c r="P9" s="672" t="s">
        <v>799</v>
      </c>
      <c r="Q9" s="672" t="s">
        <v>799</v>
      </c>
      <c r="R9" s="132"/>
      <c r="S9" s="132"/>
      <c r="T9" s="132"/>
      <c r="U9" s="132"/>
      <c r="V9" s="132"/>
      <c r="W9" s="132"/>
      <c r="X9" s="132"/>
      <c r="Y9" s="132"/>
      <c r="Z9" s="132"/>
      <c r="AJ9" s="281"/>
      <c r="AK9" s="281"/>
      <c r="AL9" s="281"/>
      <c r="AM9" s="281"/>
      <c r="AN9" s="281"/>
    </row>
    <row r="10" spans="1:40">
      <c r="A10" s="282"/>
      <c r="B10" s="529" t="str">
        <f>'Capacity (local prices)'!B10</f>
        <v>First attendances - appointments and cost</v>
      </c>
      <c r="C10" s="365"/>
      <c r="D10" s="394">
        <f>D31</f>
        <v>27.980505249406821</v>
      </c>
      <c r="E10" s="394">
        <f t="shared" ref="E10:I10" si="0">E31</f>
        <v>28.23080493659694</v>
      </c>
      <c r="F10" s="394">
        <f t="shared" si="0"/>
        <v>28.522671730437303</v>
      </c>
      <c r="G10" s="394">
        <f t="shared" si="0"/>
        <v>28.827472544970348</v>
      </c>
      <c r="H10" s="394">
        <f t="shared" si="0"/>
        <v>29.105421484920647</v>
      </c>
      <c r="I10" s="394">
        <f t="shared" si="0"/>
        <v>29.386050355034754</v>
      </c>
      <c r="L10" s="286">
        <f>L31</f>
        <v>8.5060735958196751</v>
      </c>
      <c r="M10" s="286">
        <f t="shared" ref="M10:Q10" si="1">M31</f>
        <v>8.5821647007254693</v>
      </c>
      <c r="N10" s="286">
        <f t="shared" si="1"/>
        <v>8.6708922060529385</v>
      </c>
      <c r="O10" s="286">
        <f t="shared" si="1"/>
        <v>8.7635516536709872</v>
      </c>
      <c r="P10" s="286">
        <f t="shared" si="1"/>
        <v>8.8480481314158776</v>
      </c>
      <c r="Q10" s="286">
        <f t="shared" si="1"/>
        <v>8.933359307930564</v>
      </c>
      <c r="R10" s="132"/>
      <c r="S10" s="132"/>
      <c r="T10" s="132"/>
      <c r="U10" s="132"/>
      <c r="V10" s="132"/>
      <c r="W10" s="132"/>
      <c r="X10" s="132"/>
      <c r="Y10" s="132"/>
      <c r="Z10" s="132"/>
      <c r="AJ10" s="281"/>
      <c r="AK10" s="281"/>
      <c r="AL10" s="281"/>
      <c r="AM10" s="281"/>
      <c r="AN10" s="281"/>
    </row>
    <row r="11" spans="1:40">
      <c r="A11" s="282"/>
      <c r="B11" s="529" t="str">
        <f>'Capacity (local prices)'!B11</f>
        <v>Follow up attendances appointments and cost</v>
      </c>
      <c r="C11" s="365"/>
      <c r="D11" s="394">
        <f>D61</f>
        <v>0</v>
      </c>
      <c r="E11" s="394">
        <f t="shared" ref="E11:I11" si="2">E61</f>
        <v>0</v>
      </c>
      <c r="F11" s="394">
        <f t="shared" si="2"/>
        <v>0</v>
      </c>
      <c r="G11" s="394">
        <f t="shared" si="2"/>
        <v>0</v>
      </c>
      <c r="H11" s="394">
        <f t="shared" si="2"/>
        <v>0</v>
      </c>
      <c r="I11" s="394">
        <f t="shared" si="2"/>
        <v>0</v>
      </c>
      <c r="L11" s="286">
        <f>L61</f>
        <v>0</v>
      </c>
      <c r="M11" s="286">
        <f t="shared" ref="M11:Q11" si="3">M61</f>
        <v>0</v>
      </c>
      <c r="N11" s="286">
        <f t="shared" si="3"/>
        <v>0</v>
      </c>
      <c r="O11" s="286">
        <f t="shared" si="3"/>
        <v>0</v>
      </c>
      <c r="P11" s="286">
        <f t="shared" si="3"/>
        <v>0</v>
      </c>
      <c r="Q11" s="286">
        <f t="shared" si="3"/>
        <v>0</v>
      </c>
      <c r="R11" s="132"/>
      <c r="S11" s="132"/>
      <c r="T11" s="132"/>
      <c r="U11" s="132"/>
      <c r="V11" s="132"/>
      <c r="W11" s="132"/>
      <c r="X11" s="132"/>
      <c r="Y11" s="132"/>
      <c r="Z11" s="132"/>
      <c r="AJ11" s="281"/>
      <c r="AK11" s="281"/>
      <c r="AL11" s="281"/>
      <c r="AM11" s="281"/>
      <c r="AN11" s="281"/>
    </row>
    <row r="12" spans="1:40">
      <c r="A12" s="307"/>
      <c r="B12" s="412" t="str">
        <f>'Capacity (local prices)'!B12</f>
        <v xml:space="preserve">Nurse led appointments </v>
      </c>
      <c r="C12" s="417"/>
      <c r="D12" s="395">
        <f>D92</f>
        <v>0</v>
      </c>
      <c r="E12" s="395">
        <f t="shared" ref="E12:I12" si="4">E92</f>
        <v>0</v>
      </c>
      <c r="F12" s="395">
        <f t="shared" si="4"/>
        <v>0</v>
      </c>
      <c r="G12" s="395">
        <f t="shared" si="4"/>
        <v>0</v>
      </c>
      <c r="H12" s="395">
        <f t="shared" si="4"/>
        <v>0</v>
      </c>
      <c r="I12" s="395">
        <f t="shared" si="4"/>
        <v>0</v>
      </c>
      <c r="L12" s="286">
        <f>L92</f>
        <v>0</v>
      </c>
      <c r="M12" s="286">
        <f t="shared" ref="M12:Q12" si="5">M92</f>
        <v>0</v>
      </c>
      <c r="N12" s="286">
        <f t="shared" si="5"/>
        <v>0</v>
      </c>
      <c r="O12" s="286">
        <f t="shared" si="5"/>
        <v>0</v>
      </c>
      <c r="P12" s="286">
        <f t="shared" si="5"/>
        <v>0</v>
      </c>
      <c r="Q12" s="286">
        <f t="shared" si="5"/>
        <v>0</v>
      </c>
      <c r="R12" s="132"/>
      <c r="S12" s="132"/>
      <c r="T12" s="132"/>
      <c r="U12" s="132"/>
      <c r="V12" s="132"/>
      <c r="W12" s="132"/>
      <c r="X12" s="132"/>
      <c r="Y12" s="132"/>
      <c r="Z12" s="132"/>
      <c r="AJ12" s="281"/>
      <c r="AK12" s="281"/>
      <c r="AL12" s="281"/>
      <c r="AM12" s="281"/>
      <c r="AN12" s="281"/>
    </row>
    <row r="13" spans="1:40">
      <c r="A13" s="847"/>
      <c r="B13" s="848" t="s">
        <v>1180</v>
      </c>
      <c r="C13" s="849"/>
      <c r="D13" s="850">
        <f>D128</f>
        <v>0</v>
      </c>
      <c r="E13" s="850">
        <f t="shared" ref="E13:I13" si="6">E128</f>
        <v>0</v>
      </c>
      <c r="F13" s="850">
        <f t="shared" si="6"/>
        <v>0</v>
      </c>
      <c r="G13" s="850">
        <f t="shared" si="6"/>
        <v>0</v>
      </c>
      <c r="H13" s="850">
        <f t="shared" si="6"/>
        <v>0</v>
      </c>
      <c r="I13" s="850">
        <f t="shared" si="6"/>
        <v>0</v>
      </c>
      <c r="L13" s="769">
        <f>L98</f>
        <v>0</v>
      </c>
      <c r="M13" s="769">
        <f t="shared" ref="M13:Q13" si="7">M98</f>
        <v>0</v>
      </c>
      <c r="N13" s="769">
        <f t="shared" si="7"/>
        <v>0</v>
      </c>
      <c r="O13" s="769">
        <f t="shared" si="7"/>
        <v>0</v>
      </c>
      <c r="P13" s="769">
        <f t="shared" si="7"/>
        <v>0</v>
      </c>
      <c r="Q13" s="769">
        <f t="shared" si="7"/>
        <v>0</v>
      </c>
      <c r="R13" s="132"/>
      <c r="S13" s="132"/>
      <c r="T13" s="132"/>
      <c r="U13" s="132"/>
      <c r="V13" s="132"/>
      <c r="W13" s="132"/>
      <c r="X13" s="132"/>
      <c r="Y13" s="132"/>
      <c r="Z13" s="132"/>
      <c r="AJ13" s="281"/>
      <c r="AK13" s="281"/>
      <c r="AL13" s="281"/>
      <c r="AM13" s="281"/>
      <c r="AN13" s="281"/>
    </row>
    <row r="14" spans="1:40">
      <c r="A14" s="283"/>
      <c r="B14" s="411" t="str">
        <f>B132</f>
        <v>Drug regimen prep (number)</v>
      </c>
      <c r="C14" s="416"/>
      <c r="D14" s="391">
        <f>D159</f>
        <v>0</v>
      </c>
      <c r="E14" s="391">
        <f t="shared" ref="E14:I14" si="8">E159</f>
        <v>0</v>
      </c>
      <c r="F14" s="391">
        <f t="shared" si="8"/>
        <v>0</v>
      </c>
      <c r="G14" s="391">
        <f t="shared" si="8"/>
        <v>0</v>
      </c>
      <c r="H14" s="391">
        <f t="shared" si="8"/>
        <v>0</v>
      </c>
      <c r="I14" s="391">
        <f t="shared" si="8"/>
        <v>0</v>
      </c>
      <c r="L14" s="205"/>
      <c r="M14" s="205"/>
      <c r="N14" s="205"/>
      <c r="O14" s="205"/>
      <c r="P14" s="390"/>
      <c r="Q14" s="390"/>
      <c r="R14" s="132"/>
      <c r="S14" s="132"/>
      <c r="T14" s="132"/>
      <c r="U14" s="132"/>
      <c r="V14" s="132"/>
      <c r="W14" s="132"/>
      <c r="X14" s="132"/>
      <c r="Y14" s="132"/>
      <c r="Z14" s="132"/>
      <c r="AJ14" s="281"/>
      <c r="AK14" s="281"/>
      <c r="AL14" s="281"/>
      <c r="AM14" s="281"/>
      <c r="AN14" s="281"/>
    </row>
    <row r="15" spans="1:40">
      <c r="A15" s="284"/>
      <c r="B15" s="413" t="str">
        <f>'Capacity (local prices)'!B15</f>
        <v>ECG</v>
      </c>
      <c r="C15" s="418"/>
      <c r="D15" s="396">
        <f>D190</f>
        <v>0</v>
      </c>
      <c r="E15" s="396">
        <f t="shared" ref="E15:I15" si="9">E190</f>
        <v>0</v>
      </c>
      <c r="F15" s="396">
        <f t="shared" si="9"/>
        <v>0</v>
      </c>
      <c r="G15" s="396">
        <f t="shared" si="9"/>
        <v>0</v>
      </c>
      <c r="H15" s="396">
        <f t="shared" si="9"/>
        <v>0</v>
      </c>
      <c r="I15" s="396">
        <f t="shared" si="9"/>
        <v>0</v>
      </c>
      <c r="L15" s="286">
        <f>L190</f>
        <v>0</v>
      </c>
      <c r="M15" s="286">
        <f t="shared" ref="M15:Q15" si="10">M190</f>
        <v>0</v>
      </c>
      <c r="N15" s="286">
        <f t="shared" si="10"/>
        <v>0</v>
      </c>
      <c r="O15" s="286">
        <f t="shared" si="10"/>
        <v>0</v>
      </c>
      <c r="P15" s="286">
        <f t="shared" si="10"/>
        <v>0</v>
      </c>
      <c r="Q15" s="286">
        <f t="shared" si="10"/>
        <v>0</v>
      </c>
      <c r="R15" s="132"/>
      <c r="S15" s="132"/>
      <c r="T15" s="132"/>
      <c r="U15" s="132"/>
      <c r="V15" s="132"/>
      <c r="W15" s="132"/>
      <c r="X15" s="132"/>
      <c r="Y15" s="132"/>
      <c r="Z15" s="132"/>
      <c r="AJ15" s="281"/>
      <c r="AK15" s="281"/>
      <c r="AL15" s="281"/>
      <c r="AM15" s="281"/>
      <c r="AN15" s="281"/>
    </row>
    <row r="16" spans="1:40">
      <c r="A16" s="284"/>
      <c r="B16" s="413" t="str">
        <f>'Capacity (local prices)'!B16</f>
        <v>Blood tests</v>
      </c>
      <c r="C16" s="418"/>
      <c r="D16" s="396">
        <f>D220</f>
        <v>0</v>
      </c>
      <c r="E16" s="396">
        <f t="shared" ref="E16:I16" si="11">E220</f>
        <v>0</v>
      </c>
      <c r="F16" s="396">
        <f t="shared" si="11"/>
        <v>0</v>
      </c>
      <c r="G16" s="396">
        <f t="shared" si="11"/>
        <v>0</v>
      </c>
      <c r="H16" s="396">
        <f t="shared" si="11"/>
        <v>0</v>
      </c>
      <c r="I16" s="396">
        <f t="shared" si="11"/>
        <v>0</v>
      </c>
      <c r="L16" s="286">
        <f>L220</f>
        <v>0</v>
      </c>
      <c r="M16" s="286">
        <f t="shared" ref="M16:Q16" si="12">M220</f>
        <v>0</v>
      </c>
      <c r="N16" s="286">
        <f t="shared" si="12"/>
        <v>0</v>
      </c>
      <c r="O16" s="286">
        <f t="shared" si="12"/>
        <v>0</v>
      </c>
      <c r="P16" s="286">
        <f t="shared" si="12"/>
        <v>0</v>
      </c>
      <c r="Q16" s="286">
        <f t="shared" si="12"/>
        <v>0</v>
      </c>
      <c r="R16" s="132"/>
      <c r="S16" s="132"/>
      <c r="T16" s="132"/>
      <c r="U16" s="132"/>
      <c r="V16" s="132"/>
      <c r="W16" s="132"/>
      <c r="X16" s="132"/>
      <c r="Y16" s="132"/>
      <c r="Z16" s="132"/>
      <c r="AJ16" s="281"/>
      <c r="AK16" s="281"/>
      <c r="AL16" s="281"/>
      <c r="AM16" s="281"/>
      <c r="AN16" s="281"/>
    </row>
    <row r="17" spans="1:40">
      <c r="A17" s="284"/>
      <c r="B17" s="413" t="str">
        <f>'Capacity (local prices)'!B17</f>
        <v xml:space="preserve">CT scan </v>
      </c>
      <c r="C17" s="418"/>
      <c r="D17" s="396">
        <f>D250</f>
        <v>0</v>
      </c>
      <c r="E17" s="396">
        <f t="shared" ref="E17:I17" si="13">E250</f>
        <v>0</v>
      </c>
      <c r="F17" s="396">
        <f t="shared" si="13"/>
        <v>0</v>
      </c>
      <c r="G17" s="396">
        <f t="shared" si="13"/>
        <v>0</v>
      </c>
      <c r="H17" s="396">
        <f t="shared" si="13"/>
        <v>0</v>
      </c>
      <c r="I17" s="396">
        <f t="shared" si="13"/>
        <v>0</v>
      </c>
      <c r="L17" s="769">
        <f>L250</f>
        <v>0</v>
      </c>
      <c r="M17" s="769">
        <f t="shared" ref="M17:Q17" si="14">M250</f>
        <v>0</v>
      </c>
      <c r="N17" s="769">
        <f t="shared" si="14"/>
        <v>0</v>
      </c>
      <c r="O17" s="769">
        <f t="shared" si="14"/>
        <v>0</v>
      </c>
      <c r="P17" s="769">
        <f t="shared" si="14"/>
        <v>0</v>
      </c>
      <c r="Q17" s="769">
        <f t="shared" si="14"/>
        <v>0</v>
      </c>
      <c r="R17" s="132"/>
      <c r="S17" s="132"/>
      <c r="T17" s="132"/>
      <c r="U17" s="132"/>
      <c r="V17" s="132"/>
      <c r="W17" s="132"/>
      <c r="X17" s="132"/>
      <c r="Y17" s="132"/>
      <c r="Z17" s="132"/>
      <c r="AJ17" s="281"/>
      <c r="AK17" s="281"/>
      <c r="AL17" s="281"/>
      <c r="AM17" s="281"/>
      <c r="AN17" s="281"/>
    </row>
    <row r="18" spans="1:40">
      <c r="A18" s="284"/>
      <c r="B18" s="414" t="str">
        <f>'Capacity (local prices)'!B18</f>
        <v>Genomic tests- RET testing</v>
      </c>
      <c r="C18" s="401"/>
      <c r="D18" s="396">
        <f>D259</f>
        <v>0</v>
      </c>
      <c r="E18" s="396">
        <f t="shared" ref="E18:I18" si="15">E259</f>
        <v>0</v>
      </c>
      <c r="F18" s="396">
        <f t="shared" si="15"/>
        <v>0</v>
      </c>
      <c r="G18" s="396">
        <f t="shared" si="15"/>
        <v>0</v>
      </c>
      <c r="H18" s="396">
        <f t="shared" si="15"/>
        <v>0</v>
      </c>
      <c r="I18" s="396">
        <f t="shared" si="15"/>
        <v>0</v>
      </c>
      <c r="J18" s="132"/>
      <c r="K18" s="132"/>
      <c r="L18" s="769">
        <f>L259</f>
        <v>0</v>
      </c>
      <c r="M18" s="769">
        <f t="shared" ref="M18:Q18" si="16">M259</f>
        <v>0</v>
      </c>
      <c r="N18" s="769">
        <f t="shared" si="16"/>
        <v>0</v>
      </c>
      <c r="O18" s="769">
        <f t="shared" si="16"/>
        <v>0</v>
      </c>
      <c r="P18" s="769">
        <f t="shared" si="16"/>
        <v>0</v>
      </c>
      <c r="Q18" s="769">
        <f t="shared" si="16"/>
        <v>0</v>
      </c>
      <c r="R18" s="132"/>
      <c r="S18" s="132"/>
      <c r="T18" s="132"/>
      <c r="U18" s="132"/>
      <c r="V18" s="132"/>
      <c r="W18" s="132"/>
      <c r="X18" s="132"/>
      <c r="Y18" s="132"/>
      <c r="Z18" s="132"/>
    </row>
    <row r="19" spans="1:40">
      <c r="A19" s="285"/>
      <c r="B19" s="415" t="str">
        <f>B272</f>
        <v>Adverse events, various (cases)</v>
      </c>
      <c r="C19" s="399"/>
      <c r="D19" s="397">
        <f>D295</f>
        <v>10.225949860208829</v>
      </c>
      <c r="E19" s="397">
        <f t="shared" ref="E19:I19" si="17">E295</f>
        <v>5.7961882790315791</v>
      </c>
      <c r="F19" s="397">
        <f t="shared" si="17"/>
        <v>1.7405489059462509</v>
      </c>
      <c r="G19" s="397">
        <f t="shared" si="17"/>
        <v>1.7639534171785378</v>
      </c>
      <c r="H19" s="397">
        <f t="shared" si="17"/>
        <v>1.7809611164023129</v>
      </c>
      <c r="I19" s="397">
        <f t="shared" si="17"/>
        <v>1.7981328005874073</v>
      </c>
      <c r="J19" s="132"/>
      <c r="K19" s="132"/>
      <c r="L19" s="286">
        <f>L295</f>
        <v>23.637975315403601</v>
      </c>
      <c r="M19" s="286">
        <f>M295</f>
        <v>13.597209063835795</v>
      </c>
      <c r="N19" s="286">
        <f t="shared" ref="N19:Q19" si="18">N295</f>
        <v>4.4055404200442361</v>
      </c>
      <c r="O19" s="286">
        <f t="shared" si="18"/>
        <v>4.4599982427473872</v>
      </c>
      <c r="P19" s="286">
        <f t="shared" si="18"/>
        <v>4.5030006870934196</v>
      </c>
      <c r="Q19" s="286">
        <f t="shared" si="18"/>
        <v>4.5464177527283134</v>
      </c>
      <c r="R19" s="132"/>
      <c r="S19" s="132"/>
      <c r="T19" s="132"/>
      <c r="U19" s="132"/>
      <c r="V19" s="132"/>
      <c r="W19" s="132"/>
      <c r="X19" s="132"/>
      <c r="Y19" s="132"/>
      <c r="Z19" s="132"/>
    </row>
    <row r="20" spans="1:40">
      <c r="B20" s="243"/>
      <c r="D20" s="281"/>
      <c r="F20" s="132"/>
      <c r="G20" s="132"/>
      <c r="H20" s="132"/>
      <c r="I20" s="132"/>
      <c r="J20" s="132"/>
      <c r="K20" s="132"/>
      <c r="L20" s="287">
        <f t="shared" ref="L20:Q20" si="19">SUM(L10:L19)</f>
        <v>32.14404891122328</v>
      </c>
      <c r="M20" s="287">
        <f t="shared" si="19"/>
        <v>22.179373764561262</v>
      </c>
      <c r="N20" s="287">
        <f t="shared" si="19"/>
        <v>13.076432626097175</v>
      </c>
      <c r="O20" s="287">
        <f t="shared" si="19"/>
        <v>13.223549896418374</v>
      </c>
      <c r="P20" s="287">
        <f t="shared" si="19"/>
        <v>13.351048818509298</v>
      </c>
      <c r="Q20" s="287">
        <f t="shared" si="19"/>
        <v>13.479777060658877</v>
      </c>
      <c r="R20" s="132"/>
      <c r="S20" s="132"/>
      <c r="T20" s="132"/>
      <c r="U20" s="132"/>
      <c r="V20" s="132"/>
      <c r="W20" s="132"/>
      <c r="X20" s="132"/>
      <c r="Y20" s="132"/>
      <c r="Z20" s="132"/>
    </row>
    <row r="21" spans="1:40">
      <c r="B21" s="300"/>
      <c r="C21" s="300"/>
      <c r="D21" s="300"/>
      <c r="E21" s="300"/>
      <c r="F21" s="300"/>
      <c r="G21" s="300"/>
      <c r="H21" s="300"/>
      <c r="I21" s="300"/>
      <c r="J21" s="300"/>
      <c r="K21" s="300"/>
      <c r="L21" s="300"/>
      <c r="P21" s="132"/>
      <c r="Q21" s="132"/>
      <c r="R21" s="132"/>
      <c r="S21" s="132"/>
      <c r="V21" s="132"/>
      <c r="W21" s="132"/>
      <c r="X21" s="132"/>
      <c r="Y21" s="132"/>
      <c r="Z21" s="132"/>
      <c r="AJ21" s="281"/>
      <c r="AK21" s="281"/>
      <c r="AL21" s="281"/>
      <c r="AM21" s="281"/>
      <c r="AN21" s="281"/>
    </row>
    <row r="22" spans="1:40">
      <c r="B22" s="352" t="s">
        <v>832</v>
      </c>
      <c r="C22" s="353"/>
      <c r="D22" s="353"/>
      <c r="E22" s="354"/>
      <c r="F22" s="353"/>
      <c r="G22" s="355"/>
      <c r="H22" s="356"/>
      <c r="I22" s="356"/>
      <c r="J22" s="356"/>
      <c r="K22" s="356"/>
      <c r="L22" s="356"/>
      <c r="M22" s="356"/>
      <c r="N22" s="356"/>
      <c r="O22" s="356"/>
      <c r="P22" s="356"/>
      <c r="Q22" s="357"/>
      <c r="R22" s="132"/>
      <c r="S22" s="132"/>
      <c r="T22" s="132"/>
      <c r="U22" s="132"/>
      <c r="V22" s="132"/>
      <c r="W22" s="132"/>
      <c r="X22" s="132"/>
      <c r="Y22" s="132"/>
      <c r="Z22" s="132"/>
      <c r="AJ22" s="281"/>
      <c r="AK22" s="281"/>
      <c r="AL22" s="281"/>
      <c r="AM22" s="281"/>
      <c r="AN22" s="281"/>
    </row>
    <row r="23" spans="1:40">
      <c r="A23" s="282"/>
      <c r="B23" s="523" t="s">
        <v>1072</v>
      </c>
      <c r="C23" s="518"/>
      <c r="D23" s="519"/>
      <c r="E23" s="520"/>
      <c r="F23" s="282"/>
      <c r="G23" s="282"/>
      <c r="H23" s="214"/>
      <c r="I23" s="214"/>
      <c r="J23" s="214"/>
      <c r="K23" s="214"/>
      <c r="L23" s="214"/>
      <c r="M23" s="214"/>
      <c r="N23" s="214"/>
      <c r="O23" s="214"/>
      <c r="P23" s="214"/>
      <c r="Q23" s="214"/>
      <c r="R23" s="132"/>
      <c r="S23" s="132"/>
      <c r="T23" s="132"/>
      <c r="U23" s="132"/>
      <c r="V23" s="132"/>
      <c r="W23" s="132"/>
      <c r="X23" s="132"/>
      <c r="Y23" s="132"/>
      <c r="Z23" s="132"/>
      <c r="AJ23" s="281"/>
      <c r="AK23" s="281"/>
      <c r="AL23" s="281"/>
      <c r="AM23" s="281"/>
      <c r="AN23" s="281"/>
    </row>
    <row r="24" spans="1:40">
      <c r="A24" s="282"/>
      <c r="B24" s="523" t="s">
        <v>1072</v>
      </c>
      <c r="C24" s="518"/>
      <c r="D24" s="519"/>
      <c r="E24" s="520"/>
      <c r="F24" s="282"/>
      <c r="G24" s="282"/>
      <c r="H24" s="214"/>
      <c r="I24" s="214"/>
      <c r="J24" s="214"/>
      <c r="K24" s="214"/>
      <c r="L24" s="214"/>
      <c r="M24" s="214"/>
      <c r="N24" s="214"/>
      <c r="O24" s="214"/>
      <c r="P24" s="214"/>
      <c r="Q24" s="214"/>
      <c r="R24" s="132"/>
      <c r="S24" s="132"/>
      <c r="T24" s="132"/>
      <c r="U24" s="132"/>
      <c r="V24" s="132"/>
      <c r="W24" s="132"/>
      <c r="X24" s="132"/>
      <c r="Y24" s="132"/>
      <c r="Z24" s="132"/>
      <c r="AJ24" s="281"/>
      <c r="AK24" s="281"/>
      <c r="AL24" s="281"/>
      <c r="AM24" s="281"/>
      <c r="AN24" s="281"/>
    </row>
    <row r="25" spans="1:40">
      <c r="A25" s="516"/>
      <c r="B25" s="521" t="s">
        <v>1073</v>
      </c>
      <c r="C25" s="369"/>
      <c r="D25" s="369"/>
      <c r="E25" s="369"/>
      <c r="F25" s="369"/>
      <c r="G25" s="369"/>
      <c r="H25" s="369"/>
      <c r="I25" s="213"/>
      <c r="J25" s="214"/>
      <c r="K25" s="214"/>
      <c r="L25" s="214"/>
      <c r="M25" s="214"/>
      <c r="N25" s="214"/>
      <c r="O25" s="214"/>
      <c r="P25" s="214"/>
      <c r="Q25" s="214"/>
      <c r="R25" s="132"/>
      <c r="S25" s="132"/>
      <c r="T25" s="132"/>
      <c r="U25" s="132"/>
      <c r="V25" s="132"/>
      <c r="W25" s="132"/>
      <c r="X25" s="132"/>
      <c r="Y25" s="132"/>
      <c r="Z25" s="132"/>
      <c r="AJ25" s="281"/>
      <c r="AK25" s="281"/>
      <c r="AL25" s="281"/>
      <c r="AM25" s="281"/>
      <c r="AN25" s="281"/>
    </row>
    <row r="26" spans="1:40" ht="45">
      <c r="A26" s="516"/>
      <c r="B26" s="299" t="s">
        <v>757</v>
      </c>
      <c r="C26" s="165" t="s">
        <v>1135</v>
      </c>
      <c r="D26" s="392" t="s">
        <v>825</v>
      </c>
      <c r="E26" s="251" t="s">
        <v>674</v>
      </c>
      <c r="F26" s="251" t="s">
        <v>675</v>
      </c>
      <c r="G26" s="164" t="s">
        <v>792</v>
      </c>
      <c r="H26" s="164" t="s">
        <v>793</v>
      </c>
      <c r="I26" s="251" t="s">
        <v>794</v>
      </c>
      <c r="J26" s="522"/>
      <c r="K26" s="515" t="s">
        <v>1071</v>
      </c>
      <c r="L26" s="392" t="s">
        <v>825</v>
      </c>
      <c r="M26" s="504" t="s">
        <v>674</v>
      </c>
      <c r="N26" s="504" t="s">
        <v>675</v>
      </c>
      <c r="O26" s="393" t="s">
        <v>792</v>
      </c>
      <c r="P26" s="393" t="s">
        <v>793</v>
      </c>
      <c r="Q26" s="504" t="s">
        <v>794</v>
      </c>
      <c r="R26" s="132"/>
      <c r="S26" s="132"/>
      <c r="T26" s="132"/>
      <c r="U26" s="132"/>
      <c r="V26" s="132"/>
      <c r="W26" s="132"/>
      <c r="X26" s="132"/>
      <c r="Y26" s="132"/>
      <c r="Z26" s="132"/>
      <c r="AJ26" s="281"/>
      <c r="AK26" s="281"/>
      <c r="AL26" s="281"/>
      <c r="AM26" s="281"/>
      <c r="AN26" s="281"/>
    </row>
    <row r="27" spans="1:40">
      <c r="A27" s="516"/>
      <c r="B27" s="326" t="s">
        <v>938</v>
      </c>
      <c r="C27" s="148">
        <f>'Inputs and eligible population'!F97</f>
        <v>1</v>
      </c>
      <c r="D27" s="127">
        <f>('Financial impact (cash)'!$D$13+'Financial impact (cash)'!$D$14)*'Capacity (local prices)'!$C$27</f>
        <v>0</v>
      </c>
      <c r="E27" s="127">
        <f>('Financial impact (cash)'!$E$13+'Financial impact (cash)'!$E$14)*'Capacity (local prices)'!$C$27</f>
        <v>14.125143946882528</v>
      </c>
      <c r="F27" s="127">
        <f>('Financial impact (cash)'!F$13+'Financial impact (cash)'!F$14)*'Capacity (local prices)'!$C$27</f>
        <v>27.096538143915435</v>
      </c>
      <c r="G27" s="127">
        <f>('Financial impact (cash)'!G$13+'Financial impact (cash)'!G$14)*'Capacity (local prices)'!$C$27</f>
        <v>27.35779774763807</v>
      </c>
      <c r="H27" s="127">
        <f>('Financial impact (cash)'!H$13+'Financial impact (cash)'!H$14)*'Capacity (local prices)'!$C$27</f>
        <v>27.621576366157903</v>
      </c>
      <c r="I27" s="127">
        <f>('Financial impact (cash)'!I$13+'Financial impact (cash)'!I$14)*'Capacity (local prices)'!$C$27</f>
        <v>27.887898287330604</v>
      </c>
      <c r="J27" s="522"/>
      <c r="K27" s="528">
        <f>'Unit costs'!$N$54</f>
        <v>304</v>
      </c>
      <c r="L27" s="530">
        <f>$K27/1000*D27</f>
        <v>0</v>
      </c>
      <c r="M27" s="530">
        <f>$K27/1000*E27</f>
        <v>4.294043759852288</v>
      </c>
      <c r="N27" s="530">
        <f t="shared" ref="M27:Q30" si="20">$K27/1000*F27</f>
        <v>8.2373475957502915</v>
      </c>
      <c r="O27" s="530">
        <f t="shared" si="20"/>
        <v>8.3167705152819735</v>
      </c>
      <c r="P27" s="530">
        <f t="shared" si="20"/>
        <v>8.3969592153120018</v>
      </c>
      <c r="Q27" s="530">
        <f t="shared" si="20"/>
        <v>8.4779210793485031</v>
      </c>
      <c r="R27" s="132"/>
      <c r="S27" s="132"/>
      <c r="T27" s="132"/>
      <c r="U27" s="132"/>
      <c r="V27" s="132"/>
      <c r="W27" s="132"/>
      <c r="X27" s="132"/>
      <c r="Y27" s="132"/>
      <c r="Z27" s="132"/>
      <c r="AJ27" s="281"/>
      <c r="AK27" s="281"/>
      <c r="AL27" s="281"/>
      <c r="AM27" s="281"/>
      <c r="AN27" s="281"/>
    </row>
    <row r="28" spans="1:40">
      <c r="A28" s="516"/>
      <c r="B28" s="326" t="s">
        <v>958</v>
      </c>
      <c r="C28" s="673">
        <f>'Inputs and eligible population'!G97</f>
        <v>1</v>
      </c>
      <c r="D28" s="127">
        <f>'Financial impact (cash)'!D$15*'Capacity (local prices)'!$C$28</f>
        <v>20.26174518060494</v>
      </c>
      <c r="E28" s="127">
        <f>'Financial impact (cash)'!E$15*'Capacity (local prices)'!$C$28</f>
        <v>10.228552513259761</v>
      </c>
      <c r="F28" s="127">
        <f>'Financial impact (cash)'!F$15*'Capacity (local prices)'!$C$28</f>
        <v>1.0327174247227298</v>
      </c>
      <c r="G28" s="127">
        <f>'Financial impact (cash)'!G$15*'Capacity (local prices)'!$C$28</f>
        <v>1.0426746872965509</v>
      </c>
      <c r="H28" s="127">
        <f>'Financial impact (cash)'!H$15*'Capacity (local prices)'!$C$28</f>
        <v>1.0527279558789764</v>
      </c>
      <c r="I28" s="127">
        <f>'Financial impact (cash)'!I$15*'Capacity (local prices)'!$C$28</f>
        <v>1.0628781561414569</v>
      </c>
      <c r="J28" s="522"/>
      <c r="K28" s="528">
        <f>'Unit costs'!$N$54</f>
        <v>304</v>
      </c>
      <c r="L28" s="530">
        <f>$K28/1000*D28</f>
        <v>6.1595705349039021</v>
      </c>
      <c r="M28" s="530">
        <f t="shared" si="20"/>
        <v>3.1094799640309669</v>
      </c>
      <c r="N28" s="530">
        <f t="shared" si="20"/>
        <v>0.31394609711570987</v>
      </c>
      <c r="O28" s="530">
        <f t="shared" si="20"/>
        <v>0.31697310493815145</v>
      </c>
      <c r="P28" s="530">
        <f t="shared" si="20"/>
        <v>0.3200292985872088</v>
      </c>
      <c r="Q28" s="530">
        <f t="shared" si="20"/>
        <v>0.32311495946700286</v>
      </c>
      <c r="R28" s="132"/>
      <c r="S28" s="132"/>
      <c r="T28" s="132"/>
      <c r="U28" s="132"/>
      <c r="V28" s="132"/>
      <c r="W28" s="132"/>
      <c r="X28" s="132"/>
      <c r="Y28" s="132"/>
      <c r="Z28" s="132"/>
      <c r="AJ28" s="281"/>
      <c r="AK28" s="281"/>
      <c r="AL28" s="281"/>
      <c r="AM28" s="281"/>
      <c r="AN28" s="281"/>
    </row>
    <row r="29" spans="1:40">
      <c r="A29" s="516"/>
      <c r="B29" s="326" t="s">
        <v>934</v>
      </c>
      <c r="C29" s="148">
        <f>'Inputs and eligible population'!H97</f>
        <v>1</v>
      </c>
      <c r="D29" s="127">
        <f>'Financial impact (cash)'!D$16*$C$29</f>
        <v>7.1398530636417421</v>
      </c>
      <c r="E29" s="127">
        <f>'Financial impact (cash)'!E$16*$C$29</f>
        <v>3.5848641189329453</v>
      </c>
      <c r="F29" s="127">
        <f>'Financial impact (cash)'!F$16*$C$29</f>
        <v>0.36390994966420004</v>
      </c>
      <c r="G29" s="127">
        <f>'Financial impact (cash)'!G$16*$C$29</f>
        <v>0.36741869933307031</v>
      </c>
      <c r="H29" s="127">
        <f>'Financial impact (cash)'!H$16*$C$29</f>
        <v>0.37096127969068698</v>
      </c>
      <c r="I29" s="127">
        <f>'Financial impact (cash)'!I$16*$C$29</f>
        <v>0.37453801692603722</v>
      </c>
      <c r="J29" s="522"/>
      <c r="K29" s="528">
        <f>'Unit costs'!$N$54</f>
        <v>304</v>
      </c>
      <c r="L29" s="530">
        <f t="shared" ref="L29:L30" si="21">$K29/1000*D29</f>
        <v>2.1705153313470897</v>
      </c>
      <c r="M29" s="530">
        <f t="shared" si="20"/>
        <v>1.0897986921556153</v>
      </c>
      <c r="N29" s="530">
        <f t="shared" si="20"/>
        <v>0.1106286246979168</v>
      </c>
      <c r="O29" s="530">
        <f t="shared" si="20"/>
        <v>0.11169528459725338</v>
      </c>
      <c r="P29" s="530">
        <f t="shared" si="20"/>
        <v>0.11277222902596884</v>
      </c>
      <c r="Q29" s="530">
        <f t="shared" si="20"/>
        <v>0.11385955714551531</v>
      </c>
      <c r="R29" s="132"/>
      <c r="S29" s="132"/>
      <c r="T29" s="132"/>
      <c r="U29" s="132"/>
      <c r="V29" s="132"/>
      <c r="W29" s="132"/>
      <c r="X29" s="132"/>
      <c r="Y29" s="132"/>
      <c r="Z29" s="132"/>
      <c r="AJ29" s="281"/>
      <c r="AK29" s="281"/>
      <c r="AL29" s="281"/>
      <c r="AM29" s="281"/>
      <c r="AN29" s="281"/>
    </row>
    <row r="30" spans="1:40">
      <c r="A30" s="516"/>
      <c r="B30" s="326" t="s">
        <v>935</v>
      </c>
      <c r="C30" s="148">
        <f>'Inputs and eligible population'!I97</f>
        <v>1</v>
      </c>
      <c r="D30" s="127">
        <f>'Financial impact (cash)'!D$17*$C$30</f>
        <v>0.57890700516014115</v>
      </c>
      <c r="E30" s="127">
        <f>'Financial impact (cash)'!E$17*$C$30</f>
        <v>0.29224435752170747</v>
      </c>
      <c r="F30" s="127">
        <f>'Financial impact (cash)'!F$17*$C$30</f>
        <v>2.9506212134935136E-2</v>
      </c>
      <c r="G30" s="127">
        <f>'Financial impact (cash)'!G$17*$C$30</f>
        <v>5.958141070266005E-2</v>
      </c>
      <c r="H30" s="127">
        <f>'Financial impact (cash)'!H$17*$C$30</f>
        <v>6.0155883193084375E-2</v>
      </c>
      <c r="I30" s="127">
        <f>'Financial impact (cash)'!I$17*$C$30</f>
        <v>6.0735894636654679E-2</v>
      </c>
      <c r="J30" s="522"/>
      <c r="K30" s="528">
        <f>'Unit costs'!$N$54</f>
        <v>304</v>
      </c>
      <c r="L30" s="530">
        <f t="shared" si="21"/>
        <v>0.17598772956868292</v>
      </c>
      <c r="M30" s="530">
        <f>$K30/1000*E30</f>
        <v>8.8842284686599063E-2</v>
      </c>
      <c r="N30" s="530">
        <f t="shared" si="20"/>
        <v>8.9698884890202814E-3</v>
      </c>
      <c r="O30" s="530">
        <f t="shared" si="20"/>
        <v>1.8112748853608654E-2</v>
      </c>
      <c r="P30" s="530">
        <f t="shared" si="20"/>
        <v>1.8287388490697651E-2</v>
      </c>
      <c r="Q30" s="530">
        <f t="shared" si="20"/>
        <v>1.8463711969543023E-2</v>
      </c>
      <c r="R30" s="132"/>
      <c r="S30" s="132"/>
      <c r="T30" s="132"/>
      <c r="U30" s="132"/>
      <c r="V30" s="132"/>
      <c r="W30" s="132"/>
      <c r="X30" s="132"/>
      <c r="Y30" s="132"/>
      <c r="Z30" s="132"/>
      <c r="AJ30" s="281"/>
      <c r="AK30" s="281"/>
      <c r="AL30" s="281"/>
      <c r="AM30" s="281"/>
      <c r="AN30" s="281"/>
    </row>
    <row r="31" spans="1:40">
      <c r="A31" s="516"/>
      <c r="B31" s="486"/>
      <c r="C31" s="278"/>
      <c r="D31" s="184">
        <f>SUM(D27:D30)</f>
        <v>27.980505249406821</v>
      </c>
      <c r="E31" s="184">
        <f t="shared" ref="E31:I31" si="22">SUM(E27:E30)</f>
        <v>28.23080493659694</v>
      </c>
      <c r="F31" s="184">
        <f t="shared" si="22"/>
        <v>28.522671730437303</v>
      </c>
      <c r="G31" s="184">
        <f t="shared" si="22"/>
        <v>28.827472544970348</v>
      </c>
      <c r="H31" s="184">
        <f t="shared" si="22"/>
        <v>29.105421484920647</v>
      </c>
      <c r="I31" s="184">
        <f t="shared" si="22"/>
        <v>29.386050355034754</v>
      </c>
      <c r="J31" s="522"/>
      <c r="K31" s="214"/>
      <c r="L31" s="287">
        <f>SUM(L27:L30)</f>
        <v>8.5060735958196751</v>
      </c>
      <c r="M31" s="287">
        <f t="shared" ref="M31:Q31" si="23">SUM(M27:M30)</f>
        <v>8.5821647007254693</v>
      </c>
      <c r="N31" s="287">
        <f t="shared" si="23"/>
        <v>8.6708922060529385</v>
      </c>
      <c r="O31" s="287">
        <f t="shared" si="23"/>
        <v>8.7635516536709872</v>
      </c>
      <c r="P31" s="287">
        <f t="shared" si="23"/>
        <v>8.8480481314158776</v>
      </c>
      <c r="Q31" s="287">
        <f t="shared" si="23"/>
        <v>8.933359307930564</v>
      </c>
      <c r="R31" s="132"/>
      <c r="S31" s="132"/>
      <c r="T31" s="132"/>
      <c r="U31" s="132"/>
      <c r="V31" s="132"/>
      <c r="W31" s="132"/>
      <c r="X31" s="132"/>
      <c r="Y31" s="132"/>
      <c r="Z31" s="132"/>
      <c r="AJ31" s="281"/>
      <c r="AK31" s="281"/>
      <c r="AL31" s="281"/>
      <c r="AM31" s="281"/>
      <c r="AN31" s="281"/>
    </row>
    <row r="32" spans="1:40">
      <c r="A32" s="516"/>
      <c r="B32" s="252"/>
      <c r="C32" s="252"/>
      <c r="D32" s="280" t="s">
        <v>835</v>
      </c>
      <c r="E32" s="184">
        <f>E31-$D$31</f>
        <v>0.25029968719011819</v>
      </c>
      <c r="F32" s="184">
        <f>F31-$D$31</f>
        <v>0.54216648103048115</v>
      </c>
      <c r="G32" s="184">
        <f>G31-$D$31</f>
        <v>0.84696729556352679</v>
      </c>
      <c r="H32" s="184">
        <f>H31-$D$31</f>
        <v>1.124916235513826</v>
      </c>
      <c r="I32" s="184">
        <f>I31-$D$31</f>
        <v>1.4055451056279331</v>
      </c>
      <c r="J32" s="522"/>
      <c r="K32" s="214"/>
      <c r="L32" s="214"/>
      <c r="M32" s="287">
        <f>M31-$L31</f>
        <v>7.6091104905794182E-2</v>
      </c>
      <c r="N32" s="287">
        <f t="shared" ref="N32:Q32" si="24">N31-$L31</f>
        <v>0.16481861023326339</v>
      </c>
      <c r="O32" s="287">
        <f t="shared" si="24"/>
        <v>0.25747805785131206</v>
      </c>
      <c r="P32" s="287">
        <f t="shared" si="24"/>
        <v>0.3419745355962025</v>
      </c>
      <c r="Q32" s="287">
        <f t="shared" si="24"/>
        <v>0.42728571211088884</v>
      </c>
      <c r="R32" s="132"/>
      <c r="S32" s="132"/>
      <c r="T32" s="132"/>
      <c r="U32" s="132"/>
      <c r="V32" s="132"/>
      <c r="W32" s="132"/>
      <c r="X32" s="132"/>
      <c r="Y32" s="132"/>
      <c r="Z32" s="132"/>
      <c r="AJ32" s="281"/>
      <c r="AK32" s="281"/>
      <c r="AL32" s="281"/>
      <c r="AM32" s="281"/>
      <c r="AN32" s="281"/>
    </row>
    <row r="33" spans="1:40">
      <c r="A33" s="282"/>
      <c r="B33" s="517"/>
      <c r="C33" s="518"/>
      <c r="D33" s="519"/>
      <c r="E33" s="520"/>
      <c r="F33" s="282"/>
      <c r="G33" s="282"/>
      <c r="H33" s="282"/>
      <c r="I33" s="290"/>
      <c r="J33" s="214"/>
      <c r="K33" s="214"/>
      <c r="L33" s="214"/>
      <c r="M33" s="214"/>
      <c r="N33" s="214"/>
      <c r="O33" s="214"/>
      <c r="P33" s="214"/>
      <c r="Q33" s="214"/>
      <c r="R33" s="132"/>
      <c r="S33" s="132"/>
      <c r="T33" s="132"/>
      <c r="U33" s="132"/>
      <c r="V33" s="132"/>
      <c r="W33" s="132"/>
      <c r="X33" s="132"/>
      <c r="Y33" s="132"/>
      <c r="Z33" s="132"/>
      <c r="AJ33" s="281"/>
      <c r="AK33" s="281"/>
      <c r="AL33" s="281"/>
      <c r="AM33" s="281"/>
      <c r="AN33" s="281"/>
    </row>
    <row r="34" spans="1:40">
      <c r="A34" s="282"/>
      <c r="B34" s="368" t="s">
        <v>1074</v>
      </c>
      <c r="C34" s="369"/>
      <c r="D34" s="369"/>
      <c r="E34" s="369"/>
      <c r="F34" s="369"/>
      <c r="G34" s="369"/>
      <c r="H34" s="369"/>
      <c r="I34" s="213"/>
      <c r="J34" s="214"/>
      <c r="K34" s="214"/>
      <c r="L34" s="214"/>
      <c r="M34" s="214"/>
      <c r="N34" s="214"/>
      <c r="O34" s="214"/>
      <c r="P34" s="214"/>
      <c r="Q34" s="214"/>
      <c r="R34" s="132"/>
      <c r="S34" s="132"/>
      <c r="T34" s="132"/>
      <c r="U34" s="132"/>
      <c r="V34" s="132"/>
      <c r="W34" s="132"/>
      <c r="X34" s="132"/>
      <c r="Y34" s="132"/>
      <c r="Z34" s="132"/>
      <c r="AJ34" s="281"/>
      <c r="AK34" s="281"/>
      <c r="AL34" s="281"/>
      <c r="AM34" s="281"/>
      <c r="AN34" s="281"/>
    </row>
    <row r="35" spans="1:40" ht="45">
      <c r="A35" s="282"/>
      <c r="B35" s="277" t="s">
        <v>757</v>
      </c>
      <c r="C35" s="385" t="s">
        <v>1142</v>
      </c>
      <c r="D35" s="392" t="s">
        <v>825</v>
      </c>
      <c r="E35" s="251" t="s">
        <v>674</v>
      </c>
      <c r="F35" s="251" t="s">
        <v>675</v>
      </c>
      <c r="G35" s="164" t="s">
        <v>792</v>
      </c>
      <c r="H35" s="164" t="s">
        <v>793</v>
      </c>
      <c r="I35" s="251" t="s">
        <v>794</v>
      </c>
      <c r="J35" s="214"/>
      <c r="K35" s="515" t="s">
        <v>845</v>
      </c>
      <c r="L35" s="392" t="s">
        <v>825</v>
      </c>
      <c r="M35" s="504" t="s">
        <v>674</v>
      </c>
      <c r="N35" s="504" t="s">
        <v>675</v>
      </c>
      <c r="O35" s="393" t="s">
        <v>792</v>
      </c>
      <c r="P35" s="393" t="s">
        <v>793</v>
      </c>
      <c r="Q35" s="504" t="s">
        <v>794</v>
      </c>
      <c r="R35" s="132"/>
      <c r="S35" s="132"/>
      <c r="T35" s="132"/>
      <c r="U35" s="132"/>
      <c r="V35" s="132"/>
      <c r="W35" s="132"/>
      <c r="X35" s="132"/>
      <c r="Y35" s="132"/>
      <c r="Z35" s="132"/>
      <c r="AJ35" s="281"/>
      <c r="AK35" s="281"/>
      <c r="AL35" s="281"/>
      <c r="AM35" s="281"/>
      <c r="AN35" s="281"/>
    </row>
    <row r="36" spans="1:40">
      <c r="A36" s="282"/>
      <c r="B36" s="326" t="s">
        <v>1143</v>
      </c>
      <c r="C36" s="758">
        <f>'Inputs and eligible population'!$F$99</f>
        <v>1</v>
      </c>
      <c r="D36" s="127">
        <f>'Financial impact (cash)'!D13*C36*'Inputs and eligible population'!$E$59</f>
        <v>0</v>
      </c>
      <c r="E36" s="127">
        <f>'Financial impact (cash)'!E13*'Capacity (local prices)'!$C36*'Inputs and eligible population'!$E$59</f>
        <v>0</v>
      </c>
      <c r="F36" s="127">
        <f>'Financial impact (cash)'!F13*'Capacity (local prices)'!$C36*'Inputs and eligible population'!$E$59</f>
        <v>0</v>
      </c>
      <c r="G36" s="127">
        <f>'Financial impact (cash)'!G13*'Capacity (local prices)'!$C36*'Inputs and eligible population'!$E$59</f>
        <v>0</v>
      </c>
      <c r="H36" s="127">
        <f>'Financial impact (cash)'!H13*'Capacity (local prices)'!$C36*'Inputs and eligible population'!$E$59</f>
        <v>0</v>
      </c>
      <c r="I36" s="127">
        <f>'Financial impact (cash)'!I13*'Capacity (local prices)'!$C36*'Inputs and eligible population'!$E$59</f>
        <v>0</v>
      </c>
      <c r="J36" s="214"/>
      <c r="K36" s="528">
        <f>'Unit costs'!$N$59</f>
        <v>141</v>
      </c>
      <c r="L36" s="530">
        <f>$K36/1000*D36</f>
        <v>0</v>
      </c>
      <c r="M36" s="530">
        <f t="shared" ref="M36:Q51" si="25">$K36/1000*E36</f>
        <v>0</v>
      </c>
      <c r="N36" s="530">
        <f t="shared" si="25"/>
        <v>0</v>
      </c>
      <c r="O36" s="530">
        <f t="shared" si="25"/>
        <v>0</v>
      </c>
      <c r="P36" s="530">
        <f t="shared" si="25"/>
        <v>0</v>
      </c>
      <c r="Q36" s="530">
        <f t="shared" si="25"/>
        <v>0</v>
      </c>
      <c r="R36" s="132"/>
      <c r="S36" s="132"/>
      <c r="T36" s="132"/>
      <c r="U36" s="132"/>
      <c r="V36" s="132"/>
      <c r="W36" s="132"/>
      <c r="X36" s="132"/>
      <c r="Y36" s="132"/>
      <c r="Z36" s="132"/>
      <c r="AJ36" s="281"/>
      <c r="AK36" s="281"/>
      <c r="AL36" s="281"/>
      <c r="AM36" s="281"/>
      <c r="AN36" s="281"/>
    </row>
    <row r="37" spans="1:40">
      <c r="A37" s="282"/>
      <c r="B37" s="326" t="s">
        <v>1144</v>
      </c>
      <c r="C37" s="758">
        <f>'Inputs and eligible population'!$F$99</f>
        <v>1</v>
      </c>
      <c r="D37" s="127">
        <f>'Financial impact (cash)'!$D$13*'Inputs and eligible population'!$F$59*$C$37</f>
        <v>0</v>
      </c>
      <c r="E37" s="127">
        <f>'Financial impact (cash)'!$D$13*'Inputs and eligible population'!$F$59*'Capacity (local prices)'!$C$37</f>
        <v>0</v>
      </c>
      <c r="F37" s="127">
        <f>'Financial impact (cash)'!$E$13*'Inputs and eligible population'!$F$59*'Capacity (local prices)'!$C$37</f>
        <v>0</v>
      </c>
      <c r="G37" s="127">
        <f>'Financial impact (cash)'!$F$13*'Inputs and eligible population'!$F$59*'Capacity (local prices)'!$C$37</f>
        <v>0</v>
      </c>
      <c r="H37" s="127">
        <f>'Financial impact (cash)'!$G$13*'Inputs and eligible population'!$F$59*'Capacity (local prices)'!$C$37</f>
        <v>0</v>
      </c>
      <c r="I37" s="127">
        <f>'Financial impact (cash)'!$H$13*'Inputs and eligible population'!$F$59*'Capacity (local prices)'!$C$37</f>
        <v>0</v>
      </c>
      <c r="J37" s="214"/>
      <c r="K37" s="528">
        <f>'Unit costs'!$N$59</f>
        <v>141</v>
      </c>
      <c r="L37" s="530">
        <f t="shared" ref="L37:L40" si="26">$K37/1000*D37</f>
        <v>0</v>
      </c>
      <c r="M37" s="530">
        <f t="shared" si="25"/>
        <v>0</v>
      </c>
      <c r="N37" s="530">
        <f t="shared" si="25"/>
        <v>0</v>
      </c>
      <c r="O37" s="530">
        <f t="shared" si="25"/>
        <v>0</v>
      </c>
      <c r="P37" s="530">
        <f t="shared" si="25"/>
        <v>0</v>
      </c>
      <c r="Q37" s="530">
        <f t="shared" si="25"/>
        <v>0</v>
      </c>
      <c r="R37" s="132"/>
      <c r="S37" s="132"/>
      <c r="T37" s="132"/>
      <c r="U37" s="132"/>
      <c r="V37" s="132"/>
      <c r="W37" s="132"/>
      <c r="X37" s="132"/>
      <c r="Y37" s="132"/>
      <c r="Z37" s="132"/>
      <c r="AJ37" s="281"/>
      <c r="AK37" s="281"/>
      <c r="AL37" s="281"/>
      <c r="AM37" s="281"/>
      <c r="AN37" s="281"/>
    </row>
    <row r="38" spans="1:40">
      <c r="A38" s="282"/>
      <c r="B38" s="326" t="s">
        <v>1145</v>
      </c>
      <c r="C38" s="758">
        <f>'Inputs and eligible population'!$F$99</f>
        <v>1</v>
      </c>
      <c r="D38" s="127">
        <f>'Financial impact (cash)'!$D$13*'Inputs and eligible population'!$G$59*'Capacity (local prices)'!$C$38</f>
        <v>0</v>
      </c>
      <c r="E38" s="127">
        <f>'Financial impact (cash)'!$D$13*'Inputs and eligible population'!$G$59*'Capacity (local prices)'!$C$38</f>
        <v>0</v>
      </c>
      <c r="F38" s="127">
        <f>'Financial impact (cash)'!$D$13*'Inputs and eligible population'!$G$59*'Capacity (local prices)'!$C$38</f>
        <v>0</v>
      </c>
      <c r="G38" s="127">
        <f>'Financial impact (cash)'!$E$13*'Inputs and eligible population'!$G$59*'Capacity (local prices)'!$C$38</f>
        <v>0</v>
      </c>
      <c r="H38" s="127">
        <f>'Financial impact (cash)'!$F$13*'Inputs and eligible population'!$G$59*'Capacity (local prices)'!$C$38</f>
        <v>0</v>
      </c>
      <c r="I38" s="127">
        <f>'Financial impact (cash)'!$G$13*'Inputs and eligible population'!$G$59*'Capacity (local prices)'!$C$38</f>
        <v>0</v>
      </c>
      <c r="J38" s="214"/>
      <c r="K38" s="528">
        <f>'Unit costs'!$N$59</f>
        <v>141</v>
      </c>
      <c r="L38" s="530">
        <f t="shared" si="26"/>
        <v>0</v>
      </c>
      <c r="M38" s="530">
        <f t="shared" si="25"/>
        <v>0</v>
      </c>
      <c r="N38" s="530">
        <f t="shared" si="25"/>
        <v>0</v>
      </c>
      <c r="O38" s="530">
        <f t="shared" si="25"/>
        <v>0</v>
      </c>
      <c r="P38" s="530">
        <f t="shared" si="25"/>
        <v>0</v>
      </c>
      <c r="Q38" s="530">
        <f t="shared" si="25"/>
        <v>0</v>
      </c>
      <c r="R38" s="132"/>
      <c r="S38" s="132"/>
      <c r="T38" s="132"/>
      <c r="U38" s="132"/>
      <c r="V38" s="132"/>
      <c r="W38" s="132"/>
      <c r="X38" s="132"/>
      <c r="Y38" s="132"/>
      <c r="Z38" s="132"/>
      <c r="AJ38" s="281"/>
      <c r="AK38" s="281"/>
      <c r="AL38" s="281"/>
      <c r="AM38" s="281"/>
      <c r="AN38" s="281"/>
    </row>
    <row r="39" spans="1:40">
      <c r="A39" s="282"/>
      <c r="B39" s="326" t="s">
        <v>1146</v>
      </c>
      <c r="C39" s="758">
        <f>'Inputs and eligible population'!$F$99</f>
        <v>1</v>
      </c>
      <c r="D39" s="127">
        <f>'Financial impact (cash)'!$D$13*'Inputs and eligible population'!$H$59*'Capacity (local prices)'!$C$39</f>
        <v>0</v>
      </c>
      <c r="E39" s="127">
        <f>'Financial impact (cash)'!$D$13*'Inputs and eligible population'!$H$59*'Capacity (local prices)'!$C$39</f>
        <v>0</v>
      </c>
      <c r="F39" s="127">
        <f>'Financial impact (cash)'!$D$13*'Inputs and eligible population'!$H$59*'Capacity (local prices)'!$C$39</f>
        <v>0</v>
      </c>
      <c r="G39" s="127">
        <f>'Financial impact (cash)'!$D$13*'Inputs and eligible population'!$H$59*'Capacity (local prices)'!$C$39</f>
        <v>0</v>
      </c>
      <c r="H39" s="127">
        <f>'Financial impact (cash)'!$E$13*'Inputs and eligible population'!$H$59*'Capacity (local prices)'!$C$39</f>
        <v>0</v>
      </c>
      <c r="I39" s="127">
        <f>'Financial impact (cash)'!$F$13*'Inputs and eligible population'!$H$59*'Capacity (local prices)'!$C$39</f>
        <v>0</v>
      </c>
      <c r="J39" s="214"/>
      <c r="K39" s="528">
        <f>'Unit costs'!$N$59</f>
        <v>141</v>
      </c>
      <c r="L39" s="530">
        <f t="shared" si="26"/>
        <v>0</v>
      </c>
      <c r="M39" s="530">
        <f t="shared" si="25"/>
        <v>0</v>
      </c>
      <c r="N39" s="530">
        <f t="shared" si="25"/>
        <v>0</v>
      </c>
      <c r="O39" s="530">
        <f t="shared" si="25"/>
        <v>0</v>
      </c>
      <c r="P39" s="530">
        <f t="shared" si="25"/>
        <v>0</v>
      </c>
      <c r="Q39" s="530">
        <f t="shared" si="25"/>
        <v>0</v>
      </c>
      <c r="R39" s="132"/>
      <c r="S39" s="132"/>
      <c r="T39" s="132"/>
      <c r="U39" s="132"/>
      <c r="V39" s="132"/>
      <c r="W39" s="132"/>
      <c r="X39" s="132"/>
      <c r="Y39" s="132"/>
      <c r="Z39" s="132"/>
      <c r="AJ39" s="281"/>
      <c r="AK39" s="281"/>
      <c r="AL39" s="281"/>
      <c r="AM39" s="281"/>
      <c r="AN39" s="281"/>
    </row>
    <row r="40" spans="1:40">
      <c r="A40" s="282"/>
      <c r="B40" s="326" t="s">
        <v>1147</v>
      </c>
      <c r="C40" s="758">
        <f>'Inputs and eligible population'!$F$99</f>
        <v>1</v>
      </c>
      <c r="D40" s="127">
        <f>'Financial impact (cash)'!$D$13*'Inputs and eligible population'!$H$59*'Capacity (local prices)'!$C$40</f>
        <v>0</v>
      </c>
      <c r="E40" s="127">
        <f>'Financial impact (cash)'!$D$13*'Inputs and eligible population'!$H$59*'Capacity (local prices)'!$C$40</f>
        <v>0</v>
      </c>
      <c r="F40" s="127">
        <f>'Financial impact (cash)'!$D$13*'Inputs and eligible population'!$H$59*'Capacity (local prices)'!$C$40</f>
        <v>0</v>
      </c>
      <c r="G40" s="127">
        <f>'Financial impact (cash)'!$D$13*'Inputs and eligible population'!$H$59*'Capacity (local prices)'!$C$40</f>
        <v>0</v>
      </c>
      <c r="H40" s="127">
        <f>'Financial impact (cash)'!$D$13*'Inputs and eligible population'!$H$59*'Capacity (local prices)'!$C$40</f>
        <v>0</v>
      </c>
      <c r="I40" s="127">
        <f>'Financial impact (cash)'!$E$13*'Inputs and eligible population'!$H$59*'Capacity (local prices)'!$C$40</f>
        <v>0</v>
      </c>
      <c r="J40" s="214"/>
      <c r="K40" s="528">
        <f>'Unit costs'!$N$59</f>
        <v>141</v>
      </c>
      <c r="L40" s="530">
        <f t="shared" si="26"/>
        <v>0</v>
      </c>
      <c r="M40" s="530">
        <f t="shared" si="25"/>
        <v>0</v>
      </c>
      <c r="N40" s="530">
        <f t="shared" si="25"/>
        <v>0</v>
      </c>
      <c r="O40" s="530">
        <f t="shared" si="25"/>
        <v>0</v>
      </c>
      <c r="P40" s="530">
        <f t="shared" si="25"/>
        <v>0</v>
      </c>
      <c r="Q40" s="530">
        <f t="shared" si="25"/>
        <v>0</v>
      </c>
      <c r="R40" s="132"/>
      <c r="S40" s="132"/>
      <c r="T40" s="132"/>
      <c r="U40" s="132"/>
      <c r="V40" s="132"/>
      <c r="W40" s="132"/>
      <c r="X40" s="132"/>
      <c r="Y40" s="132"/>
      <c r="Z40" s="132"/>
      <c r="AJ40" s="281"/>
      <c r="AK40" s="281"/>
      <c r="AL40" s="281"/>
      <c r="AM40" s="281"/>
      <c r="AN40" s="281"/>
    </row>
    <row r="41" spans="1:40">
      <c r="A41" s="282"/>
      <c r="B41" s="326" t="s">
        <v>1148</v>
      </c>
      <c r="C41" s="758">
        <f>'Inputs and eligible population'!$F$99</f>
        <v>1</v>
      </c>
      <c r="D41" s="127">
        <f>'Financial impact (cash)'!D14*'Capacity (local prices)'!$C41*'Inputs and eligible population'!$E$60</f>
        <v>0</v>
      </c>
      <c r="E41" s="127">
        <f>'Financial impact (cash)'!E14*'Capacity (local prices)'!$C41*'Inputs and eligible population'!$E$60</f>
        <v>0</v>
      </c>
      <c r="F41" s="127">
        <f>'Financial impact (cash)'!F14*'Capacity (local prices)'!$C41*'Inputs and eligible population'!$E$60</f>
        <v>0</v>
      </c>
      <c r="G41" s="127">
        <f>'Financial impact (cash)'!G14*'Capacity (local prices)'!$C41*'Inputs and eligible population'!$E$60</f>
        <v>0</v>
      </c>
      <c r="H41" s="127">
        <f>'Financial impact (cash)'!H14*'Capacity (local prices)'!$C41*'Inputs and eligible population'!$E$60</f>
        <v>0</v>
      </c>
      <c r="I41" s="127">
        <f>'Financial impact (cash)'!I14*'Capacity (local prices)'!$C41*'Inputs and eligible population'!$E$60</f>
        <v>0</v>
      </c>
      <c r="J41" s="214"/>
      <c r="K41" s="528">
        <f>'Unit costs'!$N$59</f>
        <v>141</v>
      </c>
      <c r="L41" s="530">
        <f>$K41/1000*D41</f>
        <v>0</v>
      </c>
      <c r="M41" s="530">
        <f t="shared" si="25"/>
        <v>0</v>
      </c>
      <c r="N41" s="530">
        <f t="shared" si="25"/>
        <v>0</v>
      </c>
      <c r="O41" s="530">
        <f t="shared" si="25"/>
        <v>0</v>
      </c>
      <c r="P41" s="530">
        <f t="shared" si="25"/>
        <v>0</v>
      </c>
      <c r="Q41" s="530">
        <f t="shared" si="25"/>
        <v>0</v>
      </c>
      <c r="R41" s="132"/>
      <c r="S41" s="132"/>
      <c r="T41" s="132"/>
      <c r="U41" s="132"/>
      <c r="V41" s="132"/>
      <c r="W41" s="132"/>
      <c r="X41" s="132"/>
      <c r="Y41" s="132"/>
      <c r="Z41" s="132"/>
      <c r="AJ41" s="281"/>
      <c r="AK41" s="281"/>
      <c r="AL41" s="281"/>
      <c r="AM41" s="281"/>
      <c r="AN41" s="281"/>
    </row>
    <row r="42" spans="1:40">
      <c r="A42" s="282"/>
      <c r="B42" s="326" t="s">
        <v>1149</v>
      </c>
      <c r="C42" s="758">
        <f>'Inputs and eligible population'!$F$99</f>
        <v>1</v>
      </c>
      <c r="D42" s="127">
        <f>'Financial impact (cash)'!$D$14*'Inputs and eligible population'!$F$60*'Capacity (local prices)'!$C$42</f>
        <v>0</v>
      </c>
      <c r="E42" s="127">
        <f>'Financial impact (cash)'!$D$14*'Inputs and eligible population'!$F$60*'Capacity (local prices)'!$C$42</f>
        <v>0</v>
      </c>
      <c r="F42" s="127">
        <f>'Financial impact (cash)'!$E$14*'Inputs and eligible population'!$F$60*'Capacity (local prices)'!$C$42</f>
        <v>0</v>
      </c>
      <c r="G42" s="127">
        <f>'Financial impact (cash)'!$F$14*'Inputs and eligible population'!$F$60*'Capacity (local prices)'!$C$42</f>
        <v>0</v>
      </c>
      <c r="H42" s="127">
        <f>'Financial impact (cash)'!$G$14*'Inputs and eligible population'!$F$60*'Capacity (local prices)'!$C$42</f>
        <v>0</v>
      </c>
      <c r="I42" s="127">
        <f>'Financial impact (cash)'!$H$14*'Inputs and eligible population'!$F$60*'Capacity (local prices)'!$C$42</f>
        <v>0</v>
      </c>
      <c r="J42" s="214"/>
      <c r="K42" s="528">
        <f>'Unit costs'!$N$59</f>
        <v>141</v>
      </c>
      <c r="L42" s="530">
        <f t="shared" ref="L42:Q57" si="27">$K42/1000*D42</f>
        <v>0</v>
      </c>
      <c r="M42" s="530">
        <f t="shared" si="25"/>
        <v>0</v>
      </c>
      <c r="N42" s="530">
        <f t="shared" si="25"/>
        <v>0</v>
      </c>
      <c r="O42" s="530">
        <f t="shared" si="25"/>
        <v>0</v>
      </c>
      <c r="P42" s="530">
        <f t="shared" si="25"/>
        <v>0</v>
      </c>
      <c r="Q42" s="530">
        <f t="shared" si="25"/>
        <v>0</v>
      </c>
      <c r="R42" s="132"/>
      <c r="S42" s="132"/>
      <c r="T42" s="132"/>
      <c r="U42" s="132"/>
      <c r="V42" s="132"/>
      <c r="W42" s="132"/>
      <c r="X42" s="132"/>
      <c r="Y42" s="132"/>
      <c r="Z42" s="132"/>
      <c r="AJ42" s="281"/>
      <c r="AK42" s="281"/>
      <c r="AL42" s="281"/>
      <c r="AM42" s="281"/>
      <c r="AN42" s="281"/>
    </row>
    <row r="43" spans="1:40">
      <c r="A43" s="282"/>
      <c r="B43" s="326" t="s">
        <v>1150</v>
      </c>
      <c r="C43" s="758">
        <f>'Inputs and eligible population'!$F$99</f>
        <v>1</v>
      </c>
      <c r="D43" s="127">
        <f>'Financial impact (cash)'!$D$14*'Inputs and eligible population'!$G$60*'Capacity (local prices)'!$C$43</f>
        <v>0</v>
      </c>
      <c r="E43" s="127">
        <f>'Financial impact (cash)'!$D$14*'Inputs and eligible population'!$G$60*'Capacity (local prices)'!$C$43</f>
        <v>0</v>
      </c>
      <c r="F43" s="127">
        <f>'Financial impact (cash)'!$D$14*'Inputs and eligible population'!$G$60*'Capacity (local prices)'!$C43</f>
        <v>0</v>
      </c>
      <c r="G43" s="127">
        <f>'Financial impact (cash)'!$E$14*'Inputs and eligible population'!$G$60*'Capacity (local prices)'!$C$43</f>
        <v>0</v>
      </c>
      <c r="H43" s="127">
        <f>'Financial impact (cash)'!$F$14*'Inputs and eligible population'!$G$60*'Capacity (local prices)'!$C$43</f>
        <v>0</v>
      </c>
      <c r="I43" s="127">
        <f>'Financial impact (cash)'!$G$14*'Inputs and eligible population'!$G$60*'Capacity (local prices)'!$C$43</f>
        <v>0</v>
      </c>
      <c r="J43" s="214"/>
      <c r="K43" s="528">
        <f>'Unit costs'!$N$59</f>
        <v>141</v>
      </c>
      <c r="L43" s="530">
        <f t="shared" si="27"/>
        <v>0</v>
      </c>
      <c r="M43" s="530">
        <f t="shared" si="25"/>
        <v>0</v>
      </c>
      <c r="N43" s="530">
        <f t="shared" si="25"/>
        <v>0</v>
      </c>
      <c r="O43" s="530">
        <f t="shared" si="25"/>
        <v>0</v>
      </c>
      <c r="P43" s="530">
        <f t="shared" si="25"/>
        <v>0</v>
      </c>
      <c r="Q43" s="530">
        <f t="shared" si="25"/>
        <v>0</v>
      </c>
      <c r="R43" s="132"/>
      <c r="S43" s="132"/>
      <c r="T43" s="132"/>
      <c r="U43" s="132"/>
      <c r="V43" s="132"/>
      <c r="W43" s="132"/>
      <c r="X43" s="132"/>
      <c r="Y43" s="132"/>
      <c r="Z43" s="132"/>
      <c r="AJ43" s="281"/>
      <c r="AK43" s="281"/>
      <c r="AL43" s="281"/>
      <c r="AM43" s="281"/>
      <c r="AN43" s="281"/>
    </row>
    <row r="44" spans="1:40">
      <c r="A44" s="282"/>
      <c r="B44" s="326" t="s">
        <v>1151</v>
      </c>
      <c r="C44" s="758">
        <f>'Inputs and eligible population'!$F$99</f>
        <v>1</v>
      </c>
      <c r="D44" s="127">
        <f>'Financial impact (cash)'!$D$14*'Inputs and eligible population'!$H$60*'Capacity (local prices)'!$C$44</f>
        <v>0</v>
      </c>
      <c r="E44" s="127">
        <f>'Financial impact (cash)'!$D$14*'Inputs and eligible population'!$H$60*'Capacity (local prices)'!$C$44</f>
        <v>0</v>
      </c>
      <c r="F44" s="127">
        <f>'Financial impact (cash)'!$D$14*'Inputs and eligible population'!$H$60*'Capacity (local prices)'!$C$44</f>
        <v>0</v>
      </c>
      <c r="G44" s="127">
        <f>'Financial impact (cash)'!$D$14*'Inputs and eligible population'!$H$60*'Capacity (local prices)'!$C$44</f>
        <v>0</v>
      </c>
      <c r="H44" s="127">
        <f>'Financial impact (cash)'!$E$14*'Inputs and eligible population'!$H$60*'Capacity (local prices)'!$C$44</f>
        <v>0</v>
      </c>
      <c r="I44" s="127">
        <f>'Financial impact (cash)'!$F$14*'Inputs and eligible population'!$H$60*'Capacity (local prices)'!$C$44</f>
        <v>0</v>
      </c>
      <c r="J44" s="214"/>
      <c r="K44" s="528">
        <f>'Unit costs'!$N$59</f>
        <v>141</v>
      </c>
      <c r="L44" s="530">
        <f t="shared" si="27"/>
        <v>0</v>
      </c>
      <c r="M44" s="530">
        <f t="shared" si="25"/>
        <v>0</v>
      </c>
      <c r="N44" s="530">
        <f t="shared" si="25"/>
        <v>0</v>
      </c>
      <c r="O44" s="530">
        <f t="shared" si="25"/>
        <v>0</v>
      </c>
      <c r="P44" s="530">
        <f t="shared" si="25"/>
        <v>0</v>
      </c>
      <c r="Q44" s="530">
        <f t="shared" si="25"/>
        <v>0</v>
      </c>
      <c r="R44" s="132"/>
      <c r="S44" s="132"/>
      <c r="T44" s="132"/>
      <c r="U44" s="132"/>
      <c r="V44" s="132"/>
      <c r="W44" s="132"/>
      <c r="X44" s="132"/>
      <c r="Y44" s="132"/>
      <c r="Z44" s="132"/>
      <c r="AJ44" s="281"/>
      <c r="AK44" s="281"/>
      <c r="AL44" s="281"/>
      <c r="AM44" s="281"/>
      <c r="AN44" s="281"/>
    </row>
    <row r="45" spans="1:40">
      <c r="A45" s="282"/>
      <c r="B45" s="326" t="s">
        <v>1152</v>
      </c>
      <c r="C45" s="758">
        <f>'Inputs and eligible population'!$F$99</f>
        <v>1</v>
      </c>
      <c r="D45" s="127">
        <f>'Financial impact (cash)'!$D$14*'Inputs and eligible population'!$I$60*'Capacity (local prices)'!$C$45</f>
        <v>0</v>
      </c>
      <c r="E45" s="127">
        <f>'Financial impact (cash)'!$D$14*'Inputs and eligible population'!$I$60*'Capacity (local prices)'!$C$45</f>
        <v>0</v>
      </c>
      <c r="F45" s="127">
        <f>'Financial impact (cash)'!$D$14*'Inputs and eligible population'!$I$60*'Capacity (local prices)'!$C$45</f>
        <v>0</v>
      </c>
      <c r="G45" s="127">
        <f>'Financial impact (cash)'!$D$14*'Inputs and eligible population'!$I$60*'Capacity (local prices)'!$C$45</f>
        <v>0</v>
      </c>
      <c r="H45" s="127">
        <f>'Financial impact (cash)'!$D$14*'Inputs and eligible population'!$I$60*'Capacity (local prices)'!$C$45</f>
        <v>0</v>
      </c>
      <c r="I45" s="127">
        <f>'Financial impact (cash)'!$E$14*'Inputs and eligible population'!$I$60*'Capacity (local prices)'!$C$45</f>
        <v>0</v>
      </c>
      <c r="J45" s="214"/>
      <c r="K45" s="528">
        <f>'Unit costs'!$N$59</f>
        <v>141</v>
      </c>
      <c r="L45" s="530">
        <f t="shared" si="27"/>
        <v>0</v>
      </c>
      <c r="M45" s="530">
        <f t="shared" si="25"/>
        <v>0</v>
      </c>
      <c r="N45" s="530">
        <f t="shared" si="25"/>
        <v>0</v>
      </c>
      <c r="O45" s="530">
        <f t="shared" si="25"/>
        <v>0</v>
      </c>
      <c r="P45" s="530">
        <f t="shared" si="25"/>
        <v>0</v>
      </c>
      <c r="Q45" s="530">
        <f t="shared" si="25"/>
        <v>0</v>
      </c>
      <c r="R45" s="132"/>
      <c r="S45" s="132"/>
      <c r="T45" s="132"/>
      <c r="U45" s="132"/>
      <c r="V45" s="132"/>
      <c r="W45" s="132"/>
      <c r="X45" s="132"/>
      <c r="Y45" s="132"/>
      <c r="Z45" s="132"/>
      <c r="AJ45" s="281"/>
      <c r="AK45" s="281"/>
      <c r="AL45" s="281"/>
      <c r="AM45" s="281"/>
      <c r="AN45" s="281"/>
    </row>
    <row r="46" spans="1:40">
      <c r="A46" s="282"/>
      <c r="B46" s="326" t="s">
        <v>1153</v>
      </c>
      <c r="C46" s="758">
        <f>'Inputs and eligible population'!$G$99</f>
        <v>1</v>
      </c>
      <c r="D46" s="127">
        <f>'Financial impact (cash)'!D15*'Capacity (local prices)'!$C46*'Inputs and eligible population'!$E$61</f>
        <v>0</v>
      </c>
      <c r="E46" s="127">
        <f>'Financial impact (cash)'!E15*'Capacity (local prices)'!$C46*'Inputs and eligible population'!$E$61</f>
        <v>0</v>
      </c>
      <c r="F46" s="127">
        <f>'Financial impact (cash)'!F15*'Capacity (local prices)'!$C46*'Inputs and eligible population'!$E$61</f>
        <v>0</v>
      </c>
      <c r="G46" s="127">
        <f>'Financial impact (cash)'!G15*'Capacity (local prices)'!$C46*'Inputs and eligible population'!$E$61</f>
        <v>0</v>
      </c>
      <c r="H46" s="127">
        <f>'Financial impact (cash)'!H15*'Capacity (local prices)'!$C46*'Inputs and eligible population'!$E$61</f>
        <v>0</v>
      </c>
      <c r="I46" s="127">
        <f>'Financial impact (cash)'!I15*'Capacity (local prices)'!$C46*'Inputs and eligible population'!$E$61</f>
        <v>0</v>
      </c>
      <c r="J46" s="214"/>
      <c r="K46" s="528">
        <f>'Unit costs'!$N$59</f>
        <v>141</v>
      </c>
      <c r="L46" s="530">
        <f t="shared" si="27"/>
        <v>0</v>
      </c>
      <c r="M46" s="530">
        <f t="shared" si="25"/>
        <v>0</v>
      </c>
      <c r="N46" s="530">
        <f t="shared" si="25"/>
        <v>0</v>
      </c>
      <c r="O46" s="530">
        <f t="shared" si="25"/>
        <v>0</v>
      </c>
      <c r="P46" s="530">
        <f t="shared" si="25"/>
        <v>0</v>
      </c>
      <c r="Q46" s="530">
        <f t="shared" si="25"/>
        <v>0</v>
      </c>
      <c r="R46" s="132"/>
      <c r="S46" s="132"/>
      <c r="T46" s="132"/>
      <c r="U46" s="132"/>
      <c r="V46" s="132"/>
      <c r="W46" s="132"/>
      <c r="X46" s="132"/>
      <c r="Y46" s="132"/>
      <c r="Z46" s="132"/>
      <c r="AJ46" s="281"/>
      <c r="AK46" s="281"/>
      <c r="AL46" s="281"/>
      <c r="AM46" s="281"/>
      <c r="AN46" s="281"/>
    </row>
    <row r="47" spans="1:40">
      <c r="A47" s="282"/>
      <c r="B47" s="326" t="s">
        <v>1154</v>
      </c>
      <c r="C47" s="758">
        <f>'Inputs and eligible population'!$G$99</f>
        <v>1</v>
      </c>
      <c r="D47" s="127">
        <f>'Financial impact (cash)'!$D$15*'Inputs and eligible population'!$F$61*'Capacity (local prices)'!$C$47</f>
        <v>0</v>
      </c>
      <c r="E47" s="127">
        <f>'Financial impact (cash)'!$D$15*'Inputs and eligible population'!$F$61*'Capacity (local prices)'!$C$47</f>
        <v>0</v>
      </c>
      <c r="F47" s="127">
        <f>'Financial impact (cash)'!$E$15*'Inputs and eligible population'!$F$61*'Capacity (local prices)'!$C$47</f>
        <v>0</v>
      </c>
      <c r="G47" s="127">
        <f>'Financial impact (cash)'!$F$15*'Inputs and eligible population'!$F$61*'Capacity (local prices)'!$C$47</f>
        <v>0</v>
      </c>
      <c r="H47" s="127">
        <f>'Financial impact (cash)'!$G$15*'Inputs and eligible population'!$F$61*'Capacity (local prices)'!$C$47</f>
        <v>0</v>
      </c>
      <c r="I47" s="127">
        <f>'Financial impact (cash)'!$H$15*'Inputs and eligible population'!$F$61*'Capacity (local prices)'!$C$47</f>
        <v>0</v>
      </c>
      <c r="J47" s="214"/>
      <c r="K47" s="528">
        <f>'Unit costs'!$N$59</f>
        <v>141</v>
      </c>
      <c r="L47" s="530">
        <f t="shared" si="27"/>
        <v>0</v>
      </c>
      <c r="M47" s="530">
        <f t="shared" si="25"/>
        <v>0</v>
      </c>
      <c r="N47" s="530">
        <f t="shared" si="25"/>
        <v>0</v>
      </c>
      <c r="O47" s="530">
        <f t="shared" si="25"/>
        <v>0</v>
      </c>
      <c r="P47" s="530">
        <f t="shared" si="25"/>
        <v>0</v>
      </c>
      <c r="Q47" s="530">
        <f t="shared" si="25"/>
        <v>0</v>
      </c>
      <c r="R47" s="132"/>
      <c r="S47" s="132"/>
      <c r="T47" s="132"/>
      <c r="U47" s="132"/>
      <c r="V47" s="132"/>
      <c r="W47" s="132"/>
      <c r="X47" s="132"/>
      <c r="Y47" s="132"/>
      <c r="Z47" s="132"/>
      <c r="AJ47" s="281"/>
      <c r="AK47" s="281"/>
      <c r="AL47" s="281"/>
      <c r="AM47" s="281"/>
      <c r="AN47" s="281"/>
    </row>
    <row r="48" spans="1:40">
      <c r="A48" s="282"/>
      <c r="B48" s="326" t="s">
        <v>1155</v>
      </c>
      <c r="C48" s="758">
        <f>'Inputs and eligible population'!$G$99</f>
        <v>1</v>
      </c>
      <c r="D48" s="127">
        <f>'Financial impact (cash)'!$D$15*'Inputs and eligible population'!$G$61*'Capacity (local prices)'!$C$48</f>
        <v>0</v>
      </c>
      <c r="E48" s="127">
        <f>'Financial impact (cash)'!$D$15*'Inputs and eligible population'!$G$61*'Capacity (local prices)'!$C$48</f>
        <v>0</v>
      </c>
      <c r="F48" s="127">
        <f>'Financial impact (cash)'!$D$15*'Inputs and eligible population'!$G$61*'Capacity (local prices)'!$C$48</f>
        <v>0</v>
      </c>
      <c r="G48" s="127">
        <f>'Financial impact (cash)'!$E$15*'Inputs and eligible population'!$G$61*'Capacity (local prices)'!$C$48</f>
        <v>0</v>
      </c>
      <c r="H48" s="127">
        <f>'Financial impact (cash)'!$F$15*'Inputs and eligible population'!$G$61*'Capacity (local prices)'!$C$48</f>
        <v>0</v>
      </c>
      <c r="I48" s="127">
        <f>'Financial impact (cash)'!$G$15*'Inputs and eligible population'!$G$61*'Capacity (local prices)'!$C$48</f>
        <v>0</v>
      </c>
      <c r="J48" s="214"/>
      <c r="K48" s="528">
        <f>'Unit costs'!$N$59</f>
        <v>141</v>
      </c>
      <c r="L48" s="530">
        <f t="shared" si="27"/>
        <v>0</v>
      </c>
      <c r="M48" s="530">
        <f t="shared" si="25"/>
        <v>0</v>
      </c>
      <c r="N48" s="530">
        <f t="shared" si="25"/>
        <v>0</v>
      </c>
      <c r="O48" s="530">
        <f t="shared" si="25"/>
        <v>0</v>
      </c>
      <c r="P48" s="530">
        <f t="shared" si="25"/>
        <v>0</v>
      </c>
      <c r="Q48" s="530">
        <f t="shared" si="25"/>
        <v>0</v>
      </c>
      <c r="R48" s="132"/>
      <c r="S48" s="132"/>
      <c r="T48" s="132"/>
      <c r="U48" s="132"/>
      <c r="V48" s="132"/>
      <c r="W48" s="132"/>
      <c r="X48" s="132"/>
      <c r="Y48" s="132"/>
      <c r="Z48" s="132"/>
      <c r="AJ48" s="281"/>
      <c r="AK48" s="281"/>
      <c r="AL48" s="281"/>
      <c r="AM48" s="281"/>
      <c r="AN48" s="281"/>
    </row>
    <row r="49" spans="1:40">
      <c r="A49" s="282"/>
      <c r="B49" s="326" t="s">
        <v>1156</v>
      </c>
      <c r="C49" s="758">
        <f>'Inputs and eligible population'!$G$99</f>
        <v>1</v>
      </c>
      <c r="D49" s="127">
        <f>'Financial impact (cash)'!$D$15*'Inputs and eligible population'!$H$61*'Capacity (local prices)'!$C$49</f>
        <v>0</v>
      </c>
      <c r="E49" s="127">
        <f>'Financial impact (cash)'!$D$15*'Inputs and eligible population'!$H$61*'Capacity (local prices)'!$C$49</f>
        <v>0</v>
      </c>
      <c r="F49" s="127">
        <f>'Financial impact (cash)'!$D$15*'Inputs and eligible population'!$H$61*'Capacity (local prices)'!$C$49</f>
        <v>0</v>
      </c>
      <c r="G49" s="127">
        <f>'Financial impact (cash)'!$D$15*'Inputs and eligible population'!$H$61*'Capacity (local prices)'!$C$49</f>
        <v>0</v>
      </c>
      <c r="H49" s="127">
        <f>'Financial impact (cash)'!$E$15*'Inputs and eligible population'!$H$61*'Capacity (local prices)'!$C$49</f>
        <v>0</v>
      </c>
      <c r="I49" s="127">
        <f>'Financial impact (cash)'!$F$15*'Inputs and eligible population'!$H$61*'Capacity (local prices)'!$C$49</f>
        <v>0</v>
      </c>
      <c r="J49" s="214"/>
      <c r="K49" s="528">
        <f>'Unit costs'!$N$59</f>
        <v>141</v>
      </c>
      <c r="L49" s="530">
        <f t="shared" si="27"/>
        <v>0</v>
      </c>
      <c r="M49" s="530">
        <f t="shared" si="25"/>
        <v>0</v>
      </c>
      <c r="N49" s="530">
        <f t="shared" si="25"/>
        <v>0</v>
      </c>
      <c r="O49" s="530">
        <f t="shared" si="25"/>
        <v>0</v>
      </c>
      <c r="P49" s="530">
        <f t="shared" si="25"/>
        <v>0</v>
      </c>
      <c r="Q49" s="530">
        <f t="shared" si="25"/>
        <v>0</v>
      </c>
      <c r="R49" s="132"/>
      <c r="S49" s="132"/>
      <c r="T49" s="132"/>
      <c r="U49" s="132"/>
      <c r="V49" s="132"/>
      <c r="W49" s="132"/>
      <c r="X49" s="132"/>
      <c r="Y49" s="132"/>
      <c r="Z49" s="132"/>
      <c r="AJ49" s="281"/>
      <c r="AK49" s="281"/>
      <c r="AL49" s="281"/>
      <c r="AM49" s="281"/>
      <c r="AN49" s="281"/>
    </row>
    <row r="50" spans="1:40">
      <c r="A50" s="282"/>
      <c r="B50" s="326" t="s">
        <v>1157</v>
      </c>
      <c r="C50" s="758">
        <f>'Inputs and eligible population'!$G$99</f>
        <v>1</v>
      </c>
      <c r="D50" s="127">
        <f>'Financial impact (cash)'!$D$15*'Inputs and eligible population'!$I$61*'Capacity (local prices)'!$C$50</f>
        <v>0</v>
      </c>
      <c r="E50" s="127">
        <f>'Financial impact (cash)'!$D$15*'Inputs and eligible population'!$I$61*'Capacity (local prices)'!$C$50</f>
        <v>0</v>
      </c>
      <c r="F50" s="127">
        <f>'Financial impact (cash)'!$D$15*'Inputs and eligible population'!$I$61*'Capacity (local prices)'!$C$50</f>
        <v>0</v>
      </c>
      <c r="G50" s="127">
        <f>'Financial impact (cash)'!$D$15*'Inputs and eligible population'!$I$61*'Capacity (local prices)'!$C$50</f>
        <v>0</v>
      </c>
      <c r="H50" s="127">
        <f>'Financial impact (cash)'!$D$15*'Inputs and eligible population'!$I$61*'Capacity (local prices)'!$C$50</f>
        <v>0</v>
      </c>
      <c r="I50" s="127">
        <f>'Financial impact (cash)'!$E$15*'Inputs and eligible population'!$I$61*'Capacity (local prices)'!$C$50</f>
        <v>0</v>
      </c>
      <c r="J50" s="214"/>
      <c r="K50" s="528">
        <f>'Unit costs'!$N$59</f>
        <v>141</v>
      </c>
      <c r="L50" s="530">
        <f t="shared" si="27"/>
        <v>0</v>
      </c>
      <c r="M50" s="530">
        <f t="shared" si="25"/>
        <v>0</v>
      </c>
      <c r="N50" s="530">
        <f t="shared" si="25"/>
        <v>0</v>
      </c>
      <c r="O50" s="530">
        <f t="shared" si="25"/>
        <v>0</v>
      </c>
      <c r="P50" s="530">
        <f t="shared" si="25"/>
        <v>0</v>
      </c>
      <c r="Q50" s="530">
        <f t="shared" si="25"/>
        <v>0</v>
      </c>
      <c r="R50" s="132"/>
      <c r="S50" s="132"/>
      <c r="T50" s="132"/>
      <c r="U50" s="132"/>
      <c r="V50" s="132"/>
      <c r="W50" s="132"/>
      <c r="X50" s="132"/>
      <c r="Y50" s="132"/>
      <c r="Z50" s="132"/>
      <c r="AJ50" s="281"/>
      <c r="AK50" s="281"/>
      <c r="AL50" s="281"/>
      <c r="AM50" s="281"/>
      <c r="AN50" s="281"/>
    </row>
    <row r="51" spans="1:40">
      <c r="A51" s="282"/>
      <c r="B51" s="326" t="s">
        <v>1158</v>
      </c>
      <c r="C51" s="758">
        <f>'Inputs and eligible population'!$H$99</f>
        <v>1</v>
      </c>
      <c r="D51" s="127">
        <f>'Financial impact (cash)'!D16*'Capacity (local prices)'!$C51*'Inputs and eligible population'!$E$62</f>
        <v>0</v>
      </c>
      <c r="E51" s="127">
        <f>'Financial impact (cash)'!E16*'Capacity (local prices)'!$C51*'Inputs and eligible population'!$E$62</f>
        <v>0</v>
      </c>
      <c r="F51" s="127">
        <f>'Financial impact (cash)'!F16*'Capacity (local prices)'!$C51*'Inputs and eligible population'!$E$62</f>
        <v>0</v>
      </c>
      <c r="G51" s="127">
        <f>'Financial impact (cash)'!G16*'Capacity (local prices)'!$C51*'Inputs and eligible population'!$E$62</f>
        <v>0</v>
      </c>
      <c r="H51" s="127">
        <f>'Financial impact (cash)'!H16*'Capacity (local prices)'!$C51*'Inputs and eligible population'!$E$62</f>
        <v>0</v>
      </c>
      <c r="I51" s="127">
        <f>'Financial impact (cash)'!I16*'Capacity (local prices)'!$C51*'Inputs and eligible population'!$E$62</f>
        <v>0</v>
      </c>
      <c r="J51" s="214"/>
      <c r="K51" s="528">
        <f>'Unit costs'!$N$59</f>
        <v>141</v>
      </c>
      <c r="L51" s="530">
        <f t="shared" si="27"/>
        <v>0</v>
      </c>
      <c r="M51" s="530">
        <f t="shared" si="25"/>
        <v>0</v>
      </c>
      <c r="N51" s="530">
        <f t="shared" si="25"/>
        <v>0</v>
      </c>
      <c r="O51" s="530">
        <f t="shared" si="25"/>
        <v>0</v>
      </c>
      <c r="P51" s="530">
        <f t="shared" si="25"/>
        <v>0</v>
      </c>
      <c r="Q51" s="530">
        <f t="shared" si="25"/>
        <v>0</v>
      </c>
      <c r="R51" s="132"/>
      <c r="S51" s="132"/>
      <c r="T51" s="132"/>
      <c r="U51" s="132"/>
      <c r="V51" s="132"/>
      <c r="W51" s="132"/>
      <c r="X51" s="132"/>
      <c r="Y51" s="132"/>
      <c r="Z51" s="132"/>
      <c r="AJ51" s="281"/>
      <c r="AK51" s="281"/>
      <c r="AL51" s="281"/>
      <c r="AM51" s="281"/>
      <c r="AN51" s="281"/>
    </row>
    <row r="52" spans="1:40">
      <c r="A52" s="282"/>
      <c r="B52" s="326" t="s">
        <v>1159</v>
      </c>
      <c r="C52" s="758">
        <f>'Inputs and eligible population'!$H$99</f>
        <v>1</v>
      </c>
      <c r="D52" s="127">
        <f>'Financial impact (cash)'!$D$16*'Inputs and eligible population'!$F$62*'Capacity (local prices)'!$C$52</f>
        <v>0</v>
      </c>
      <c r="E52" s="127">
        <f>'Financial impact (cash)'!$D$16*'Inputs and eligible population'!$F$62*'Capacity (local prices)'!$C$52</f>
        <v>0</v>
      </c>
      <c r="F52" s="127">
        <f>'Financial impact (cash)'!$E$16*'Inputs and eligible population'!$F$62*'Capacity (local prices)'!$C$52</f>
        <v>0</v>
      </c>
      <c r="G52" s="127">
        <f>'Financial impact (cash)'!$F$16*'Inputs and eligible population'!$F$62*'Capacity (local prices)'!$C$52</f>
        <v>0</v>
      </c>
      <c r="H52" s="127">
        <f>'Financial impact (cash)'!$G$16*'Inputs and eligible population'!$F$62*'Capacity (local prices)'!$C$52</f>
        <v>0</v>
      </c>
      <c r="I52" s="127">
        <f>'Financial impact (cash)'!$H$16*'Inputs and eligible population'!$F$62*'Capacity (local prices)'!$C$52</f>
        <v>0</v>
      </c>
      <c r="J52" s="214"/>
      <c r="K52" s="528">
        <f>'Unit costs'!$N$59</f>
        <v>141</v>
      </c>
      <c r="L52" s="530">
        <f t="shared" si="27"/>
        <v>0</v>
      </c>
      <c r="M52" s="530">
        <f t="shared" si="27"/>
        <v>0</v>
      </c>
      <c r="N52" s="530">
        <f t="shared" si="27"/>
        <v>0</v>
      </c>
      <c r="O52" s="530">
        <f t="shared" si="27"/>
        <v>0</v>
      </c>
      <c r="P52" s="530">
        <f t="shared" si="27"/>
        <v>0</v>
      </c>
      <c r="Q52" s="530">
        <f t="shared" si="27"/>
        <v>0</v>
      </c>
      <c r="R52" s="132"/>
      <c r="S52" s="132"/>
      <c r="T52" s="132"/>
      <c r="U52" s="132"/>
      <c r="V52" s="132"/>
      <c r="W52" s="132"/>
      <c r="X52" s="132"/>
      <c r="Y52" s="132"/>
      <c r="Z52" s="132"/>
      <c r="AJ52" s="281"/>
      <c r="AK52" s="281"/>
      <c r="AL52" s="281"/>
      <c r="AM52" s="281"/>
      <c r="AN52" s="281"/>
    </row>
    <row r="53" spans="1:40">
      <c r="A53" s="282"/>
      <c r="B53" s="326" t="s">
        <v>1160</v>
      </c>
      <c r="C53" s="758">
        <f>'Inputs and eligible population'!$H$99</f>
        <v>1</v>
      </c>
      <c r="D53" s="127">
        <f>'Financial impact (cash)'!$D$16*'Inputs and eligible population'!$G$62*'Capacity (local prices)'!$C$53</f>
        <v>0</v>
      </c>
      <c r="E53" s="127">
        <f>'Financial impact (cash)'!$D$16*'Inputs and eligible population'!$G$62*'Capacity (local prices)'!$C$53</f>
        <v>0</v>
      </c>
      <c r="F53" s="127">
        <f>'Financial impact (cash)'!$D$16*'Inputs and eligible population'!$G$62*'Capacity (local prices)'!$C$53</f>
        <v>0</v>
      </c>
      <c r="G53" s="127">
        <f>'Financial impact (cash)'!$E$16*'Inputs and eligible population'!$G$62*'Capacity (local prices)'!$C$53</f>
        <v>0</v>
      </c>
      <c r="H53" s="127">
        <f>'Financial impact (cash)'!$F$16*'Inputs and eligible population'!$G$62*'Capacity (local prices)'!$C$53</f>
        <v>0</v>
      </c>
      <c r="I53" s="127">
        <f>'Financial impact (cash)'!$G$16*'Inputs and eligible population'!$G$62*'Capacity (local prices)'!$C$53</f>
        <v>0</v>
      </c>
      <c r="J53" s="214"/>
      <c r="K53" s="528">
        <f>'Unit costs'!$N$59</f>
        <v>141</v>
      </c>
      <c r="L53" s="530">
        <f t="shared" si="27"/>
        <v>0</v>
      </c>
      <c r="M53" s="530">
        <f t="shared" si="27"/>
        <v>0</v>
      </c>
      <c r="N53" s="530">
        <f t="shared" si="27"/>
        <v>0</v>
      </c>
      <c r="O53" s="530">
        <f t="shared" si="27"/>
        <v>0</v>
      </c>
      <c r="P53" s="530">
        <f t="shared" si="27"/>
        <v>0</v>
      </c>
      <c r="Q53" s="530">
        <f t="shared" si="27"/>
        <v>0</v>
      </c>
      <c r="R53" s="132"/>
      <c r="S53" s="132"/>
      <c r="T53" s="132"/>
      <c r="U53" s="132"/>
      <c r="V53" s="132"/>
      <c r="W53" s="132"/>
      <c r="X53" s="132"/>
      <c r="Y53" s="132"/>
      <c r="Z53" s="132"/>
      <c r="AJ53" s="281"/>
      <c r="AK53" s="281"/>
      <c r="AL53" s="281"/>
      <c r="AM53" s="281"/>
      <c r="AN53" s="281"/>
    </row>
    <row r="54" spans="1:40">
      <c r="A54" s="282"/>
      <c r="B54" s="326" t="s">
        <v>1161</v>
      </c>
      <c r="C54" s="758">
        <f>'Inputs and eligible population'!$H$99</f>
        <v>1</v>
      </c>
      <c r="D54" s="127">
        <f>'Financial impact (cash)'!$D$16*'Inputs and eligible population'!$H$62*'Capacity (local prices)'!$C$54</f>
        <v>0</v>
      </c>
      <c r="E54" s="127">
        <f>'Financial impact (cash)'!$D$16*'Inputs and eligible population'!$H$62*'Capacity (local prices)'!$C$54</f>
        <v>0</v>
      </c>
      <c r="F54" s="127">
        <f>'Financial impact (cash)'!$D$16*'Inputs and eligible population'!$H$62*'Capacity (local prices)'!$C$54</f>
        <v>0</v>
      </c>
      <c r="G54" s="127">
        <f>'Financial impact (cash)'!$D$16*'Inputs and eligible population'!$H$62*'Capacity (local prices)'!$C$54</f>
        <v>0</v>
      </c>
      <c r="H54" s="127">
        <f>'Financial impact (cash)'!$E$16*'Inputs and eligible population'!$H$62*'Capacity (local prices)'!$C$54</f>
        <v>0</v>
      </c>
      <c r="I54" s="127">
        <f>'Financial impact (cash)'!$F$16*'Inputs and eligible population'!$H$62*'Capacity (local prices)'!$C$54</f>
        <v>0</v>
      </c>
      <c r="J54" s="214"/>
      <c r="K54" s="528">
        <f>'Unit costs'!$N$59</f>
        <v>141</v>
      </c>
      <c r="L54" s="530">
        <f t="shared" si="27"/>
        <v>0</v>
      </c>
      <c r="M54" s="530">
        <f t="shared" si="27"/>
        <v>0</v>
      </c>
      <c r="N54" s="530">
        <f t="shared" si="27"/>
        <v>0</v>
      </c>
      <c r="O54" s="530">
        <f t="shared" si="27"/>
        <v>0</v>
      </c>
      <c r="P54" s="530">
        <f t="shared" si="27"/>
        <v>0</v>
      </c>
      <c r="Q54" s="530">
        <f t="shared" si="27"/>
        <v>0</v>
      </c>
      <c r="R54" s="132"/>
      <c r="S54" s="132"/>
      <c r="T54" s="132"/>
      <c r="U54" s="132"/>
      <c r="V54" s="132"/>
      <c r="W54" s="132"/>
      <c r="X54" s="132"/>
      <c r="Y54" s="132"/>
      <c r="Z54" s="132"/>
      <c r="AJ54" s="281"/>
      <c r="AK54" s="281"/>
      <c r="AL54" s="281"/>
      <c r="AM54" s="281"/>
      <c r="AN54" s="281"/>
    </row>
    <row r="55" spans="1:40">
      <c r="A55" s="282"/>
      <c r="B55" s="326" t="s">
        <v>1162</v>
      </c>
      <c r="C55" s="758">
        <f>'Inputs and eligible population'!$H$99</f>
        <v>1</v>
      </c>
      <c r="D55" s="127">
        <f>'Financial impact (cash)'!$D$16*'Inputs and eligible population'!$I$62*'Capacity (local prices)'!$C$55</f>
        <v>0</v>
      </c>
      <c r="E55" s="127">
        <f>'Financial impact (cash)'!$D$16*'Inputs and eligible population'!$I$62*'Capacity (local prices)'!$C$55</f>
        <v>0</v>
      </c>
      <c r="F55" s="127">
        <f>'Financial impact (cash)'!$D$16*'Inputs and eligible population'!$I$62*'Capacity (local prices)'!$C$55</f>
        <v>0</v>
      </c>
      <c r="G55" s="127">
        <f>'Financial impact (cash)'!$D$16*'Inputs and eligible population'!$I$62*'Capacity (local prices)'!$C$55</f>
        <v>0</v>
      </c>
      <c r="H55" s="127">
        <f>'Financial impact (cash)'!$D$16*'Inputs and eligible population'!$I$62*'Capacity (local prices)'!$C$55</f>
        <v>0</v>
      </c>
      <c r="I55" s="127">
        <f>'Financial impact (cash)'!$E$16*'Inputs and eligible population'!$I$62*'Capacity (local prices)'!$C$55</f>
        <v>0</v>
      </c>
      <c r="J55" s="214"/>
      <c r="K55" s="528">
        <f>'Unit costs'!$N$59</f>
        <v>141</v>
      </c>
      <c r="L55" s="530">
        <f t="shared" si="27"/>
        <v>0</v>
      </c>
      <c r="M55" s="530">
        <f t="shared" si="27"/>
        <v>0</v>
      </c>
      <c r="N55" s="530">
        <f t="shared" si="27"/>
        <v>0</v>
      </c>
      <c r="O55" s="530">
        <f t="shared" si="27"/>
        <v>0</v>
      </c>
      <c r="P55" s="530">
        <f t="shared" si="27"/>
        <v>0</v>
      </c>
      <c r="Q55" s="530">
        <f t="shared" si="27"/>
        <v>0</v>
      </c>
      <c r="R55" s="132"/>
      <c r="S55" s="132"/>
      <c r="T55" s="132"/>
      <c r="U55" s="132"/>
      <c r="V55" s="132"/>
      <c r="W55" s="132"/>
      <c r="X55" s="132"/>
      <c r="Y55" s="132"/>
      <c r="Z55" s="132"/>
      <c r="AJ55" s="281"/>
      <c r="AK55" s="281"/>
      <c r="AL55" s="281"/>
      <c r="AM55" s="281"/>
      <c r="AN55" s="281"/>
    </row>
    <row r="56" spans="1:40">
      <c r="A56" s="282"/>
      <c r="B56" s="326" t="s">
        <v>1163</v>
      </c>
      <c r="C56" s="758">
        <f>'Inputs and eligible population'!$I$99</f>
        <v>1</v>
      </c>
      <c r="D56" s="127">
        <f>'Financial impact (cash)'!D17*'Capacity (local prices)'!$C56*'Inputs and eligible population'!$E$63</f>
        <v>0</v>
      </c>
      <c r="E56" s="127">
        <f>'Financial impact (cash)'!E17*'Capacity (local prices)'!$C56*'Inputs and eligible population'!$E$63</f>
        <v>0</v>
      </c>
      <c r="F56" s="127">
        <f>'Financial impact (cash)'!F17*'Capacity (local prices)'!$C56*'Inputs and eligible population'!$E$63</f>
        <v>0</v>
      </c>
      <c r="G56" s="127">
        <f>'Financial impact (cash)'!G17*'Capacity (local prices)'!$C56*'Inputs and eligible population'!$E$63</f>
        <v>0</v>
      </c>
      <c r="H56" s="127">
        <f>'Financial impact (cash)'!H17*'Capacity (local prices)'!$C56*'Inputs and eligible population'!$E$63</f>
        <v>0</v>
      </c>
      <c r="I56" s="127">
        <f>'Financial impact (cash)'!I17*'Capacity (local prices)'!$C56*'Inputs and eligible population'!$E$63</f>
        <v>0</v>
      </c>
      <c r="J56" s="214"/>
      <c r="K56" s="528">
        <f>'Unit costs'!$N$59</f>
        <v>141</v>
      </c>
      <c r="L56" s="530">
        <f t="shared" si="27"/>
        <v>0</v>
      </c>
      <c r="M56" s="530">
        <f t="shared" si="27"/>
        <v>0</v>
      </c>
      <c r="N56" s="530">
        <f t="shared" si="27"/>
        <v>0</v>
      </c>
      <c r="O56" s="530">
        <f t="shared" si="27"/>
        <v>0</v>
      </c>
      <c r="P56" s="530">
        <f t="shared" si="27"/>
        <v>0</v>
      </c>
      <c r="Q56" s="530">
        <f t="shared" si="27"/>
        <v>0</v>
      </c>
      <c r="R56" s="132"/>
      <c r="S56" s="132"/>
      <c r="T56" s="132"/>
      <c r="U56" s="132"/>
      <c r="V56" s="132"/>
      <c r="W56" s="132"/>
      <c r="X56" s="132"/>
      <c r="Y56" s="132"/>
      <c r="Z56" s="132"/>
      <c r="AJ56" s="281"/>
      <c r="AK56" s="281"/>
      <c r="AL56" s="281"/>
      <c r="AM56" s="281"/>
      <c r="AN56" s="281"/>
    </row>
    <row r="57" spans="1:40">
      <c r="A57" s="282"/>
      <c r="B57" s="326" t="s">
        <v>1164</v>
      </c>
      <c r="C57" s="758">
        <f>'Inputs and eligible population'!$I$99</f>
        <v>1</v>
      </c>
      <c r="D57" s="127">
        <f>'Financial impact (cash)'!$D$17*'Inputs and eligible population'!$F$63*'Capacity (local prices)'!$C$57</f>
        <v>0</v>
      </c>
      <c r="E57" s="127">
        <f>'Financial impact (cash)'!$D$17*'Inputs and eligible population'!$F$63*'Capacity (local prices)'!$C$57</f>
        <v>0</v>
      </c>
      <c r="F57" s="127">
        <f>'Financial impact (cash)'!$E$17*'Inputs and eligible population'!$F$63*'Capacity (local prices)'!$C$57</f>
        <v>0</v>
      </c>
      <c r="G57" s="127">
        <f>'Financial impact (cash)'!$F$17*'Inputs and eligible population'!$F$63*'Capacity (local prices)'!$C$57</f>
        <v>0</v>
      </c>
      <c r="H57" s="127">
        <f>'Financial impact (cash)'!$G$17*'Inputs and eligible population'!$F$63*'Capacity (local prices)'!$C$57</f>
        <v>0</v>
      </c>
      <c r="I57" s="127">
        <f>'Financial impact (cash)'!$H$17*'Inputs and eligible population'!$F$63*'Capacity (local prices)'!$C$57</f>
        <v>0</v>
      </c>
      <c r="J57" s="214"/>
      <c r="K57" s="528">
        <f>'Unit costs'!$N$59</f>
        <v>141</v>
      </c>
      <c r="L57" s="530">
        <f t="shared" si="27"/>
        <v>0</v>
      </c>
      <c r="M57" s="530">
        <f t="shared" si="27"/>
        <v>0</v>
      </c>
      <c r="N57" s="530">
        <f t="shared" si="27"/>
        <v>0</v>
      </c>
      <c r="O57" s="530">
        <f t="shared" si="27"/>
        <v>0</v>
      </c>
      <c r="P57" s="530">
        <f t="shared" si="27"/>
        <v>0</v>
      </c>
      <c r="Q57" s="530">
        <f t="shared" si="27"/>
        <v>0</v>
      </c>
      <c r="R57" s="132"/>
      <c r="S57" s="132"/>
      <c r="T57" s="132"/>
      <c r="U57" s="132"/>
      <c r="V57" s="132"/>
      <c r="W57" s="132"/>
      <c r="X57" s="132"/>
      <c r="Y57" s="132"/>
      <c r="Z57" s="132"/>
      <c r="AJ57" s="281"/>
      <c r="AK57" s="281"/>
      <c r="AL57" s="281"/>
      <c r="AM57" s="281"/>
      <c r="AN57" s="281"/>
    </row>
    <row r="58" spans="1:40">
      <c r="A58" s="282"/>
      <c r="B58" s="326" t="s">
        <v>1165</v>
      </c>
      <c r="C58" s="758">
        <f>'Inputs and eligible population'!$I$99</f>
        <v>1</v>
      </c>
      <c r="D58" s="127">
        <f>'Financial impact (cash)'!$D$17*'Inputs and eligible population'!$G$63*'Capacity (local prices)'!$C$58</f>
        <v>0</v>
      </c>
      <c r="E58" s="127">
        <f>'Financial impact (cash)'!$D$17*'Inputs and eligible population'!$G$63*'Capacity (local prices)'!$C$58</f>
        <v>0</v>
      </c>
      <c r="F58" s="127">
        <f>'Financial impact (cash)'!$D$17*'Inputs and eligible population'!$G$63*'Capacity (local prices)'!$C$58</f>
        <v>0</v>
      </c>
      <c r="G58" s="127">
        <f>'Financial impact (cash)'!$E$17*'Inputs and eligible population'!$G$63*'Capacity (local prices)'!$C$58</f>
        <v>0</v>
      </c>
      <c r="H58" s="127">
        <f>'Financial impact (cash)'!$F$17*'Inputs and eligible population'!$G$63*'Capacity (local prices)'!$C$58</f>
        <v>0</v>
      </c>
      <c r="I58" s="127">
        <f>'Financial impact (cash)'!$G$17*'Inputs and eligible population'!$G$63*'Capacity (local prices)'!$C$58</f>
        <v>0</v>
      </c>
      <c r="J58" s="214"/>
      <c r="K58" s="528">
        <f>'Unit costs'!$N$59</f>
        <v>141</v>
      </c>
      <c r="L58" s="530">
        <f t="shared" ref="L58:Q60" si="28">$K58/1000*D58</f>
        <v>0</v>
      </c>
      <c r="M58" s="530">
        <f t="shared" si="28"/>
        <v>0</v>
      </c>
      <c r="N58" s="530">
        <f t="shared" si="28"/>
        <v>0</v>
      </c>
      <c r="O58" s="530">
        <f t="shared" si="28"/>
        <v>0</v>
      </c>
      <c r="P58" s="530">
        <f t="shared" si="28"/>
        <v>0</v>
      </c>
      <c r="Q58" s="530">
        <f t="shared" si="28"/>
        <v>0</v>
      </c>
      <c r="R58" s="132"/>
      <c r="S58" s="132"/>
      <c r="T58" s="132"/>
      <c r="U58" s="132"/>
      <c r="V58" s="132"/>
      <c r="W58" s="132"/>
      <c r="X58" s="132"/>
      <c r="Y58" s="132"/>
      <c r="Z58" s="132"/>
      <c r="AJ58" s="281"/>
      <c r="AK58" s="281"/>
      <c r="AL58" s="281"/>
      <c r="AM58" s="281"/>
      <c r="AN58" s="281"/>
    </row>
    <row r="59" spans="1:40">
      <c r="A59" s="282"/>
      <c r="B59" s="326" t="s">
        <v>1166</v>
      </c>
      <c r="C59" s="758">
        <f>'Inputs and eligible population'!$I$99</f>
        <v>1</v>
      </c>
      <c r="D59" s="127">
        <f>'Financial impact (cash)'!$D$17*'Inputs and eligible population'!$H$63*'Capacity (local prices)'!$C$59</f>
        <v>0</v>
      </c>
      <c r="E59" s="127">
        <f>'Financial impact (cash)'!$D$17*'Inputs and eligible population'!$H$63*'Capacity (local prices)'!$C$59</f>
        <v>0</v>
      </c>
      <c r="F59" s="127">
        <f>'Financial impact (cash)'!$D$17*'Inputs and eligible population'!$H$63*'Capacity (local prices)'!$C$59</f>
        <v>0</v>
      </c>
      <c r="G59" s="127">
        <f>'Financial impact (cash)'!$D$17*'Inputs and eligible population'!$H$63*'Capacity (local prices)'!$C$59</f>
        <v>0</v>
      </c>
      <c r="H59" s="127">
        <f>'Financial impact (cash)'!$E$17*'Inputs and eligible population'!$H$63*'Capacity (local prices)'!$C$59</f>
        <v>0</v>
      </c>
      <c r="I59" s="127">
        <f>'Financial impact (cash)'!$F$17*'Inputs and eligible population'!$H$63*'Capacity (local prices)'!$C$59</f>
        <v>0</v>
      </c>
      <c r="J59" s="214"/>
      <c r="K59" s="528">
        <f>'Unit costs'!$N$59</f>
        <v>141</v>
      </c>
      <c r="L59" s="530">
        <f t="shared" si="28"/>
        <v>0</v>
      </c>
      <c r="M59" s="530">
        <f t="shared" si="28"/>
        <v>0</v>
      </c>
      <c r="N59" s="530">
        <f t="shared" si="28"/>
        <v>0</v>
      </c>
      <c r="O59" s="530">
        <f t="shared" si="28"/>
        <v>0</v>
      </c>
      <c r="P59" s="530">
        <f t="shared" si="28"/>
        <v>0</v>
      </c>
      <c r="Q59" s="530">
        <f t="shared" si="28"/>
        <v>0</v>
      </c>
      <c r="R59" s="132"/>
      <c r="S59" s="132"/>
      <c r="T59" s="132"/>
      <c r="U59" s="132"/>
      <c r="V59" s="132"/>
      <c r="W59" s="132"/>
      <c r="X59" s="132"/>
      <c r="Y59" s="132"/>
      <c r="Z59" s="132"/>
      <c r="AJ59" s="281"/>
      <c r="AK59" s="281"/>
      <c r="AL59" s="281"/>
      <c r="AM59" s="281"/>
      <c r="AN59" s="281"/>
    </row>
    <row r="60" spans="1:40">
      <c r="A60" s="282"/>
      <c r="B60" s="326" t="s">
        <v>1167</v>
      </c>
      <c r="C60" s="758">
        <f>'Inputs and eligible population'!$I$99</f>
        <v>1</v>
      </c>
      <c r="D60" s="127">
        <f>'Financial impact (cash)'!$D$17*'Inputs and eligible population'!$I$63*'Capacity (local prices)'!$C$60</f>
        <v>0</v>
      </c>
      <c r="E60" s="127">
        <f>'Financial impact (cash)'!$D$17*'Inputs and eligible population'!$I$63*'Capacity (local prices)'!$C$60</f>
        <v>0</v>
      </c>
      <c r="F60" s="127">
        <f>'Financial impact (cash)'!$D$17*'Inputs and eligible population'!$I$63*'Capacity (local prices)'!$C$60</f>
        <v>0</v>
      </c>
      <c r="G60" s="127">
        <f>'Financial impact (cash)'!$D$17*'Inputs and eligible population'!$I$63*'Capacity (local prices)'!$C$60</f>
        <v>0</v>
      </c>
      <c r="H60" s="127">
        <f>'Financial impact (cash)'!$D$17*'Inputs and eligible population'!$I$63*'Capacity (local prices)'!$C$60</f>
        <v>0</v>
      </c>
      <c r="I60" s="127">
        <f>'Financial impact (cash)'!$E$17*'Inputs and eligible population'!$I$63*'Capacity (local prices)'!$C$60</f>
        <v>0</v>
      </c>
      <c r="J60" s="214"/>
      <c r="K60" s="528">
        <f>'Unit costs'!$N$59</f>
        <v>141</v>
      </c>
      <c r="L60" s="530">
        <f t="shared" si="28"/>
        <v>0</v>
      </c>
      <c r="M60" s="530">
        <f t="shared" si="28"/>
        <v>0</v>
      </c>
      <c r="N60" s="530">
        <f t="shared" si="28"/>
        <v>0</v>
      </c>
      <c r="O60" s="530">
        <f t="shared" si="28"/>
        <v>0</v>
      </c>
      <c r="P60" s="530">
        <f t="shared" si="28"/>
        <v>0</v>
      </c>
      <c r="Q60" s="530">
        <f t="shared" si="28"/>
        <v>0</v>
      </c>
      <c r="R60" s="132"/>
      <c r="S60" s="132"/>
      <c r="T60" s="132"/>
      <c r="U60" s="132"/>
      <c r="V60" s="132"/>
      <c r="W60" s="132"/>
      <c r="X60" s="132"/>
      <c r="Y60" s="132"/>
      <c r="Z60" s="132"/>
      <c r="AJ60" s="281"/>
      <c r="AK60" s="281"/>
      <c r="AL60" s="281"/>
      <c r="AM60" s="281"/>
      <c r="AN60" s="281"/>
    </row>
    <row r="61" spans="1:40">
      <c r="A61" s="516"/>
      <c r="B61" s="486"/>
      <c r="C61" s="278"/>
      <c r="D61" s="184">
        <f t="shared" ref="D61:I61" si="29">SUM(D36:D60)</f>
        <v>0</v>
      </c>
      <c r="E61" s="184">
        <f t="shared" si="29"/>
        <v>0</v>
      </c>
      <c r="F61" s="184">
        <f t="shared" si="29"/>
        <v>0</v>
      </c>
      <c r="G61" s="184">
        <f t="shared" si="29"/>
        <v>0</v>
      </c>
      <c r="H61" s="184">
        <f t="shared" si="29"/>
        <v>0</v>
      </c>
      <c r="I61" s="184">
        <f t="shared" si="29"/>
        <v>0</v>
      </c>
      <c r="J61" s="522"/>
      <c r="K61" s="214"/>
      <c r="L61" s="287">
        <f t="shared" ref="L61:Q61" si="30">SUM(L36:L60)</f>
        <v>0</v>
      </c>
      <c r="M61" s="287">
        <f t="shared" si="30"/>
        <v>0</v>
      </c>
      <c r="N61" s="287">
        <f t="shared" si="30"/>
        <v>0</v>
      </c>
      <c r="O61" s="287">
        <f t="shared" si="30"/>
        <v>0</v>
      </c>
      <c r="P61" s="287">
        <f t="shared" si="30"/>
        <v>0</v>
      </c>
      <c r="Q61" s="287">
        <f t="shared" si="30"/>
        <v>0</v>
      </c>
      <c r="R61" s="132"/>
      <c r="S61" s="132"/>
      <c r="T61" s="132"/>
      <c r="U61" s="132"/>
      <c r="V61" s="132"/>
      <c r="W61" s="132"/>
      <c r="X61" s="132"/>
      <c r="Y61" s="132"/>
      <c r="Z61" s="132"/>
      <c r="AJ61" s="281"/>
      <c r="AK61" s="281"/>
      <c r="AL61" s="281"/>
      <c r="AM61" s="281"/>
      <c r="AN61" s="281"/>
    </row>
    <row r="62" spans="1:40">
      <c r="A62" s="516"/>
      <c r="B62" s="252"/>
      <c r="C62" s="252"/>
      <c r="D62" s="280" t="s">
        <v>835</v>
      </c>
      <c r="E62" s="184">
        <f>E61-$D$61</f>
        <v>0</v>
      </c>
      <c r="F62" s="184">
        <f t="shared" ref="F62:I62" si="31">F61-$D$61</f>
        <v>0</v>
      </c>
      <c r="G62" s="184">
        <f t="shared" si="31"/>
        <v>0</v>
      </c>
      <c r="H62" s="184">
        <f t="shared" si="31"/>
        <v>0</v>
      </c>
      <c r="I62" s="184">
        <f t="shared" si="31"/>
        <v>0</v>
      </c>
      <c r="J62" s="522"/>
      <c r="K62" s="214"/>
      <c r="L62" s="214"/>
      <c r="M62" s="287">
        <f>M61-$L61</f>
        <v>0</v>
      </c>
      <c r="N62" s="287">
        <f t="shared" ref="N62:Q62" si="32">N61-$L61</f>
        <v>0</v>
      </c>
      <c r="O62" s="287">
        <f t="shared" si="32"/>
        <v>0</v>
      </c>
      <c r="P62" s="287">
        <f t="shared" si="32"/>
        <v>0</v>
      </c>
      <c r="Q62" s="287">
        <f t="shared" si="32"/>
        <v>0</v>
      </c>
      <c r="R62" s="132"/>
      <c r="S62" s="132"/>
      <c r="T62" s="132"/>
      <c r="U62" s="132"/>
      <c r="V62" s="132"/>
      <c r="W62" s="132"/>
      <c r="X62" s="132"/>
      <c r="Y62" s="132"/>
      <c r="Z62" s="132"/>
      <c r="AJ62" s="281"/>
      <c r="AK62" s="281"/>
      <c r="AL62" s="281"/>
      <c r="AM62" s="281"/>
      <c r="AN62" s="281"/>
    </row>
    <row r="63" spans="1:40">
      <c r="A63" s="282"/>
      <c r="B63" s="517"/>
      <c r="C63" s="518"/>
      <c r="D63" s="519"/>
      <c r="E63" s="520"/>
      <c r="F63" s="282"/>
      <c r="G63" s="282"/>
      <c r="H63" s="282"/>
      <c r="I63" s="282"/>
      <c r="J63" s="214"/>
      <c r="K63" s="214"/>
      <c r="L63" s="214"/>
      <c r="M63" s="214"/>
      <c r="N63" s="214"/>
      <c r="O63" s="214"/>
      <c r="P63" s="214"/>
      <c r="Q63" s="214"/>
      <c r="R63" s="132"/>
      <c r="S63" s="132"/>
      <c r="T63" s="132"/>
      <c r="U63" s="132"/>
      <c r="V63" s="132"/>
      <c r="W63" s="132"/>
      <c r="X63" s="132"/>
      <c r="Y63" s="132"/>
      <c r="Z63" s="132"/>
      <c r="AJ63" s="281"/>
      <c r="AK63" s="281"/>
      <c r="AL63" s="281"/>
      <c r="AM63" s="281"/>
      <c r="AN63" s="281"/>
    </row>
    <row r="64" spans="1:40">
      <c r="A64" s="307"/>
      <c r="B64" s="308" t="s">
        <v>836</v>
      </c>
      <c r="C64" s="309"/>
      <c r="D64" s="309"/>
      <c r="E64" s="310"/>
      <c r="F64" s="311"/>
      <c r="G64" s="312"/>
      <c r="H64" s="312"/>
      <c r="I64" s="312"/>
      <c r="J64" s="759"/>
      <c r="K64" s="307"/>
      <c r="L64" s="307"/>
      <c r="M64" s="307"/>
      <c r="N64" s="307"/>
      <c r="O64" s="307"/>
      <c r="P64" s="307"/>
      <c r="Q64" s="381"/>
      <c r="V64" s="132"/>
    </row>
    <row r="65" spans="1:40">
      <c r="A65" s="307"/>
      <c r="B65" s="370" t="s">
        <v>1070</v>
      </c>
      <c r="C65" s="371"/>
      <c r="D65" s="371"/>
      <c r="E65" s="371"/>
      <c r="F65" s="371"/>
      <c r="G65" s="371"/>
      <c r="H65" s="371"/>
      <c r="I65" s="313"/>
      <c r="J65" s="760"/>
      <c r="K65" s="381"/>
      <c r="L65" s="400"/>
      <c r="M65" s="400"/>
      <c r="N65" s="400"/>
      <c r="O65" s="400"/>
      <c r="P65" s="400"/>
      <c r="Q65" s="400"/>
      <c r="V65" s="132"/>
    </row>
    <row r="66" spans="1:40" ht="74.45" customHeight="1">
      <c r="A66" s="307"/>
      <c r="B66" s="277" t="s">
        <v>757</v>
      </c>
      <c r="C66" s="165" t="s">
        <v>833</v>
      </c>
      <c r="D66" s="392" t="s">
        <v>825</v>
      </c>
      <c r="E66" s="251" t="s">
        <v>674</v>
      </c>
      <c r="F66" s="251" t="s">
        <v>675</v>
      </c>
      <c r="G66" s="164" t="s">
        <v>792</v>
      </c>
      <c r="H66" s="164" t="s">
        <v>793</v>
      </c>
      <c r="I66" s="251" t="s">
        <v>794</v>
      </c>
      <c r="J66" s="307"/>
      <c r="K66" s="515" t="s">
        <v>845</v>
      </c>
      <c r="L66" s="392" t="s">
        <v>825</v>
      </c>
      <c r="M66" s="504" t="s">
        <v>674</v>
      </c>
      <c r="N66" s="504" t="s">
        <v>675</v>
      </c>
      <c r="O66" s="393" t="s">
        <v>792</v>
      </c>
      <c r="P66" s="393" t="s">
        <v>793</v>
      </c>
      <c r="Q66" s="504" t="s">
        <v>794</v>
      </c>
      <c r="V66" s="132"/>
    </row>
    <row r="67" spans="1:40">
      <c r="A67" s="307"/>
      <c r="B67" s="326" t="s">
        <v>1143</v>
      </c>
      <c r="C67" s="758">
        <f>'Inputs and eligible population'!$F$101</f>
        <v>4</v>
      </c>
      <c r="D67" s="127">
        <f>('Financial impact (cash)'!D13*'Inputs and eligible population'!$E59/(365/'Inputs and eligible population'!D59))*$C67</f>
        <v>0</v>
      </c>
      <c r="E67" s="127">
        <f>(('Financial impact (cash)'!E13)*'Inputs and eligible population'!$E$59/(365/'Inputs and eligible population'!$D$59))*'Capacity (local prices)'!$C67</f>
        <v>0</v>
      </c>
      <c r="F67" s="127">
        <f>(('Financial impact (cash)'!F13)*'Inputs and eligible population'!$E$59/(365/'Inputs and eligible population'!$D$59))*'Capacity (local prices)'!$C67</f>
        <v>0</v>
      </c>
      <c r="G67" s="127">
        <f>(('Financial impact (cash)'!G13)*'Inputs and eligible population'!$E$59/(365/'Inputs and eligible population'!$D$59))*'Capacity (local prices)'!$C67</f>
        <v>0</v>
      </c>
      <c r="H67" s="127">
        <f>(('Financial impact (cash)'!H13)*'Inputs and eligible population'!$E$59/(365/'Inputs and eligible population'!$D$59))*'Capacity (local prices)'!$C67</f>
        <v>0</v>
      </c>
      <c r="I67" s="127">
        <f>(('Financial impact (cash)'!I13)*'Inputs and eligible population'!$E$59/(365/'Inputs and eligible population'!$D$59))*'Capacity (local prices)'!$C67</f>
        <v>0</v>
      </c>
      <c r="J67" s="381"/>
      <c r="K67" s="528">
        <f>'Unit costs'!$N$63</f>
        <v>129</v>
      </c>
      <c r="L67" s="530">
        <f>$K67/1000*D67</f>
        <v>0</v>
      </c>
      <c r="M67" s="530">
        <f t="shared" ref="M67:Q91" si="33">$K67/1000*E67</f>
        <v>0</v>
      </c>
      <c r="N67" s="530">
        <f t="shared" si="33"/>
        <v>0</v>
      </c>
      <c r="O67" s="530">
        <f t="shared" si="33"/>
        <v>0</v>
      </c>
      <c r="P67" s="530">
        <f t="shared" si="33"/>
        <v>0</v>
      </c>
      <c r="Q67" s="530">
        <f t="shared" si="33"/>
        <v>0</v>
      </c>
      <c r="R67" s="132"/>
      <c r="S67" s="132"/>
      <c r="T67" s="132"/>
      <c r="U67" s="132"/>
      <c r="V67" s="132"/>
      <c r="W67" s="132"/>
      <c r="X67" s="132"/>
      <c r="Y67" s="132"/>
      <c r="Z67" s="132"/>
      <c r="AJ67" s="281"/>
      <c r="AK67" s="281"/>
      <c r="AL67" s="281"/>
      <c r="AM67" s="281"/>
      <c r="AN67" s="281"/>
    </row>
    <row r="68" spans="1:40">
      <c r="A68" s="307"/>
      <c r="B68" s="326" t="s">
        <v>1144</v>
      </c>
      <c r="C68" s="758">
        <f>'Inputs and eligible population'!$F$101</f>
        <v>4</v>
      </c>
      <c r="D68" s="127">
        <f>(('Financial impact (cash)'!D13)*'Inputs and eligible population'!$F$59/(365/'Inputs and eligible population'!$D$59))*'Capacity (local prices)'!$C68</f>
        <v>0</v>
      </c>
      <c r="E68" s="127">
        <f>(('Financial impact (cash)'!D13)*'Inputs and eligible population'!$F$59/(365/'Inputs and eligible population'!$D$59))*'Capacity (local prices)'!$C68</f>
        <v>0</v>
      </c>
      <c r="F68" s="127">
        <f>(('Financial impact (cash)'!E13)*'Inputs and eligible population'!$F$59/(365/'Inputs and eligible population'!$D$59))*'Capacity (local prices)'!$C68</f>
        <v>0</v>
      </c>
      <c r="G68" s="127">
        <f>(('Financial impact (cash)'!F13)*'Inputs and eligible population'!$F$59/(365/'Inputs and eligible population'!$D$59))*'Capacity (local prices)'!$C68</f>
        <v>0</v>
      </c>
      <c r="H68" s="127">
        <f>(('Financial impact (cash)'!G13)*'Inputs and eligible population'!$F$59/(365/'Inputs and eligible population'!$D$59))*'Capacity (local prices)'!$C68</f>
        <v>0</v>
      </c>
      <c r="I68" s="127">
        <f>(('Financial impact (cash)'!H13)*'Inputs and eligible population'!$F$59/(365/'Inputs and eligible population'!$D$59))*'Capacity (local prices)'!$C68</f>
        <v>0</v>
      </c>
      <c r="J68" s="381"/>
      <c r="K68" s="528">
        <f>'Unit costs'!$N$63</f>
        <v>129</v>
      </c>
      <c r="L68" s="530">
        <f t="shared" ref="L68:L71" si="34">$K68/1000*D68</f>
        <v>0</v>
      </c>
      <c r="M68" s="530">
        <f t="shared" si="33"/>
        <v>0</v>
      </c>
      <c r="N68" s="530">
        <f t="shared" si="33"/>
        <v>0</v>
      </c>
      <c r="O68" s="530">
        <f t="shared" si="33"/>
        <v>0</v>
      </c>
      <c r="P68" s="530">
        <f t="shared" si="33"/>
        <v>0</v>
      </c>
      <c r="Q68" s="530">
        <f t="shared" si="33"/>
        <v>0</v>
      </c>
      <c r="R68" s="132"/>
      <c r="S68" s="132"/>
      <c r="T68" s="132"/>
      <c r="U68" s="132"/>
      <c r="V68" s="132"/>
      <c r="W68" s="132"/>
      <c r="X68" s="132"/>
      <c r="Y68" s="132"/>
      <c r="Z68" s="132"/>
      <c r="AJ68" s="281"/>
      <c r="AK68" s="281"/>
      <c r="AL68" s="281"/>
      <c r="AM68" s="281"/>
      <c r="AN68" s="281"/>
    </row>
    <row r="69" spans="1:40">
      <c r="A69" s="307"/>
      <c r="B69" s="326" t="s">
        <v>1145</v>
      </c>
      <c r="C69" s="758">
        <f>'Inputs and eligible population'!$F$101</f>
        <v>4</v>
      </c>
      <c r="D69" s="127">
        <f>(('Financial impact (cash)'!D13)*'Inputs and eligible population'!$G$59/(365/'Inputs and eligible population'!$D$59))*'Capacity (local prices)'!$C69</f>
        <v>0</v>
      </c>
      <c r="E69" s="127">
        <f>(('Financial impact (cash)'!D13)*'Inputs and eligible population'!$G$59/(365/'Inputs and eligible population'!$D$59))*'Capacity (local prices)'!$C69</f>
        <v>0</v>
      </c>
      <c r="F69" s="127">
        <f>(('Financial impact (cash)'!D13)*'Inputs and eligible population'!$G$59/(365/'Inputs and eligible population'!$D$59))*'Capacity (local prices)'!$C69</f>
        <v>0</v>
      </c>
      <c r="G69" s="127">
        <f>(('Financial impact (cash)'!E13)*'Inputs and eligible population'!$G$59/(365/'Inputs and eligible population'!$D$59))*'Capacity (local prices)'!$C69</f>
        <v>0</v>
      </c>
      <c r="H69" s="127">
        <f>(('Financial impact (cash)'!F13)*'Inputs and eligible population'!$G$59/(365/'Inputs and eligible population'!$D$59))*'Capacity (local prices)'!$C69</f>
        <v>0</v>
      </c>
      <c r="I69" s="127">
        <f>(('Financial impact (cash)'!G13)*'Inputs and eligible population'!$G$59/(365/'Inputs and eligible population'!$D$59))*'Capacity (local prices)'!$C69</f>
        <v>0</v>
      </c>
      <c r="J69" s="381"/>
      <c r="K69" s="528">
        <f>'Unit costs'!$N$63</f>
        <v>129</v>
      </c>
      <c r="L69" s="530">
        <f t="shared" si="34"/>
        <v>0</v>
      </c>
      <c r="M69" s="530">
        <f t="shared" si="33"/>
        <v>0</v>
      </c>
      <c r="N69" s="530">
        <f t="shared" si="33"/>
        <v>0</v>
      </c>
      <c r="O69" s="530">
        <f t="shared" si="33"/>
        <v>0</v>
      </c>
      <c r="P69" s="530">
        <f t="shared" si="33"/>
        <v>0</v>
      </c>
      <c r="Q69" s="530">
        <f t="shared" si="33"/>
        <v>0</v>
      </c>
      <c r="R69" s="132"/>
      <c r="S69" s="132"/>
      <c r="T69" s="132"/>
      <c r="U69" s="132"/>
      <c r="V69" s="132"/>
      <c r="W69" s="132"/>
      <c r="X69" s="132"/>
      <c r="Y69" s="132"/>
      <c r="Z69" s="132"/>
      <c r="AJ69" s="281"/>
      <c r="AK69" s="281"/>
      <c r="AL69" s="281"/>
      <c r="AM69" s="281"/>
      <c r="AN69" s="281"/>
    </row>
    <row r="70" spans="1:40">
      <c r="A70" s="307"/>
      <c r="B70" s="326" t="s">
        <v>1146</v>
      </c>
      <c r="C70" s="758">
        <f>'Inputs and eligible population'!$F$101</f>
        <v>4</v>
      </c>
      <c r="D70" s="127">
        <f>(('Financial impact (cash)'!D13)*'Inputs and eligible population'!$H$59/(365/'Inputs and eligible population'!$D$59))*'Capacity (local prices)'!$C70</f>
        <v>0</v>
      </c>
      <c r="E70" s="127">
        <f>(('Financial impact (cash)'!D13)*'Inputs and eligible population'!$H$59/(365/'Inputs and eligible population'!$D$59))*'Capacity (local prices)'!$C70</f>
        <v>0</v>
      </c>
      <c r="F70" s="127">
        <f>(('Financial impact (cash)'!D13)*'Inputs and eligible population'!$H$59/(365/'Inputs and eligible population'!$D$59))*'Capacity (local prices)'!$C70</f>
        <v>0</v>
      </c>
      <c r="G70" s="127">
        <f>(('Financial impact (cash)'!D13)*'Inputs and eligible population'!$H$59/(365/'Inputs and eligible population'!$D$59))*'Capacity (local prices)'!$C70</f>
        <v>0</v>
      </c>
      <c r="H70" s="127">
        <f>(('Financial impact (cash)'!E13)*'Inputs and eligible population'!$H$59/(365/'Inputs and eligible population'!$D$59))*'Capacity (local prices)'!$C70</f>
        <v>0</v>
      </c>
      <c r="I70" s="127">
        <f>(('Financial impact (cash)'!F13)*'Inputs and eligible population'!$H$59/(365/'Inputs and eligible population'!$D$59))*'Capacity (local prices)'!$C70</f>
        <v>0</v>
      </c>
      <c r="J70" s="381"/>
      <c r="K70" s="528">
        <f>'Unit costs'!$N$63</f>
        <v>129</v>
      </c>
      <c r="L70" s="530">
        <f t="shared" si="34"/>
        <v>0</v>
      </c>
      <c r="M70" s="530">
        <f t="shared" si="33"/>
        <v>0</v>
      </c>
      <c r="N70" s="530">
        <f t="shared" si="33"/>
        <v>0</v>
      </c>
      <c r="O70" s="530">
        <f t="shared" si="33"/>
        <v>0</v>
      </c>
      <c r="P70" s="530">
        <f t="shared" si="33"/>
        <v>0</v>
      </c>
      <c r="Q70" s="530">
        <f t="shared" si="33"/>
        <v>0</v>
      </c>
      <c r="R70" s="132"/>
      <c r="S70" s="132"/>
      <c r="T70" s="132"/>
      <c r="U70" s="132"/>
      <c r="V70" s="132"/>
      <c r="W70" s="132"/>
      <c r="X70" s="132"/>
      <c r="Y70" s="132"/>
      <c r="Z70" s="132"/>
      <c r="AJ70" s="281"/>
      <c r="AK70" s="281"/>
      <c r="AL70" s="281"/>
      <c r="AM70" s="281"/>
      <c r="AN70" s="281"/>
    </row>
    <row r="71" spans="1:40">
      <c r="A71" s="307"/>
      <c r="B71" s="326" t="s">
        <v>1147</v>
      </c>
      <c r="C71" s="758">
        <f>'Inputs and eligible population'!$F$101</f>
        <v>4</v>
      </c>
      <c r="D71" s="127">
        <f>(('Financial impact (cash)'!D13)*'Inputs and eligible population'!$I$59/(365/'Inputs and eligible population'!$D$59))*'Capacity (local prices)'!$C71</f>
        <v>0</v>
      </c>
      <c r="E71" s="127">
        <f>(('Financial impact (cash)'!D13)*'Inputs and eligible population'!$I$59/(365/'Inputs and eligible population'!$D$59))*'Capacity (local prices)'!$C71</f>
        <v>0</v>
      </c>
      <c r="F71" s="127">
        <f>(('Financial impact (cash)'!D13)*'Inputs and eligible population'!$I$59/(365/'Inputs and eligible population'!$D$59))*'Capacity (local prices)'!$C71</f>
        <v>0</v>
      </c>
      <c r="G71" s="127">
        <f>(('Financial impact (cash)'!D13)*'Inputs and eligible population'!$I$59/(365/'Inputs and eligible population'!$D$59))*'Capacity (local prices)'!$C71</f>
        <v>0</v>
      </c>
      <c r="H71" s="127">
        <f>(('Financial impact (cash)'!D13)*'Inputs and eligible population'!$I$59/(365/'Inputs and eligible population'!$D$59))*'Capacity (local prices)'!$C71</f>
        <v>0</v>
      </c>
      <c r="I71" s="127">
        <f>(('Financial impact (cash)'!E13)*'Inputs and eligible population'!$I$59/(365/'Inputs and eligible population'!$D$59))*'Capacity (local prices)'!$C71</f>
        <v>0</v>
      </c>
      <c r="J71" s="381"/>
      <c r="K71" s="528">
        <f>'Unit costs'!$N$63</f>
        <v>129</v>
      </c>
      <c r="L71" s="530">
        <f t="shared" si="34"/>
        <v>0</v>
      </c>
      <c r="M71" s="530">
        <f t="shared" si="33"/>
        <v>0</v>
      </c>
      <c r="N71" s="530">
        <f t="shared" si="33"/>
        <v>0</v>
      </c>
      <c r="O71" s="530">
        <f t="shared" si="33"/>
        <v>0</v>
      </c>
      <c r="P71" s="530">
        <f t="shared" si="33"/>
        <v>0</v>
      </c>
      <c r="Q71" s="530">
        <f t="shared" si="33"/>
        <v>0</v>
      </c>
      <c r="R71" s="132"/>
      <c r="S71" s="132"/>
      <c r="T71" s="132"/>
      <c r="U71" s="132"/>
      <c r="V71" s="132"/>
      <c r="W71" s="132"/>
      <c r="X71" s="132"/>
      <c r="Y71" s="132"/>
      <c r="Z71" s="132"/>
      <c r="AJ71" s="281"/>
      <c r="AK71" s="281"/>
      <c r="AL71" s="281"/>
      <c r="AM71" s="281"/>
      <c r="AN71" s="281"/>
    </row>
    <row r="72" spans="1:40">
      <c r="A72" s="307"/>
      <c r="B72" s="326" t="s">
        <v>1148</v>
      </c>
      <c r="C72" s="758">
        <f>'Inputs and eligible population'!$F$101</f>
        <v>4</v>
      </c>
      <c r="D72" s="127">
        <f>('Financial impact (cash)'!D14*'Inputs and eligible population'!$E60/(365/'Inputs and eligible population'!D60))*$C72</f>
        <v>0</v>
      </c>
      <c r="E72" s="127">
        <f>(('Financial impact (cash)'!E14)*'Inputs and eligible population'!$E$60/(365/'Inputs and eligible population'!$D$60))*'Capacity (local prices)'!$C72</f>
        <v>0</v>
      </c>
      <c r="F72" s="127">
        <f>(('Financial impact (cash)'!F14)*'Inputs and eligible population'!$E$60/(365/'Inputs and eligible population'!$D$60))*'Capacity (local prices)'!$C72</f>
        <v>0</v>
      </c>
      <c r="G72" s="127">
        <f>(('Financial impact (cash)'!G14)*'Inputs and eligible population'!$E$60/(365/'Inputs and eligible population'!$D$60))*'Capacity (local prices)'!$C72</f>
        <v>0</v>
      </c>
      <c r="H72" s="127">
        <f>(('Financial impact (cash)'!H14)*'Inputs and eligible population'!$E$60/(365/'Inputs and eligible population'!$D$60))*'Capacity (local prices)'!$C72</f>
        <v>0</v>
      </c>
      <c r="I72" s="127">
        <f>(('Financial impact (cash)'!I14)*'Inputs and eligible population'!$E$60/(365/'Inputs and eligible population'!$D$60))*'Capacity (local prices)'!$C72</f>
        <v>0</v>
      </c>
      <c r="J72" s="381"/>
      <c r="K72" s="528">
        <f>'Unit costs'!$N$63</f>
        <v>129</v>
      </c>
      <c r="L72" s="530">
        <f>$K72/1000*D72</f>
        <v>0</v>
      </c>
      <c r="M72" s="530">
        <f t="shared" si="33"/>
        <v>0</v>
      </c>
      <c r="N72" s="530">
        <f t="shared" si="33"/>
        <v>0</v>
      </c>
      <c r="O72" s="530">
        <f t="shared" si="33"/>
        <v>0</v>
      </c>
      <c r="P72" s="530">
        <f t="shared" si="33"/>
        <v>0</v>
      </c>
      <c r="Q72" s="530">
        <f t="shared" si="33"/>
        <v>0</v>
      </c>
      <c r="R72" s="132"/>
      <c r="S72" s="132"/>
      <c r="T72" s="132"/>
      <c r="U72" s="132"/>
      <c r="V72" s="132"/>
      <c r="W72" s="132"/>
      <c r="X72" s="132"/>
      <c r="Y72" s="132"/>
      <c r="Z72" s="132"/>
      <c r="AJ72" s="281"/>
      <c r="AK72" s="281"/>
      <c r="AL72" s="281"/>
      <c r="AM72" s="281"/>
      <c r="AN72" s="281"/>
    </row>
    <row r="73" spans="1:40">
      <c r="A73" s="307"/>
      <c r="B73" s="326" t="s">
        <v>1149</v>
      </c>
      <c r="C73" s="758">
        <f>'Inputs and eligible population'!$F$101</f>
        <v>4</v>
      </c>
      <c r="D73" s="127">
        <f>(('Financial impact (cash)'!D14)*'Inputs and eligible population'!$F$60/(365/'Inputs and eligible population'!$D$60))*'Capacity (local prices)'!$C73</f>
        <v>0</v>
      </c>
      <c r="E73" s="127">
        <f>(('Financial impact (cash)'!D14)*'Inputs and eligible population'!$F$60/(365/'Inputs and eligible population'!$D$60))*'Capacity (local prices)'!$C73</f>
        <v>0</v>
      </c>
      <c r="F73" s="127">
        <f>(('Financial impact (cash)'!E14)*'Inputs and eligible population'!$F$60/(365/'Inputs and eligible population'!$D$60))*'Capacity (local prices)'!$C73</f>
        <v>0</v>
      </c>
      <c r="G73" s="127">
        <f>(('Financial impact (cash)'!F14)*'Inputs and eligible population'!$F$60/(365/'Inputs and eligible population'!$D$60))*'Capacity (local prices)'!$C73</f>
        <v>0</v>
      </c>
      <c r="H73" s="127">
        <f>(('Financial impact (cash)'!G14)*'Inputs and eligible population'!$F$60/(365/'Inputs and eligible population'!$D$60))*'Capacity (local prices)'!$C73</f>
        <v>0</v>
      </c>
      <c r="I73" s="127">
        <f>(('Financial impact (cash)'!H14)*'Inputs and eligible population'!$F$60/(365/'Inputs and eligible population'!$D$60))*'Capacity (local prices)'!$C73</f>
        <v>0</v>
      </c>
      <c r="J73" s="381"/>
      <c r="K73" s="528">
        <f>'Unit costs'!$N$63</f>
        <v>129</v>
      </c>
      <c r="L73" s="530">
        <f t="shared" ref="L73:L91" si="35">$K73/1000*D73</f>
        <v>0</v>
      </c>
      <c r="M73" s="530">
        <f t="shared" si="33"/>
        <v>0</v>
      </c>
      <c r="N73" s="530">
        <f t="shared" si="33"/>
        <v>0</v>
      </c>
      <c r="O73" s="530">
        <f t="shared" si="33"/>
        <v>0</v>
      </c>
      <c r="P73" s="530">
        <f t="shared" si="33"/>
        <v>0</v>
      </c>
      <c r="Q73" s="530">
        <f t="shared" si="33"/>
        <v>0</v>
      </c>
      <c r="R73" s="132"/>
      <c r="S73" s="132"/>
      <c r="T73" s="132"/>
      <c r="U73" s="132"/>
      <c r="V73" s="132"/>
      <c r="W73" s="132"/>
      <c r="X73" s="132"/>
      <c r="Y73" s="132"/>
      <c r="Z73" s="132"/>
      <c r="AJ73" s="281"/>
      <c r="AK73" s="281"/>
      <c r="AL73" s="281"/>
      <c r="AM73" s="281"/>
      <c r="AN73" s="281"/>
    </row>
    <row r="74" spans="1:40">
      <c r="A74" s="307"/>
      <c r="B74" s="326" t="s">
        <v>1150</v>
      </c>
      <c r="C74" s="758">
        <f>'Inputs and eligible population'!$F$101</f>
        <v>4</v>
      </c>
      <c r="D74" s="127">
        <f>(('Financial impact (cash)'!D14)*'Inputs and eligible population'!$G$60/(365/'Inputs and eligible population'!$D$60))*'Capacity (local prices)'!$C74</f>
        <v>0</v>
      </c>
      <c r="E74" s="127">
        <f>(('Financial impact (cash)'!D14)*'Inputs and eligible population'!$G$60/(365/'Inputs and eligible population'!$D$60))*'Capacity (local prices)'!$C74</f>
        <v>0</v>
      </c>
      <c r="F74" s="127">
        <f>(('Financial impact (cash)'!D14)*'Inputs and eligible population'!$G$60/(365/'Inputs and eligible population'!$D$60))*'Capacity (local prices)'!$C74</f>
        <v>0</v>
      </c>
      <c r="G74" s="127">
        <f>(('Financial impact (cash)'!E14)*'Inputs and eligible population'!$G$60/(365/'Inputs and eligible population'!$D$60))*'Capacity (local prices)'!$C74</f>
        <v>0</v>
      </c>
      <c r="H74" s="127">
        <f>(('Financial impact (cash)'!F14)*'Inputs and eligible population'!$G$60/(365/'Inputs and eligible population'!$D$60))*'Capacity (local prices)'!$C74</f>
        <v>0</v>
      </c>
      <c r="I74" s="127">
        <f>(('Financial impact (cash)'!G14)*'Inputs and eligible population'!$G$60/(365/'Inputs and eligible population'!$D$60))*'Capacity (local prices)'!$C74</f>
        <v>0</v>
      </c>
      <c r="J74" s="381"/>
      <c r="K74" s="528">
        <f>'Unit costs'!$N$63</f>
        <v>129</v>
      </c>
      <c r="L74" s="530">
        <f t="shared" si="35"/>
        <v>0</v>
      </c>
      <c r="M74" s="530">
        <f t="shared" si="33"/>
        <v>0</v>
      </c>
      <c r="N74" s="530">
        <f t="shared" si="33"/>
        <v>0</v>
      </c>
      <c r="O74" s="530">
        <f t="shared" si="33"/>
        <v>0</v>
      </c>
      <c r="P74" s="530">
        <f t="shared" si="33"/>
        <v>0</v>
      </c>
      <c r="Q74" s="530">
        <f t="shared" si="33"/>
        <v>0</v>
      </c>
      <c r="R74" s="132"/>
      <c r="S74" s="132"/>
      <c r="T74" s="132"/>
      <c r="U74" s="132"/>
      <c r="V74" s="132"/>
      <c r="W74" s="132"/>
      <c r="X74" s="132"/>
      <c r="Y74" s="132"/>
      <c r="Z74" s="132"/>
      <c r="AJ74" s="281"/>
      <c r="AK74" s="281"/>
      <c r="AL74" s="281"/>
      <c r="AM74" s="281"/>
      <c r="AN74" s="281"/>
    </row>
    <row r="75" spans="1:40">
      <c r="A75" s="307"/>
      <c r="B75" s="326" t="s">
        <v>1151</v>
      </c>
      <c r="C75" s="758">
        <f>'Inputs and eligible population'!$F$101</f>
        <v>4</v>
      </c>
      <c r="D75" s="127">
        <f>(('Financial impact (cash)'!D14)*'Inputs and eligible population'!$H$60/(365/'Inputs and eligible population'!$D$60))*'Capacity (local prices)'!$C75</f>
        <v>0</v>
      </c>
      <c r="E75" s="127">
        <f>(('Financial impact (cash)'!D14)*'Inputs and eligible population'!$H$60/(365/'Inputs and eligible population'!$D$60))*'Capacity (local prices)'!$C75</f>
        <v>0</v>
      </c>
      <c r="F75" s="127">
        <f>(('Financial impact (cash)'!D14)*'Inputs and eligible population'!$H$60/(365/'Inputs and eligible population'!$D$60))*'Capacity (local prices)'!$C75</f>
        <v>0</v>
      </c>
      <c r="G75" s="127">
        <f>(('Financial impact (cash)'!D14)*'Inputs and eligible population'!$H$60/(365/'Inputs and eligible population'!$D$60))*'Capacity (local prices)'!$C75</f>
        <v>0</v>
      </c>
      <c r="H75" s="127">
        <f>(('Financial impact (cash)'!E14)*'Inputs and eligible population'!$H$60/(365/'Inputs and eligible population'!$D$60))*'Capacity (local prices)'!$C75</f>
        <v>0</v>
      </c>
      <c r="I75" s="127">
        <f>(('Financial impact (cash)'!F14)*'Inputs and eligible population'!$H$60/(365/'Inputs and eligible population'!$D$60))*'Capacity (local prices)'!$C75</f>
        <v>0</v>
      </c>
      <c r="J75" s="381"/>
      <c r="K75" s="528">
        <f>'Unit costs'!$N$63</f>
        <v>129</v>
      </c>
      <c r="L75" s="530">
        <f t="shared" si="35"/>
        <v>0</v>
      </c>
      <c r="M75" s="530">
        <f t="shared" si="33"/>
        <v>0</v>
      </c>
      <c r="N75" s="530">
        <f t="shared" si="33"/>
        <v>0</v>
      </c>
      <c r="O75" s="530">
        <f t="shared" si="33"/>
        <v>0</v>
      </c>
      <c r="P75" s="530">
        <f t="shared" si="33"/>
        <v>0</v>
      </c>
      <c r="Q75" s="530">
        <f t="shared" si="33"/>
        <v>0</v>
      </c>
      <c r="R75" s="132"/>
      <c r="S75" s="132"/>
      <c r="T75" s="132"/>
      <c r="U75" s="132"/>
      <c r="V75" s="132"/>
      <c r="W75" s="132"/>
      <c r="X75" s="132"/>
      <c r="Y75" s="132"/>
      <c r="Z75" s="132"/>
      <c r="AJ75" s="281"/>
      <c r="AK75" s="281"/>
      <c r="AL75" s="281"/>
      <c r="AM75" s="281"/>
      <c r="AN75" s="281"/>
    </row>
    <row r="76" spans="1:40">
      <c r="A76" s="307"/>
      <c r="B76" s="326" t="s">
        <v>1152</v>
      </c>
      <c r="C76" s="758">
        <f>'Inputs and eligible population'!$F$101</f>
        <v>4</v>
      </c>
      <c r="D76" s="127">
        <f>(('Financial impact (cash)'!D14)*'Inputs and eligible population'!$I$60/(365/'Inputs and eligible population'!$D$60))*'Capacity (local prices)'!$C76</f>
        <v>0</v>
      </c>
      <c r="E76" s="127">
        <f>(('Financial impact (cash)'!D14)*'Inputs and eligible population'!$I$60/(365/'Inputs and eligible population'!$D$60))*'Capacity (local prices)'!$C76</f>
        <v>0</v>
      </c>
      <c r="F76" s="127">
        <f>(('Financial impact (cash)'!D14)*'Inputs and eligible population'!$I$60/(365/'Inputs and eligible population'!$D$60))*'Capacity (local prices)'!$C76</f>
        <v>0</v>
      </c>
      <c r="G76" s="127">
        <f>(('Financial impact (cash)'!D14)*'Inputs and eligible population'!$I$60/(365/'Inputs and eligible population'!$D$60))*'Capacity (local prices)'!$C76</f>
        <v>0</v>
      </c>
      <c r="H76" s="127">
        <f>(('Financial impact (cash)'!D14)*'Inputs and eligible population'!$I$60/(365/'Inputs and eligible population'!$D$60))*'Capacity (local prices)'!$C76</f>
        <v>0</v>
      </c>
      <c r="I76" s="127">
        <f>(('Financial impact (cash)'!E14)*'Inputs and eligible population'!$I$60/(365/'Inputs and eligible population'!$D$60))*'Capacity (local prices)'!$C76</f>
        <v>0</v>
      </c>
      <c r="J76" s="381"/>
      <c r="K76" s="528">
        <f>'Unit costs'!$N$63</f>
        <v>129</v>
      </c>
      <c r="L76" s="530">
        <f t="shared" si="35"/>
        <v>0</v>
      </c>
      <c r="M76" s="530">
        <f t="shared" si="33"/>
        <v>0</v>
      </c>
      <c r="N76" s="530">
        <f t="shared" si="33"/>
        <v>0</v>
      </c>
      <c r="O76" s="530">
        <f t="shared" si="33"/>
        <v>0</v>
      </c>
      <c r="P76" s="530">
        <f t="shared" si="33"/>
        <v>0</v>
      </c>
      <c r="Q76" s="530">
        <f t="shared" si="33"/>
        <v>0</v>
      </c>
      <c r="R76" s="132"/>
      <c r="S76" s="132"/>
      <c r="T76" s="132"/>
      <c r="U76" s="132"/>
      <c r="V76" s="132"/>
      <c r="W76" s="132"/>
      <c r="X76" s="132"/>
      <c r="Y76" s="132"/>
      <c r="Z76" s="132"/>
      <c r="AJ76" s="281"/>
      <c r="AK76" s="281"/>
      <c r="AL76" s="281"/>
      <c r="AM76" s="281"/>
      <c r="AN76" s="281"/>
    </row>
    <row r="77" spans="1:40">
      <c r="A77" s="307"/>
      <c r="B77" s="326" t="s">
        <v>1153</v>
      </c>
      <c r="C77" s="758">
        <f>'Inputs and eligible population'!$G$101</f>
        <v>4</v>
      </c>
      <c r="D77" s="127">
        <f>('Financial impact (cash)'!D15*'Inputs and eligible population'!$E61/(365/'Inputs and eligible population'!D61))*$C77</f>
        <v>0</v>
      </c>
      <c r="E77" s="127">
        <f>(('Financial impact (cash)'!E15)*'Inputs and eligible population'!$E$61/(365/'Inputs and eligible population'!$D$61))*'Capacity (local prices)'!$C77</f>
        <v>0</v>
      </c>
      <c r="F77" s="127">
        <f>(('Financial impact (cash)'!F15)*'Inputs and eligible population'!$E$61/(365/'Inputs and eligible population'!$D$61))*'Capacity (local prices)'!$C77</f>
        <v>0</v>
      </c>
      <c r="G77" s="127">
        <f>(('Financial impact (cash)'!G15)*'Inputs and eligible population'!$E$61/(365/'Inputs and eligible population'!$D$61))*'Capacity (local prices)'!$C77</f>
        <v>0</v>
      </c>
      <c r="H77" s="127">
        <f>(('Financial impact (cash)'!H15)*'Inputs and eligible population'!$E$61/(365/'Inputs and eligible population'!$D$61))*'Capacity (local prices)'!$C77</f>
        <v>0</v>
      </c>
      <c r="I77" s="127">
        <f>(('Financial impact (cash)'!I15)*'Inputs and eligible population'!$E$61/(365/'Inputs and eligible population'!$D$61))*'Capacity (local prices)'!$C77</f>
        <v>0</v>
      </c>
      <c r="J77" s="381"/>
      <c r="K77" s="528">
        <f>'Unit costs'!$N$63</f>
        <v>129</v>
      </c>
      <c r="L77" s="530">
        <f t="shared" si="35"/>
        <v>0</v>
      </c>
      <c r="M77" s="530">
        <f t="shared" si="33"/>
        <v>0</v>
      </c>
      <c r="N77" s="530">
        <f t="shared" si="33"/>
        <v>0</v>
      </c>
      <c r="O77" s="530">
        <f t="shared" si="33"/>
        <v>0</v>
      </c>
      <c r="P77" s="530">
        <f t="shared" si="33"/>
        <v>0</v>
      </c>
      <c r="Q77" s="530">
        <f t="shared" si="33"/>
        <v>0</v>
      </c>
      <c r="R77" s="132"/>
      <c r="S77" s="132"/>
      <c r="T77" s="132"/>
      <c r="U77" s="132"/>
      <c r="V77" s="132"/>
      <c r="W77" s="132"/>
      <c r="X77" s="132"/>
      <c r="Y77" s="132"/>
      <c r="Z77" s="132"/>
      <c r="AJ77" s="281"/>
      <c r="AK77" s="281"/>
      <c r="AL77" s="281"/>
      <c r="AM77" s="281"/>
      <c r="AN77" s="281"/>
    </row>
    <row r="78" spans="1:40">
      <c r="A78" s="307"/>
      <c r="B78" s="326" t="s">
        <v>1154</v>
      </c>
      <c r="C78" s="758">
        <f>'Inputs and eligible population'!$G$101</f>
        <v>4</v>
      </c>
      <c r="D78" s="127">
        <f>(('Financial impact (cash)'!D15)*'Inputs and eligible population'!$F$61/(365/'Inputs and eligible population'!$D$61))*'Capacity (local prices)'!$C78</f>
        <v>0</v>
      </c>
      <c r="E78" s="127">
        <f>(('Financial impact (cash)'!D15)*'Inputs and eligible population'!$F$61/(365/'Inputs and eligible population'!$D$61))*'Capacity (local prices)'!$C78</f>
        <v>0</v>
      </c>
      <c r="F78" s="127">
        <f>(('Financial impact (cash)'!E15)*'Inputs and eligible population'!$F$61/(365/'Inputs and eligible population'!$D$61))*'Capacity (local prices)'!$C78</f>
        <v>0</v>
      </c>
      <c r="G78" s="127">
        <f>(('Financial impact (cash)'!F15)*'Inputs and eligible population'!$F$61/(365/'Inputs and eligible population'!$D$61))*'Capacity (local prices)'!$C78</f>
        <v>0</v>
      </c>
      <c r="H78" s="127">
        <f>(('Financial impact (cash)'!G15)*'Inputs and eligible population'!$F$61/(365/'Inputs and eligible population'!$D$61))*'Capacity (local prices)'!$C78</f>
        <v>0</v>
      </c>
      <c r="I78" s="127">
        <f>(('Financial impact (cash)'!H15)*'Inputs and eligible population'!$F$61/(365/'Inputs and eligible population'!$D$61))*'Capacity (local prices)'!$C78</f>
        <v>0</v>
      </c>
      <c r="J78" s="381"/>
      <c r="K78" s="528">
        <f>'Unit costs'!$N$63</f>
        <v>129</v>
      </c>
      <c r="L78" s="530">
        <f t="shared" si="35"/>
        <v>0</v>
      </c>
      <c r="M78" s="530">
        <f t="shared" si="33"/>
        <v>0</v>
      </c>
      <c r="N78" s="530">
        <f t="shared" si="33"/>
        <v>0</v>
      </c>
      <c r="O78" s="530">
        <f t="shared" si="33"/>
        <v>0</v>
      </c>
      <c r="P78" s="530">
        <f t="shared" si="33"/>
        <v>0</v>
      </c>
      <c r="Q78" s="530">
        <f t="shared" si="33"/>
        <v>0</v>
      </c>
      <c r="R78" s="132"/>
      <c r="S78" s="132"/>
      <c r="T78" s="132"/>
      <c r="U78" s="132"/>
      <c r="V78" s="132"/>
      <c r="W78" s="132"/>
      <c r="X78" s="132"/>
      <c r="Y78" s="132"/>
      <c r="Z78" s="132"/>
      <c r="AJ78" s="281"/>
      <c r="AK78" s="281"/>
      <c r="AL78" s="281"/>
      <c r="AM78" s="281"/>
      <c r="AN78" s="281"/>
    </row>
    <row r="79" spans="1:40">
      <c r="A79" s="307"/>
      <c r="B79" s="326" t="s">
        <v>1155</v>
      </c>
      <c r="C79" s="758">
        <f>'Inputs and eligible population'!$G$101</f>
        <v>4</v>
      </c>
      <c r="D79" s="127">
        <f>(('Financial impact (cash)'!D15)*'Inputs and eligible population'!$G$61/(365/'Inputs and eligible population'!$D$61))*'Capacity (local prices)'!$C79</f>
        <v>0</v>
      </c>
      <c r="E79" s="127">
        <f>(('Financial impact (cash)'!D15)*'Inputs and eligible population'!$G$61/(365/'Inputs and eligible population'!$D$61))*'Capacity (local prices)'!$C79</f>
        <v>0</v>
      </c>
      <c r="F79" s="127">
        <f>(('Financial impact (cash)'!D15)*'Inputs and eligible population'!$G$61/(365/'Inputs and eligible population'!$D$61))*'Capacity (local prices)'!$C79</f>
        <v>0</v>
      </c>
      <c r="G79" s="127">
        <f>(('Financial impact (cash)'!E15)*'Inputs and eligible population'!$G$61/(365/'Inputs and eligible population'!$D$61))*'Capacity (local prices)'!$C79</f>
        <v>0</v>
      </c>
      <c r="H79" s="127">
        <f>(('Financial impact (cash)'!F15)*'Inputs and eligible population'!$G$61/(365/'Inputs and eligible population'!$D$61))*'Capacity (local prices)'!$C79</f>
        <v>0</v>
      </c>
      <c r="I79" s="127">
        <f>(('Financial impact (cash)'!G15)*'Inputs and eligible population'!$G$61/(365/'Inputs and eligible population'!$D$61))*'Capacity (local prices)'!$C79</f>
        <v>0</v>
      </c>
      <c r="J79" s="381"/>
      <c r="K79" s="528">
        <f>'Unit costs'!$N$63</f>
        <v>129</v>
      </c>
      <c r="L79" s="530">
        <f t="shared" si="35"/>
        <v>0</v>
      </c>
      <c r="M79" s="530">
        <f t="shared" si="33"/>
        <v>0</v>
      </c>
      <c r="N79" s="530">
        <f t="shared" si="33"/>
        <v>0</v>
      </c>
      <c r="O79" s="530">
        <f t="shared" si="33"/>
        <v>0</v>
      </c>
      <c r="P79" s="530">
        <f t="shared" si="33"/>
        <v>0</v>
      </c>
      <c r="Q79" s="530">
        <f t="shared" si="33"/>
        <v>0</v>
      </c>
      <c r="R79" s="132"/>
      <c r="S79" s="132"/>
      <c r="T79" s="132"/>
      <c r="U79" s="132"/>
      <c r="V79" s="132"/>
      <c r="W79" s="132"/>
      <c r="X79" s="132"/>
      <c r="Y79" s="132"/>
      <c r="Z79" s="132"/>
      <c r="AJ79" s="281"/>
      <c r="AK79" s="281"/>
      <c r="AL79" s="281"/>
      <c r="AM79" s="281"/>
      <c r="AN79" s="281"/>
    </row>
    <row r="80" spans="1:40">
      <c r="A80" s="307"/>
      <c r="B80" s="326" t="s">
        <v>1156</v>
      </c>
      <c r="C80" s="758">
        <f>'Inputs and eligible population'!$G$101</f>
        <v>4</v>
      </c>
      <c r="D80" s="127">
        <f>(('Financial impact (cash)'!D15)*'Inputs and eligible population'!$H$61/(365/'Inputs and eligible population'!$D$61))*'Capacity (local prices)'!$C80</f>
        <v>0</v>
      </c>
      <c r="E80" s="127">
        <f>(('Financial impact (cash)'!D15)*'Inputs and eligible population'!$H$61/(365/'Inputs and eligible population'!$D$61))*'Capacity (local prices)'!$C80</f>
        <v>0</v>
      </c>
      <c r="F80" s="127">
        <f>(('Financial impact (cash)'!D15)*'Inputs and eligible population'!$H$61/(365/'Inputs and eligible population'!$D$61))*'Capacity (local prices)'!$C80</f>
        <v>0</v>
      </c>
      <c r="G80" s="127">
        <f>(('Financial impact (cash)'!D15)*'Inputs and eligible population'!$H$61/(365/'Inputs and eligible population'!$D$61))*'Capacity (local prices)'!$C80</f>
        <v>0</v>
      </c>
      <c r="H80" s="127">
        <f>(('Financial impact (cash)'!E15)*'Inputs and eligible population'!$H$61/(365/'Inputs and eligible population'!$D$61))*'Capacity (local prices)'!$C80</f>
        <v>0</v>
      </c>
      <c r="I80" s="127">
        <f>(('Financial impact (cash)'!F15)*'Inputs and eligible population'!$H$61/(365/'Inputs and eligible population'!$D$61))*'Capacity (local prices)'!$C80</f>
        <v>0</v>
      </c>
      <c r="J80" s="381"/>
      <c r="K80" s="528">
        <f>'Unit costs'!$N$63</f>
        <v>129</v>
      </c>
      <c r="L80" s="530">
        <f t="shared" si="35"/>
        <v>0</v>
      </c>
      <c r="M80" s="530">
        <f t="shared" si="33"/>
        <v>0</v>
      </c>
      <c r="N80" s="530">
        <f t="shared" si="33"/>
        <v>0</v>
      </c>
      <c r="O80" s="530">
        <f t="shared" si="33"/>
        <v>0</v>
      </c>
      <c r="P80" s="530">
        <f t="shared" si="33"/>
        <v>0</v>
      </c>
      <c r="Q80" s="530">
        <f t="shared" si="33"/>
        <v>0</v>
      </c>
      <c r="R80" s="132"/>
      <c r="S80" s="132"/>
      <c r="T80" s="132"/>
      <c r="U80" s="132"/>
      <c r="V80" s="132"/>
      <c r="W80" s="132"/>
      <c r="X80" s="132"/>
      <c r="Y80" s="132"/>
      <c r="Z80" s="132"/>
      <c r="AJ80" s="281"/>
      <c r="AK80" s="281"/>
      <c r="AL80" s="281"/>
      <c r="AM80" s="281"/>
      <c r="AN80" s="281"/>
    </row>
    <row r="81" spans="1:40">
      <c r="A81" s="307"/>
      <c r="B81" s="326" t="s">
        <v>1157</v>
      </c>
      <c r="C81" s="758">
        <f>'Inputs and eligible population'!$G$101</f>
        <v>4</v>
      </c>
      <c r="D81" s="127">
        <f>(('Financial impact (cash)'!D15)*'Inputs and eligible population'!$I$61/(365/'Inputs and eligible population'!$D$61))*'Capacity (local prices)'!$C81</f>
        <v>0</v>
      </c>
      <c r="E81" s="127">
        <f>(('Financial impact (cash)'!D15)*'Inputs and eligible population'!$I$61/(365/'Inputs and eligible population'!$D$61))*'Capacity (local prices)'!$C81</f>
        <v>0</v>
      </c>
      <c r="F81" s="127">
        <f>(('Financial impact (cash)'!D15)*'Inputs and eligible population'!$I$61/(365/'Inputs and eligible population'!$D$61))*'Capacity (local prices)'!$C81</f>
        <v>0</v>
      </c>
      <c r="G81" s="127">
        <f>(('Financial impact (cash)'!D15)*'Inputs and eligible population'!$I$61/(365/'Inputs and eligible population'!$D$61))*'Capacity (local prices)'!$C81</f>
        <v>0</v>
      </c>
      <c r="H81" s="127">
        <f>(('Financial impact (cash)'!D15)*'Inputs and eligible population'!$I$61/(365/'Inputs and eligible population'!$D$61))*'Capacity (local prices)'!$C81</f>
        <v>0</v>
      </c>
      <c r="I81" s="127">
        <f>(('Financial impact (cash)'!E15)*'Inputs and eligible population'!$I$61/(365/'Inputs and eligible population'!$D$61))*'Capacity (local prices)'!$C81</f>
        <v>0</v>
      </c>
      <c r="J81" s="381"/>
      <c r="K81" s="528">
        <f>'Unit costs'!$N$63</f>
        <v>129</v>
      </c>
      <c r="L81" s="530">
        <f t="shared" si="35"/>
        <v>0</v>
      </c>
      <c r="M81" s="530">
        <f t="shared" si="33"/>
        <v>0</v>
      </c>
      <c r="N81" s="530">
        <f t="shared" si="33"/>
        <v>0</v>
      </c>
      <c r="O81" s="530">
        <f t="shared" si="33"/>
        <v>0</v>
      </c>
      <c r="P81" s="530">
        <f t="shared" si="33"/>
        <v>0</v>
      </c>
      <c r="Q81" s="530">
        <f t="shared" si="33"/>
        <v>0</v>
      </c>
      <c r="R81" s="132"/>
      <c r="S81" s="132"/>
      <c r="T81" s="132"/>
      <c r="U81" s="132"/>
      <c r="V81" s="132"/>
      <c r="W81" s="132"/>
      <c r="X81" s="132"/>
      <c r="Y81" s="132"/>
      <c r="Z81" s="132"/>
      <c r="AJ81" s="281"/>
      <c r="AK81" s="281"/>
      <c r="AL81" s="281"/>
      <c r="AM81" s="281"/>
      <c r="AN81" s="281"/>
    </row>
    <row r="82" spans="1:40">
      <c r="A82" s="307"/>
      <c r="B82" s="326" t="s">
        <v>1158</v>
      </c>
      <c r="C82" s="758">
        <f>'Inputs and eligible population'!$H$101</f>
        <v>4</v>
      </c>
      <c r="D82" s="127">
        <f>('Financial impact (cash)'!D16*'Inputs and eligible population'!$E62/(365/'Inputs and eligible population'!D62))*$C82</f>
        <v>0</v>
      </c>
      <c r="E82" s="127">
        <f>(('Financial impact (cash)'!E16)*'Inputs and eligible population'!$E$62/(365/'Inputs and eligible population'!$D$62))*'Capacity (local prices)'!$C82</f>
        <v>0</v>
      </c>
      <c r="F82" s="127">
        <f>(('Financial impact (cash)'!F16)*'Inputs and eligible population'!$E$62/(365/'Inputs and eligible population'!$D$62))*'Capacity (local prices)'!$C82</f>
        <v>0</v>
      </c>
      <c r="G82" s="127">
        <f>(('Financial impact (cash)'!G16)*'Inputs and eligible population'!$E$62/(365/'Inputs and eligible population'!$D$62))*'Capacity (local prices)'!$C82</f>
        <v>0</v>
      </c>
      <c r="H82" s="127">
        <f>(('Financial impact (cash)'!H16)*'Inputs and eligible population'!$E$62/(365/'Inputs and eligible population'!$D$62))*'Capacity (local prices)'!$C82</f>
        <v>0</v>
      </c>
      <c r="I82" s="127">
        <f>(('Financial impact (cash)'!I16)*'Inputs and eligible population'!$E$62/(365/'Inputs and eligible population'!$D$62))*'Capacity (local prices)'!$C82</f>
        <v>0</v>
      </c>
      <c r="J82" s="381"/>
      <c r="K82" s="528">
        <f>'Unit costs'!$N$63</f>
        <v>129</v>
      </c>
      <c r="L82" s="530">
        <f t="shared" si="35"/>
        <v>0</v>
      </c>
      <c r="M82" s="530">
        <f t="shared" si="33"/>
        <v>0</v>
      </c>
      <c r="N82" s="530">
        <f t="shared" si="33"/>
        <v>0</v>
      </c>
      <c r="O82" s="530">
        <f t="shared" si="33"/>
        <v>0</v>
      </c>
      <c r="P82" s="530">
        <f t="shared" si="33"/>
        <v>0</v>
      </c>
      <c r="Q82" s="530">
        <f t="shared" si="33"/>
        <v>0</v>
      </c>
      <c r="R82" s="132"/>
      <c r="S82" s="132"/>
      <c r="T82" s="132"/>
      <c r="U82" s="132"/>
      <c r="V82" s="132"/>
      <c r="W82" s="132"/>
      <c r="X82" s="132"/>
      <c r="Y82" s="132"/>
      <c r="Z82" s="132"/>
      <c r="AJ82" s="281"/>
      <c r="AK82" s="281"/>
      <c r="AL82" s="281"/>
      <c r="AM82" s="281"/>
      <c r="AN82" s="281"/>
    </row>
    <row r="83" spans="1:40">
      <c r="A83" s="307"/>
      <c r="B83" s="326" t="s">
        <v>1159</v>
      </c>
      <c r="C83" s="758">
        <f>'Inputs and eligible population'!$H$101</f>
        <v>4</v>
      </c>
      <c r="D83" s="127">
        <f>(('Financial impact (cash)'!D16)*'Inputs and eligible population'!$F$62/(365/'Inputs and eligible population'!$D$62))*'Capacity (local prices)'!$C83</f>
        <v>0</v>
      </c>
      <c r="E83" s="127">
        <f>(('Financial impact (cash)'!D16)*'Inputs and eligible population'!$F$62/(365/'Inputs and eligible population'!$D$62))*'Capacity (local prices)'!$C83</f>
        <v>0</v>
      </c>
      <c r="F83" s="127">
        <f>(('Financial impact (cash)'!E16)*'Inputs and eligible population'!$F$62/(365/'Inputs and eligible population'!$D$62))*'Capacity (local prices)'!$C83</f>
        <v>0</v>
      </c>
      <c r="G83" s="127">
        <f>(('Financial impact (cash)'!F16)*'Inputs and eligible population'!$F$62/(365/'Inputs and eligible population'!$D$62))*'Capacity (local prices)'!$C83</f>
        <v>0</v>
      </c>
      <c r="H83" s="127">
        <f>(('Financial impact (cash)'!G16)*'Inputs and eligible population'!$F$62/(365/'Inputs and eligible population'!$D$62))*'Capacity (local prices)'!$C83</f>
        <v>0</v>
      </c>
      <c r="I83" s="127">
        <f>(('Financial impact (cash)'!H16)*'Inputs and eligible population'!$F$62/(365/'Inputs and eligible population'!$D$62))*'Capacity (local prices)'!$C83</f>
        <v>0</v>
      </c>
      <c r="J83" s="381"/>
      <c r="K83" s="528">
        <f>'Unit costs'!$N$63</f>
        <v>129</v>
      </c>
      <c r="L83" s="530">
        <f t="shared" si="35"/>
        <v>0</v>
      </c>
      <c r="M83" s="530">
        <f t="shared" si="33"/>
        <v>0</v>
      </c>
      <c r="N83" s="530">
        <f t="shared" si="33"/>
        <v>0</v>
      </c>
      <c r="O83" s="530">
        <f t="shared" si="33"/>
        <v>0</v>
      </c>
      <c r="P83" s="530">
        <f t="shared" si="33"/>
        <v>0</v>
      </c>
      <c r="Q83" s="530">
        <f t="shared" si="33"/>
        <v>0</v>
      </c>
      <c r="R83" s="132"/>
      <c r="S83" s="132"/>
      <c r="T83" s="132"/>
      <c r="U83" s="132"/>
      <c r="V83" s="132"/>
      <c r="W83" s="132"/>
      <c r="X83" s="132"/>
      <c r="Y83" s="132"/>
      <c r="Z83" s="132"/>
      <c r="AJ83" s="281"/>
      <c r="AK83" s="281"/>
      <c r="AL83" s="281"/>
      <c r="AM83" s="281"/>
      <c r="AN83" s="281"/>
    </row>
    <row r="84" spans="1:40">
      <c r="A84" s="307"/>
      <c r="B84" s="326" t="s">
        <v>1160</v>
      </c>
      <c r="C84" s="758">
        <f>'Inputs and eligible population'!$H$101</f>
        <v>4</v>
      </c>
      <c r="D84" s="127">
        <f>(('Financial impact (cash)'!D16)*'Inputs and eligible population'!$G$62/(365/'Inputs and eligible population'!$D$62))*'Capacity (local prices)'!$C84</f>
        <v>0</v>
      </c>
      <c r="E84" s="127">
        <f>(('Financial impact (cash)'!D16)*'Inputs and eligible population'!$G$62/(365/'Inputs and eligible population'!$D$62))*'Capacity (local prices)'!$C84</f>
        <v>0</v>
      </c>
      <c r="F84" s="127">
        <f>(('Financial impact (cash)'!D16)*'Inputs and eligible population'!$G$62/(365/'Inputs and eligible population'!$D$62))*'Capacity (local prices)'!$C84</f>
        <v>0</v>
      </c>
      <c r="G84" s="127">
        <f>(('Financial impact (cash)'!E16)*'Inputs and eligible population'!$G$62/(365/'Inputs and eligible population'!$D$62))*'Capacity (local prices)'!$C84</f>
        <v>0</v>
      </c>
      <c r="H84" s="127">
        <f>(('Financial impact (cash)'!F16)*'Inputs and eligible population'!$G$62/(365/'Inputs and eligible population'!$D$62))*'Capacity (local prices)'!$C84</f>
        <v>0</v>
      </c>
      <c r="I84" s="127">
        <f>(('Financial impact (cash)'!G16)*'Inputs and eligible population'!$G$62/(365/'Inputs and eligible population'!$D$62))*'Capacity (local prices)'!$C84</f>
        <v>0</v>
      </c>
      <c r="J84" s="381"/>
      <c r="K84" s="528">
        <f>'Unit costs'!$N$63</f>
        <v>129</v>
      </c>
      <c r="L84" s="530">
        <f t="shared" si="35"/>
        <v>0</v>
      </c>
      <c r="M84" s="530">
        <f t="shared" si="33"/>
        <v>0</v>
      </c>
      <c r="N84" s="530">
        <f t="shared" si="33"/>
        <v>0</v>
      </c>
      <c r="O84" s="530">
        <f t="shared" si="33"/>
        <v>0</v>
      </c>
      <c r="P84" s="530">
        <f t="shared" si="33"/>
        <v>0</v>
      </c>
      <c r="Q84" s="530">
        <f t="shared" si="33"/>
        <v>0</v>
      </c>
      <c r="R84" s="132"/>
      <c r="S84" s="132"/>
      <c r="T84" s="132"/>
      <c r="U84" s="132"/>
      <c r="V84" s="132"/>
      <c r="W84" s="132"/>
      <c r="X84" s="132"/>
      <c r="Y84" s="132"/>
      <c r="Z84" s="132"/>
      <c r="AJ84" s="281"/>
      <c r="AK84" s="281"/>
      <c r="AL84" s="281"/>
      <c r="AM84" s="281"/>
      <c r="AN84" s="281"/>
    </row>
    <row r="85" spans="1:40">
      <c r="A85" s="307"/>
      <c r="B85" s="326" t="s">
        <v>1161</v>
      </c>
      <c r="C85" s="758">
        <f>'Inputs and eligible population'!$H$101</f>
        <v>4</v>
      </c>
      <c r="D85" s="127">
        <f>(('Financial impact (cash)'!D16)*'Inputs and eligible population'!$H$62/(365/'Inputs and eligible population'!$D$62))*'Capacity (local prices)'!$C85</f>
        <v>0</v>
      </c>
      <c r="E85" s="127">
        <f>(('Financial impact (cash)'!D16)*'Inputs and eligible population'!$H$62/(365/'Inputs and eligible population'!$D$62))*'Capacity (local prices)'!$C85</f>
        <v>0</v>
      </c>
      <c r="F85" s="127">
        <f>(('Financial impact (cash)'!D16)*'Inputs and eligible population'!$H$62/(365/'Inputs and eligible population'!$D$62))*'Capacity (local prices)'!$C85</f>
        <v>0</v>
      </c>
      <c r="G85" s="127">
        <f>(('Financial impact (cash)'!D16)*'Inputs and eligible population'!$H$62/(365/'Inputs and eligible population'!$D$62))*'Capacity (local prices)'!$C85</f>
        <v>0</v>
      </c>
      <c r="H85" s="127">
        <f>(('Financial impact (cash)'!E16)*'Inputs and eligible population'!$H$62/(365/'Inputs and eligible population'!$D$62))*'Capacity (local prices)'!$C85</f>
        <v>0</v>
      </c>
      <c r="I85" s="127">
        <f>(('Financial impact (cash)'!F16)*'Inputs and eligible population'!$H$62/(365/'Inputs and eligible population'!$D$62))*'Capacity (local prices)'!$C85</f>
        <v>0</v>
      </c>
      <c r="J85" s="381"/>
      <c r="K85" s="528">
        <f>'Unit costs'!$N$63</f>
        <v>129</v>
      </c>
      <c r="L85" s="530">
        <f t="shared" si="35"/>
        <v>0</v>
      </c>
      <c r="M85" s="530">
        <f t="shared" si="33"/>
        <v>0</v>
      </c>
      <c r="N85" s="530">
        <f t="shared" si="33"/>
        <v>0</v>
      </c>
      <c r="O85" s="530">
        <f t="shared" si="33"/>
        <v>0</v>
      </c>
      <c r="P85" s="530">
        <f t="shared" si="33"/>
        <v>0</v>
      </c>
      <c r="Q85" s="530">
        <f t="shared" si="33"/>
        <v>0</v>
      </c>
      <c r="R85" s="132"/>
      <c r="S85" s="132"/>
      <c r="T85" s="132"/>
      <c r="U85" s="132"/>
      <c r="V85" s="132"/>
      <c r="W85" s="132"/>
      <c r="X85" s="132"/>
      <c r="Y85" s="132"/>
      <c r="Z85" s="132"/>
      <c r="AJ85" s="281"/>
      <c r="AK85" s="281"/>
      <c r="AL85" s="281"/>
      <c r="AM85" s="281"/>
      <c r="AN85" s="281"/>
    </row>
    <row r="86" spans="1:40">
      <c r="A86" s="307"/>
      <c r="B86" s="326" t="s">
        <v>1162</v>
      </c>
      <c r="C86" s="758">
        <f>'Inputs and eligible population'!$H$101</f>
        <v>4</v>
      </c>
      <c r="D86" s="127">
        <f>(('Financial impact (cash)'!D16)*'Inputs and eligible population'!$I$62/(365/'Inputs and eligible population'!$D$62))*'Capacity (local prices)'!$C86</f>
        <v>0</v>
      </c>
      <c r="E86" s="127">
        <f>(('Financial impact (cash)'!D16)*'Inputs and eligible population'!$I$62/(365/'Inputs and eligible population'!$D$62))*'Capacity (local prices)'!$C86</f>
        <v>0</v>
      </c>
      <c r="F86" s="127">
        <f>(('Financial impact (cash)'!D16)*'Inputs and eligible population'!$I$62/(365/'Inputs and eligible population'!$D$62))*'Capacity (local prices)'!$C86</f>
        <v>0</v>
      </c>
      <c r="G86" s="127">
        <f>(('Financial impact (cash)'!D16)*'Inputs and eligible population'!$I$62/(365/'Inputs and eligible population'!$D$62))*'Capacity (local prices)'!$C86</f>
        <v>0</v>
      </c>
      <c r="H86" s="127">
        <f>(('Financial impact (cash)'!D16)*'Inputs and eligible population'!$I$62/(365/'Inputs and eligible population'!$D$62))*'Capacity (local prices)'!$C86</f>
        <v>0</v>
      </c>
      <c r="I86" s="127">
        <f>(('Financial impact (cash)'!E16)*'Inputs and eligible population'!$I$62/(365/'Inputs and eligible population'!$D$62))*'Capacity (local prices)'!$C86</f>
        <v>0</v>
      </c>
      <c r="J86" s="381"/>
      <c r="K86" s="528">
        <f>'Unit costs'!$N$63</f>
        <v>129</v>
      </c>
      <c r="L86" s="530">
        <f t="shared" si="35"/>
        <v>0</v>
      </c>
      <c r="M86" s="530">
        <f t="shared" si="33"/>
        <v>0</v>
      </c>
      <c r="N86" s="530">
        <f t="shared" si="33"/>
        <v>0</v>
      </c>
      <c r="O86" s="530">
        <f t="shared" si="33"/>
        <v>0</v>
      </c>
      <c r="P86" s="530">
        <f t="shared" si="33"/>
        <v>0</v>
      </c>
      <c r="Q86" s="530">
        <f t="shared" si="33"/>
        <v>0</v>
      </c>
      <c r="R86" s="132"/>
      <c r="S86" s="132"/>
      <c r="T86" s="132"/>
      <c r="U86" s="132"/>
      <c r="V86" s="132"/>
      <c r="W86" s="132"/>
      <c r="X86" s="132"/>
      <c r="Y86" s="132"/>
      <c r="Z86" s="132"/>
      <c r="AJ86" s="281"/>
      <c r="AK86" s="281"/>
      <c r="AL86" s="281"/>
      <c r="AM86" s="281"/>
      <c r="AN86" s="281"/>
    </row>
    <row r="87" spans="1:40">
      <c r="A87" s="307"/>
      <c r="B87" s="326" t="s">
        <v>1163</v>
      </c>
      <c r="C87" s="758">
        <f>'Inputs and eligible population'!$I$101</f>
        <v>4</v>
      </c>
      <c r="D87" s="127">
        <f>('Financial impact (cash)'!D17*'Inputs and eligible population'!$E63/(365/'Inputs and eligible population'!D63))*$C87</f>
        <v>0</v>
      </c>
      <c r="E87" s="127">
        <f>(('Financial impact (cash)'!E17)*'Inputs and eligible population'!$E$63/(365/'Inputs and eligible population'!$D$63))*'Capacity (local prices)'!$C87</f>
        <v>0</v>
      </c>
      <c r="F87" s="127">
        <f>(('Financial impact (cash)'!F17)*'Inputs and eligible population'!$E$63/(365/'Inputs and eligible population'!$D$63))*'Capacity (local prices)'!$C87</f>
        <v>0</v>
      </c>
      <c r="G87" s="127">
        <f>(('Financial impact (cash)'!G17)*'Inputs and eligible population'!$E$63/(365/'Inputs and eligible population'!$D$63))*'Capacity (local prices)'!$C87</f>
        <v>0</v>
      </c>
      <c r="H87" s="127">
        <f>(('Financial impact (cash)'!H17)*'Inputs and eligible population'!$E$63/(365/'Inputs and eligible population'!$D$63))*'Capacity (local prices)'!$C87</f>
        <v>0</v>
      </c>
      <c r="I87" s="127">
        <f>(('Financial impact (cash)'!I17)*'Inputs and eligible population'!$E$63/(365/'Inputs and eligible population'!$D$63))*'Capacity (local prices)'!$C87</f>
        <v>0</v>
      </c>
      <c r="J87" s="381"/>
      <c r="K87" s="528">
        <f>'Unit costs'!$N$63</f>
        <v>129</v>
      </c>
      <c r="L87" s="530">
        <f t="shared" si="35"/>
        <v>0</v>
      </c>
      <c r="M87" s="530">
        <f t="shared" si="33"/>
        <v>0</v>
      </c>
      <c r="N87" s="530">
        <f t="shared" si="33"/>
        <v>0</v>
      </c>
      <c r="O87" s="530">
        <f t="shared" si="33"/>
        <v>0</v>
      </c>
      <c r="P87" s="530">
        <f t="shared" si="33"/>
        <v>0</v>
      </c>
      <c r="Q87" s="530">
        <f t="shared" si="33"/>
        <v>0</v>
      </c>
      <c r="R87" s="132"/>
      <c r="S87" s="132"/>
      <c r="T87" s="132"/>
      <c r="U87" s="132"/>
      <c r="V87" s="132"/>
      <c r="W87" s="132"/>
      <c r="X87" s="132"/>
      <c r="Y87" s="132"/>
      <c r="Z87" s="132"/>
      <c r="AJ87" s="281"/>
      <c r="AK87" s="281"/>
      <c r="AL87" s="281"/>
      <c r="AM87" s="281"/>
      <c r="AN87" s="281"/>
    </row>
    <row r="88" spans="1:40">
      <c r="A88" s="307"/>
      <c r="B88" s="326" t="s">
        <v>1164</v>
      </c>
      <c r="C88" s="758">
        <f>'Inputs and eligible population'!$I$101</f>
        <v>4</v>
      </c>
      <c r="D88" s="127">
        <f>(('Financial impact (cash)'!D17)*'Inputs and eligible population'!$F$63/(365/'Inputs and eligible population'!$D$63))*'Capacity (local prices)'!$C88</f>
        <v>0</v>
      </c>
      <c r="E88" s="127">
        <f>(('Financial impact (cash)'!D17)*'Inputs and eligible population'!$F$63/(365/'Inputs and eligible population'!$D$63))*'Capacity (local prices)'!$C88</f>
        <v>0</v>
      </c>
      <c r="F88" s="127">
        <f>(('Financial impact (cash)'!E17)*'Inputs and eligible population'!$F$63/(365/'Inputs and eligible population'!$D$63))*'Capacity (local prices)'!$C88</f>
        <v>0</v>
      </c>
      <c r="G88" s="127">
        <f>(('Financial impact (cash)'!F17)*'Inputs and eligible population'!$F$63/(365/'Inputs and eligible population'!$D$63))*'Capacity (local prices)'!$C88</f>
        <v>0</v>
      </c>
      <c r="H88" s="127">
        <f>(('Financial impact (cash)'!G17)*'Inputs and eligible population'!$F$63/(365/'Inputs and eligible population'!$D$63))*'Capacity (local prices)'!$C88</f>
        <v>0</v>
      </c>
      <c r="I88" s="127">
        <f>(('Financial impact (cash)'!H17)*'Inputs and eligible population'!$F$63/(365/'Inputs and eligible population'!$D$63))*'Capacity (local prices)'!$C88</f>
        <v>0</v>
      </c>
      <c r="J88" s="381"/>
      <c r="K88" s="528">
        <f>'Unit costs'!$N$63</f>
        <v>129</v>
      </c>
      <c r="L88" s="530">
        <f t="shared" si="35"/>
        <v>0</v>
      </c>
      <c r="M88" s="530">
        <f t="shared" si="33"/>
        <v>0</v>
      </c>
      <c r="N88" s="530">
        <f t="shared" si="33"/>
        <v>0</v>
      </c>
      <c r="O88" s="530">
        <f t="shared" si="33"/>
        <v>0</v>
      </c>
      <c r="P88" s="530">
        <f t="shared" si="33"/>
        <v>0</v>
      </c>
      <c r="Q88" s="530">
        <f t="shared" si="33"/>
        <v>0</v>
      </c>
      <c r="R88" s="132"/>
      <c r="S88" s="132"/>
      <c r="T88" s="132"/>
      <c r="U88" s="132"/>
      <c r="V88" s="132"/>
      <c r="W88" s="132"/>
      <c r="X88" s="132"/>
      <c r="Y88" s="132"/>
      <c r="Z88" s="132"/>
      <c r="AJ88" s="281"/>
      <c r="AK88" s="281"/>
      <c r="AL88" s="281"/>
      <c r="AM88" s="281"/>
      <c r="AN88" s="281"/>
    </row>
    <row r="89" spans="1:40">
      <c r="A89" s="307"/>
      <c r="B89" s="326" t="s">
        <v>1165</v>
      </c>
      <c r="C89" s="758">
        <f>'Inputs and eligible population'!$I$101</f>
        <v>4</v>
      </c>
      <c r="D89" s="127">
        <f>(('Financial impact (cash)'!D17)*'Inputs and eligible population'!$G$63/(365/'Inputs and eligible population'!$D$63))*'Capacity (local prices)'!$C89</f>
        <v>0</v>
      </c>
      <c r="E89" s="127">
        <f>(('Financial impact (cash)'!D17)*'Inputs and eligible population'!$G$63/(365/'Inputs and eligible population'!$D$63))*'Capacity (local prices)'!$C89</f>
        <v>0</v>
      </c>
      <c r="F89" s="127">
        <f>(('Financial impact (cash)'!D17)*'Inputs and eligible population'!$G$63/(365/'Inputs and eligible population'!$D$63))*'Capacity (local prices)'!$C89</f>
        <v>0</v>
      </c>
      <c r="G89" s="127">
        <f>(('Financial impact (cash)'!E17)*'Inputs and eligible population'!$G$63/(365/'Inputs and eligible population'!$D$63))*'Capacity (local prices)'!$C89</f>
        <v>0</v>
      </c>
      <c r="H89" s="127">
        <f>(('Financial impact (cash)'!F17)*'Inputs and eligible population'!$G$63/(365/'Inputs and eligible population'!$D$63))*'Capacity (local prices)'!$C89</f>
        <v>0</v>
      </c>
      <c r="I89" s="127">
        <f>(('Financial impact (cash)'!G17)*'Inputs and eligible population'!$G$63/(365/'Inputs and eligible population'!$D$63))*'Capacity (local prices)'!$C89</f>
        <v>0</v>
      </c>
      <c r="J89" s="381"/>
      <c r="K89" s="528">
        <f>'Unit costs'!$N$63</f>
        <v>129</v>
      </c>
      <c r="L89" s="530">
        <f t="shared" si="35"/>
        <v>0</v>
      </c>
      <c r="M89" s="530">
        <f t="shared" si="33"/>
        <v>0</v>
      </c>
      <c r="N89" s="530">
        <f t="shared" si="33"/>
        <v>0</v>
      </c>
      <c r="O89" s="530">
        <f t="shared" si="33"/>
        <v>0</v>
      </c>
      <c r="P89" s="530">
        <f t="shared" si="33"/>
        <v>0</v>
      </c>
      <c r="Q89" s="530">
        <f t="shared" si="33"/>
        <v>0</v>
      </c>
      <c r="R89" s="132"/>
      <c r="S89" s="132"/>
      <c r="T89" s="132"/>
      <c r="U89" s="132"/>
      <c r="V89" s="132"/>
      <c r="W89" s="132"/>
      <c r="X89" s="132"/>
      <c r="Y89" s="132"/>
      <c r="Z89" s="132"/>
      <c r="AJ89" s="281"/>
      <c r="AK89" s="281"/>
      <c r="AL89" s="281"/>
      <c r="AM89" s="281"/>
      <c r="AN89" s="281"/>
    </row>
    <row r="90" spans="1:40">
      <c r="A90" s="307"/>
      <c r="B90" s="326" t="s">
        <v>1166</v>
      </c>
      <c r="C90" s="758">
        <f>'Inputs and eligible population'!$I$101</f>
        <v>4</v>
      </c>
      <c r="D90" s="127">
        <f>(('Financial impact (cash)'!D17)*'Inputs and eligible population'!$H$63/(365/'Inputs and eligible population'!$D$63))*'Capacity (local prices)'!$C90</f>
        <v>0</v>
      </c>
      <c r="E90" s="127">
        <f>(('Financial impact (cash)'!D17)*'Inputs and eligible population'!$H$63/(365/'Inputs and eligible population'!$D$63))*'Capacity (local prices)'!$C90</f>
        <v>0</v>
      </c>
      <c r="F90" s="127">
        <f>(('Financial impact (cash)'!D17)*'Inputs and eligible population'!$H$63/(365/'Inputs and eligible population'!$D$63))*'Capacity (local prices)'!$C90</f>
        <v>0</v>
      </c>
      <c r="G90" s="127">
        <f>(('Financial impact (cash)'!D17)*'Inputs and eligible population'!$H$63/(365/'Inputs and eligible population'!$D$63))*'Capacity (local prices)'!$C90</f>
        <v>0</v>
      </c>
      <c r="H90" s="127">
        <f>(('Financial impact (cash)'!E17)*'Inputs and eligible population'!$H$63/(365/'Inputs and eligible population'!$D$63))*'Capacity (local prices)'!$C90</f>
        <v>0</v>
      </c>
      <c r="I90" s="127">
        <f>(('Financial impact (cash)'!F17)*'Inputs and eligible population'!$H$63/(365/'Inputs and eligible population'!$D$63))*'Capacity (local prices)'!$C90</f>
        <v>0</v>
      </c>
      <c r="J90" s="381"/>
      <c r="K90" s="528">
        <f>'Unit costs'!$N$63</f>
        <v>129</v>
      </c>
      <c r="L90" s="530">
        <f t="shared" si="35"/>
        <v>0</v>
      </c>
      <c r="M90" s="530">
        <f t="shared" si="33"/>
        <v>0</v>
      </c>
      <c r="N90" s="530">
        <f t="shared" si="33"/>
        <v>0</v>
      </c>
      <c r="O90" s="530">
        <f t="shared" si="33"/>
        <v>0</v>
      </c>
      <c r="P90" s="530">
        <f t="shared" si="33"/>
        <v>0</v>
      </c>
      <c r="Q90" s="530">
        <f t="shared" si="33"/>
        <v>0</v>
      </c>
      <c r="R90" s="132"/>
      <c r="S90" s="132"/>
      <c r="T90" s="132"/>
      <c r="U90" s="132"/>
      <c r="V90" s="132"/>
      <c r="W90" s="132"/>
      <c r="X90" s="132"/>
      <c r="Y90" s="132"/>
      <c r="Z90" s="132"/>
      <c r="AJ90" s="281"/>
      <c r="AK90" s="281"/>
      <c r="AL90" s="281"/>
      <c r="AM90" s="281"/>
      <c r="AN90" s="281"/>
    </row>
    <row r="91" spans="1:40">
      <c r="A91" s="307"/>
      <c r="B91" s="326" t="s">
        <v>1167</v>
      </c>
      <c r="C91" s="758">
        <f>'Inputs and eligible population'!$I$101</f>
        <v>4</v>
      </c>
      <c r="D91" s="127">
        <f>(('Financial impact (cash)'!D17)*'Inputs and eligible population'!$I$63/(365/'Inputs and eligible population'!$D$63))*'Capacity (local prices)'!$C91</f>
        <v>0</v>
      </c>
      <c r="E91" s="127">
        <f>(('Financial impact (cash)'!D17)*'Inputs and eligible population'!$I$63/(365/'Inputs and eligible population'!$D$63))*'Capacity (local prices)'!$C91</f>
        <v>0</v>
      </c>
      <c r="F91" s="127">
        <f>(('Financial impact (cash)'!D17)*'Inputs and eligible population'!$I$63/(365/'Inputs and eligible population'!$D$63))*'Capacity (local prices)'!$C91</f>
        <v>0</v>
      </c>
      <c r="G91" s="127">
        <f>(('Financial impact (cash)'!D17)*'Inputs and eligible population'!$I$63/(365/'Inputs and eligible population'!$D$63))*'Capacity (local prices)'!$C91</f>
        <v>0</v>
      </c>
      <c r="H91" s="127">
        <f>(('Financial impact (cash)'!D17)*'Inputs and eligible population'!$I$63/(365/'Inputs and eligible population'!$D$63))*'Capacity (local prices)'!$C91</f>
        <v>0</v>
      </c>
      <c r="I91" s="127">
        <f>(('Financial impact (cash)'!E17)*'Inputs and eligible population'!$I$63/(365/'Inputs and eligible population'!$D$63))*'Capacity (local prices)'!$C91</f>
        <v>0</v>
      </c>
      <c r="J91" s="381"/>
      <c r="K91" s="528">
        <f>'Unit costs'!$N$63</f>
        <v>129</v>
      </c>
      <c r="L91" s="530">
        <f t="shared" si="35"/>
        <v>0</v>
      </c>
      <c r="M91" s="530">
        <f t="shared" si="33"/>
        <v>0</v>
      </c>
      <c r="N91" s="530">
        <f t="shared" si="33"/>
        <v>0</v>
      </c>
      <c r="O91" s="530">
        <f t="shared" si="33"/>
        <v>0</v>
      </c>
      <c r="P91" s="530">
        <f t="shared" si="33"/>
        <v>0</v>
      </c>
      <c r="Q91" s="530">
        <f t="shared" si="33"/>
        <v>0</v>
      </c>
      <c r="R91" s="132"/>
      <c r="S91" s="132"/>
      <c r="T91" s="132"/>
      <c r="U91" s="132"/>
      <c r="V91" s="132"/>
      <c r="W91" s="132"/>
      <c r="X91" s="132"/>
      <c r="Y91" s="132"/>
      <c r="Z91" s="132"/>
      <c r="AJ91" s="281"/>
      <c r="AK91" s="281"/>
      <c r="AL91" s="281"/>
      <c r="AM91" s="281"/>
      <c r="AN91" s="281"/>
    </row>
    <row r="92" spans="1:40">
      <c r="A92" s="307"/>
      <c r="B92" s="278" t="s">
        <v>837</v>
      </c>
      <c r="C92" s="301"/>
      <c r="D92" s="184">
        <f>SUM(D67:D91)</f>
        <v>0</v>
      </c>
      <c r="E92" s="184">
        <f t="shared" ref="E92:I92" si="36">SUM(E67:E91)</f>
        <v>0</v>
      </c>
      <c r="F92" s="184">
        <f t="shared" si="36"/>
        <v>0</v>
      </c>
      <c r="G92" s="184">
        <f t="shared" si="36"/>
        <v>0</v>
      </c>
      <c r="H92" s="184">
        <f t="shared" si="36"/>
        <v>0</v>
      </c>
      <c r="I92" s="184">
        <f t="shared" si="36"/>
        <v>0</v>
      </c>
      <c r="J92" s="307"/>
      <c r="K92" s="307"/>
      <c r="L92" s="287">
        <f>SUM(L67:L91)</f>
        <v>0</v>
      </c>
      <c r="M92" s="287">
        <f>SUM(M67:M91)</f>
        <v>0</v>
      </c>
      <c r="N92" s="287">
        <f t="shared" ref="N92:Q92" si="37">SUM(N67:N91)</f>
        <v>0</v>
      </c>
      <c r="O92" s="287">
        <f t="shared" si="37"/>
        <v>0</v>
      </c>
      <c r="P92" s="287">
        <f t="shared" si="37"/>
        <v>0</v>
      </c>
      <c r="Q92" s="287">
        <f t="shared" si="37"/>
        <v>0</v>
      </c>
      <c r="S92" s="132"/>
      <c r="T92" s="132"/>
      <c r="U92" s="132"/>
      <c r="V92" s="132"/>
      <c r="W92" s="132"/>
      <c r="X92" s="132"/>
      <c r="Y92" s="132"/>
      <c r="Z92" s="132"/>
      <c r="AJ92" s="281"/>
      <c r="AK92" s="281"/>
      <c r="AL92" s="281"/>
      <c r="AM92" s="281"/>
      <c r="AN92" s="281"/>
    </row>
    <row r="93" spans="1:40">
      <c r="A93" s="307"/>
      <c r="B93" s="289"/>
      <c r="C93" s="252"/>
      <c r="D93" s="280" t="s">
        <v>1173</v>
      </c>
      <c r="E93" s="184">
        <f>E92-$D$92</f>
        <v>0</v>
      </c>
      <c r="F93" s="184">
        <f>F92-$D$92</f>
        <v>0</v>
      </c>
      <c r="G93" s="184">
        <f>G92-$D$92</f>
        <v>0</v>
      </c>
      <c r="H93" s="184">
        <f>H92-$D$92</f>
        <v>0</v>
      </c>
      <c r="I93" s="184">
        <f>I92-$D$92</f>
        <v>0</v>
      </c>
      <c r="J93" s="307"/>
      <c r="K93" s="307"/>
      <c r="L93" s="762"/>
      <c r="M93" s="287">
        <f>M92-$L$92</f>
        <v>0</v>
      </c>
      <c r="N93" s="287">
        <f t="shared" ref="N93:Q93" si="38">N92-$L$92</f>
        <v>0</v>
      </c>
      <c r="O93" s="287">
        <f t="shared" si="38"/>
        <v>0</v>
      </c>
      <c r="P93" s="287">
        <f t="shared" si="38"/>
        <v>0</v>
      </c>
      <c r="Q93" s="287">
        <f t="shared" si="38"/>
        <v>0</v>
      </c>
      <c r="S93" s="132"/>
      <c r="T93" s="132"/>
      <c r="U93" s="132"/>
      <c r="V93" s="132"/>
      <c r="W93" s="132"/>
      <c r="X93" s="132"/>
      <c r="Y93" s="132"/>
      <c r="Z93" s="132"/>
      <c r="AJ93" s="281"/>
      <c r="AK93" s="281"/>
      <c r="AL93" s="281"/>
      <c r="AM93" s="281"/>
      <c r="AN93" s="281"/>
    </row>
    <row r="94" spans="1:40">
      <c r="A94" s="307"/>
      <c r="B94" s="761"/>
      <c r="C94" s="766"/>
      <c r="D94" s="381"/>
      <c r="E94" s="381"/>
      <c r="F94" s="381"/>
      <c r="G94" s="381"/>
      <c r="H94" s="766"/>
      <c r="I94" s="766"/>
      <c r="J94" s="381"/>
      <c r="K94" s="381"/>
      <c r="L94" s="381"/>
      <c r="M94" s="381"/>
      <c r="N94" s="381"/>
      <c r="O94" s="381"/>
      <c r="P94" s="381"/>
      <c r="Q94" s="381"/>
      <c r="S94" s="132"/>
      <c r="T94" s="132"/>
      <c r="U94" s="132"/>
      <c r="V94" s="132"/>
      <c r="W94" s="132"/>
      <c r="X94" s="132"/>
      <c r="Y94" s="132"/>
      <c r="Z94" s="132"/>
      <c r="AJ94" s="281"/>
      <c r="AK94" s="281"/>
      <c r="AL94" s="281"/>
      <c r="AM94" s="281"/>
      <c r="AN94" s="281"/>
    </row>
    <row r="95" spans="1:40">
      <c r="A95" s="847"/>
      <c r="B95" s="851" t="s">
        <v>1180</v>
      </c>
      <c r="C95" s="852"/>
      <c r="D95" s="853"/>
      <c r="E95" s="853"/>
      <c r="F95" s="853"/>
      <c r="G95" s="853"/>
      <c r="H95" s="853"/>
      <c r="I95" s="854"/>
      <c r="J95" s="855"/>
      <c r="K95" s="856"/>
      <c r="L95" s="856"/>
      <c r="M95" s="856"/>
      <c r="N95" s="856"/>
      <c r="O95" s="856"/>
      <c r="P95" s="856"/>
      <c r="Q95" s="856"/>
      <c r="V95" s="132"/>
    </row>
    <row r="96" spans="1:40" ht="74.650000000000006" customHeight="1">
      <c r="A96" s="847"/>
      <c r="B96" s="857" t="s">
        <v>757</v>
      </c>
      <c r="C96" s="858"/>
      <c r="D96" s="392" t="s">
        <v>825</v>
      </c>
      <c r="E96" s="251" t="s">
        <v>674</v>
      </c>
      <c r="F96" s="251" t="s">
        <v>675</v>
      </c>
      <c r="G96" s="164" t="s">
        <v>792</v>
      </c>
      <c r="H96" s="164" t="s">
        <v>793</v>
      </c>
      <c r="I96" s="251" t="s">
        <v>794</v>
      </c>
      <c r="J96" s="847"/>
      <c r="K96" s="515" t="s">
        <v>845</v>
      </c>
      <c r="L96" s="392" t="s">
        <v>825</v>
      </c>
      <c r="M96" s="504" t="s">
        <v>674</v>
      </c>
      <c r="N96" s="504" t="s">
        <v>675</v>
      </c>
      <c r="O96" s="393" t="s">
        <v>792</v>
      </c>
      <c r="P96" s="393" t="s">
        <v>793</v>
      </c>
      <c r="Q96" s="504" t="s">
        <v>794</v>
      </c>
      <c r="V96" s="132"/>
    </row>
    <row r="97" spans="1:40">
      <c r="A97" s="862"/>
      <c r="B97" s="752" t="s">
        <v>1181</v>
      </c>
      <c r="C97" s="156"/>
      <c r="D97" s="846">
        <f>D128</f>
        <v>0</v>
      </c>
      <c r="E97" s="846">
        <f>E128</f>
        <v>0</v>
      </c>
      <c r="F97" s="846">
        <f t="shared" ref="F97:I97" si="39">F128</f>
        <v>0</v>
      </c>
      <c r="G97" s="846">
        <f t="shared" si="39"/>
        <v>0</v>
      </c>
      <c r="H97" s="846">
        <f t="shared" si="39"/>
        <v>0</v>
      </c>
      <c r="I97" s="846">
        <f t="shared" si="39"/>
        <v>0</v>
      </c>
      <c r="J97" s="855"/>
      <c r="K97" s="528">
        <f>'Unit costs'!N45</f>
        <v>134</v>
      </c>
      <c r="L97" s="530">
        <f>$K97/1000*D97</f>
        <v>0</v>
      </c>
      <c r="M97" s="530">
        <f t="shared" ref="M97" si="40">$K97/1000*E97</f>
        <v>0</v>
      </c>
      <c r="N97" s="530">
        <f t="shared" ref="N97" si="41">$K97/1000*F97</f>
        <v>0</v>
      </c>
      <c r="O97" s="530">
        <f t="shared" ref="O97" si="42">$K97/1000*G97</f>
        <v>0</v>
      </c>
      <c r="P97" s="530">
        <f t="shared" ref="P97" si="43">$K97/1000*H97</f>
        <v>0</v>
      </c>
      <c r="Q97" s="530">
        <f t="shared" ref="Q97" si="44">$K97/1000*I97</f>
        <v>0</v>
      </c>
      <c r="R97" s="132"/>
      <c r="S97" s="132"/>
      <c r="T97" s="132"/>
      <c r="U97" s="132"/>
      <c r="V97" s="132"/>
      <c r="W97" s="132"/>
      <c r="X97" s="132"/>
      <c r="Y97" s="132"/>
      <c r="Z97" s="132"/>
      <c r="AJ97" s="281"/>
      <c r="AK97" s="281"/>
      <c r="AL97" s="281"/>
      <c r="AM97" s="281"/>
      <c r="AN97" s="281"/>
    </row>
    <row r="98" spans="1:40">
      <c r="A98" s="862"/>
      <c r="B98" s="275"/>
      <c r="C98" s="301"/>
      <c r="D98" s="865">
        <f t="shared" ref="D98:I98" si="45">SUM(D97:D97)</f>
        <v>0</v>
      </c>
      <c r="E98" s="184">
        <f t="shared" si="45"/>
        <v>0</v>
      </c>
      <c r="F98" s="184">
        <f t="shared" si="45"/>
        <v>0</v>
      </c>
      <c r="G98" s="184">
        <f t="shared" si="45"/>
        <v>0</v>
      </c>
      <c r="H98" s="184">
        <f t="shared" si="45"/>
        <v>0</v>
      </c>
      <c r="I98" s="184">
        <f t="shared" si="45"/>
        <v>0</v>
      </c>
      <c r="J98" s="855"/>
      <c r="K98" s="847"/>
      <c r="L98" s="287">
        <f>L97</f>
        <v>0</v>
      </c>
      <c r="M98" s="287">
        <f t="shared" ref="M98:Q98" si="46">M97</f>
        <v>0</v>
      </c>
      <c r="N98" s="287">
        <f t="shared" si="46"/>
        <v>0</v>
      </c>
      <c r="O98" s="287">
        <f t="shared" si="46"/>
        <v>0</v>
      </c>
      <c r="P98" s="287">
        <f t="shared" si="46"/>
        <v>0</v>
      </c>
      <c r="Q98" s="287">
        <f t="shared" si="46"/>
        <v>0</v>
      </c>
      <c r="R98" s="132"/>
      <c r="S98" s="132"/>
      <c r="T98" s="132"/>
      <c r="U98" s="132"/>
      <c r="V98" s="132"/>
      <c r="W98" s="132"/>
      <c r="X98" s="132"/>
      <c r="Y98" s="132"/>
      <c r="Z98" s="132"/>
      <c r="AJ98" s="281"/>
      <c r="AK98" s="281"/>
      <c r="AL98" s="281"/>
      <c r="AM98" s="281"/>
      <c r="AN98" s="281"/>
    </row>
    <row r="99" spans="1:40">
      <c r="A99" s="862"/>
      <c r="B99" s="224"/>
      <c r="C99" s="224"/>
      <c r="D99" s="280" t="s">
        <v>1182</v>
      </c>
      <c r="E99" s="184">
        <f>E98-$D98</f>
        <v>0</v>
      </c>
      <c r="F99" s="184">
        <f t="shared" ref="F99:I99" si="47">F98-$D98</f>
        <v>0</v>
      </c>
      <c r="G99" s="184">
        <f t="shared" si="47"/>
        <v>0</v>
      </c>
      <c r="H99" s="184">
        <f t="shared" si="47"/>
        <v>0</v>
      </c>
      <c r="I99" s="184">
        <f t="shared" si="47"/>
        <v>0</v>
      </c>
      <c r="J99" s="855"/>
      <c r="K99" s="847"/>
      <c r="L99" s="878"/>
      <c r="M99" s="287">
        <f>M98-$L$98</f>
        <v>0</v>
      </c>
      <c r="N99" s="287">
        <f t="shared" ref="N99:Q99" si="48">N98-$L$98</f>
        <v>0</v>
      </c>
      <c r="O99" s="287">
        <f t="shared" si="48"/>
        <v>0</v>
      </c>
      <c r="P99" s="287">
        <f t="shared" si="48"/>
        <v>0</v>
      </c>
      <c r="Q99" s="287">
        <f t="shared" si="48"/>
        <v>0</v>
      </c>
      <c r="R99" s="132"/>
      <c r="S99" s="132"/>
      <c r="T99" s="132"/>
      <c r="U99" s="132"/>
      <c r="V99" s="132"/>
      <c r="W99" s="132"/>
      <c r="X99" s="132"/>
      <c r="Y99" s="132"/>
      <c r="Z99" s="132"/>
      <c r="AJ99" s="281"/>
      <c r="AK99" s="281"/>
      <c r="AL99" s="281"/>
      <c r="AM99" s="281"/>
      <c r="AN99" s="281"/>
    </row>
    <row r="100" spans="1:40">
      <c r="A100" s="847"/>
      <c r="B100" s="867"/>
      <c r="C100" s="868"/>
      <c r="D100" s="856"/>
      <c r="E100" s="856"/>
      <c r="F100" s="856"/>
      <c r="G100" s="856"/>
      <c r="H100" s="869"/>
      <c r="I100" s="869"/>
      <c r="J100" s="847"/>
      <c r="K100" s="847"/>
      <c r="L100" s="856"/>
      <c r="M100" s="856"/>
      <c r="N100" s="847"/>
      <c r="O100" s="856"/>
      <c r="P100" s="856"/>
      <c r="Q100" s="856"/>
      <c r="V100" s="132"/>
    </row>
    <row r="101" spans="1:40">
      <c r="A101" s="847"/>
      <c r="B101" s="870" t="s">
        <v>1183</v>
      </c>
      <c r="C101" s="853"/>
      <c r="D101" s="853"/>
      <c r="E101" s="853"/>
      <c r="F101" s="853"/>
      <c r="G101" s="853"/>
      <c r="H101" s="853"/>
      <c r="I101" s="854"/>
      <c r="J101" s="847"/>
      <c r="K101" s="847"/>
      <c r="L101" s="847"/>
      <c r="M101" s="847"/>
      <c r="N101" s="847"/>
      <c r="O101" s="847"/>
      <c r="P101" s="847"/>
      <c r="Q101" s="847"/>
      <c r="V101" s="132"/>
    </row>
    <row r="102" spans="1:40" ht="45">
      <c r="A102" s="847"/>
      <c r="B102" s="274" t="s">
        <v>757</v>
      </c>
      <c r="C102" s="165" t="s">
        <v>1184</v>
      </c>
      <c r="D102" s="392" t="s">
        <v>825</v>
      </c>
      <c r="E102" s="251" t="s">
        <v>674</v>
      </c>
      <c r="F102" s="251" t="s">
        <v>675</v>
      </c>
      <c r="G102" s="164" t="s">
        <v>792</v>
      </c>
      <c r="H102" s="164" t="s">
        <v>793</v>
      </c>
      <c r="I102" s="251" t="s">
        <v>794</v>
      </c>
      <c r="J102" s="847"/>
      <c r="K102" s="859"/>
      <c r="L102" s="860"/>
      <c r="M102" s="861"/>
      <c r="N102" s="861"/>
      <c r="O102" s="861"/>
      <c r="P102" s="861"/>
      <c r="Q102" s="861"/>
      <c r="V102" s="132"/>
    </row>
    <row r="103" spans="1:40">
      <c r="A103" s="847"/>
      <c r="B103" s="326" t="s">
        <v>1143</v>
      </c>
      <c r="C103" s="148">
        <f>'Inputs and eligible population'!E59</f>
        <v>0</v>
      </c>
      <c r="D103" s="127">
        <f>'Financial impact (cash)'!D13*'Capacity (local prices)'!$C103</f>
        <v>0</v>
      </c>
      <c r="E103" s="127">
        <f>'Financial impact (cash)'!E13*'Capacity (local prices)'!$C103</f>
        <v>0</v>
      </c>
      <c r="F103" s="127">
        <f>'Financial impact (cash)'!F13*'Capacity (local prices)'!$C103</f>
        <v>0</v>
      </c>
      <c r="G103" s="127">
        <f>'Financial impact (cash)'!G13*'Capacity (local prices)'!$C103</f>
        <v>0</v>
      </c>
      <c r="H103" s="127">
        <f>'Financial impact (cash)'!H13*'Capacity (local prices)'!$C103</f>
        <v>0</v>
      </c>
      <c r="I103" s="127">
        <f>'Financial impact (cash)'!I13*'Capacity (local prices)'!$C103</f>
        <v>0</v>
      </c>
      <c r="J103" s="856"/>
      <c r="K103" s="863"/>
      <c r="L103" s="864"/>
      <c r="M103" s="864"/>
      <c r="N103" s="864"/>
      <c r="O103" s="864"/>
      <c r="P103" s="864"/>
      <c r="Q103" s="864"/>
      <c r="R103" s="132"/>
      <c r="S103" s="132"/>
      <c r="T103" s="132"/>
      <c r="U103" s="132"/>
      <c r="V103" s="132"/>
      <c r="W103" s="132"/>
      <c r="X103" s="132"/>
      <c r="Y103" s="132"/>
      <c r="Z103" s="132"/>
      <c r="AJ103" s="281"/>
      <c r="AK103" s="281"/>
      <c r="AL103" s="281"/>
      <c r="AM103" s="281"/>
      <c r="AN103" s="281"/>
    </row>
    <row r="104" spans="1:40">
      <c r="A104" s="847"/>
      <c r="B104" s="326" t="s">
        <v>1144</v>
      </c>
      <c r="C104" s="148">
        <f>'Inputs and eligible population'!F59</f>
        <v>0</v>
      </c>
      <c r="D104" s="127">
        <f>'Financial impact (cash)'!D13*'Capacity (local prices)'!$C104</f>
        <v>0</v>
      </c>
      <c r="E104" s="127">
        <f>'Financial impact (cash)'!D13*'Capacity (local prices)'!$C104</f>
        <v>0</v>
      </c>
      <c r="F104" s="127">
        <f>'Financial impact (cash)'!E13*'Capacity (local prices)'!$C104</f>
        <v>0</v>
      </c>
      <c r="G104" s="127">
        <f>'Financial impact (cash)'!F13*'Capacity (local prices)'!$C104</f>
        <v>0</v>
      </c>
      <c r="H104" s="127">
        <f>'Financial impact (cash)'!G13*'Capacity (local prices)'!$C104</f>
        <v>0</v>
      </c>
      <c r="I104" s="127">
        <f>'Financial impact (cash)'!H13*'Capacity (local prices)'!$C104</f>
        <v>0</v>
      </c>
      <c r="J104" s="856"/>
      <c r="K104" s="863"/>
      <c r="L104" s="864"/>
      <c r="M104" s="864"/>
      <c r="N104" s="864"/>
      <c r="O104" s="864"/>
      <c r="P104" s="864"/>
      <c r="Q104" s="864"/>
      <c r="R104" s="132"/>
      <c r="S104" s="132"/>
      <c r="T104" s="132"/>
      <c r="U104" s="132"/>
      <c r="V104" s="132"/>
      <c r="W104" s="132"/>
      <c r="X104" s="132"/>
      <c r="Y104" s="132"/>
      <c r="Z104" s="132"/>
      <c r="AJ104" s="281"/>
      <c r="AK104" s="281"/>
      <c r="AL104" s="281"/>
      <c r="AM104" s="281"/>
      <c r="AN104" s="281"/>
    </row>
    <row r="105" spans="1:40">
      <c r="A105" s="847"/>
      <c r="B105" s="326" t="s">
        <v>1145</v>
      </c>
      <c r="C105" s="148">
        <f>'Inputs and eligible population'!G59</f>
        <v>0</v>
      </c>
      <c r="D105" s="127">
        <f>'Financial impact (cash)'!$D$13*'Capacity (local prices)'!$C105</f>
        <v>0</v>
      </c>
      <c r="E105" s="127">
        <f>'Financial impact (cash)'!D13*'Capacity (local prices)'!$C105</f>
        <v>0</v>
      </c>
      <c r="F105" s="127">
        <f>'Financial impact (cash)'!D13*'Capacity (local prices)'!$C105</f>
        <v>0</v>
      </c>
      <c r="G105" s="127">
        <f>'Financial impact (cash)'!E13*'Capacity (local prices)'!$C105</f>
        <v>0</v>
      </c>
      <c r="H105" s="127">
        <f>'Financial impact (cash)'!F13*'Capacity (local prices)'!$C105</f>
        <v>0</v>
      </c>
      <c r="I105" s="127">
        <f>'Financial impact (cash)'!G13*'Capacity (local prices)'!$C105</f>
        <v>0</v>
      </c>
      <c r="J105" s="856"/>
      <c r="K105" s="863"/>
      <c r="L105" s="864"/>
      <c r="M105" s="864"/>
      <c r="N105" s="864"/>
      <c r="O105" s="864"/>
      <c r="P105" s="864"/>
      <c r="Q105" s="864"/>
      <c r="R105" s="132"/>
      <c r="S105" s="132"/>
      <c r="T105" s="132"/>
      <c r="U105" s="132"/>
      <c r="V105" s="132"/>
      <c r="W105" s="132"/>
      <c r="X105" s="132"/>
      <c r="Y105" s="132"/>
      <c r="Z105" s="132"/>
      <c r="AJ105" s="281"/>
      <c r="AK105" s="281"/>
      <c r="AL105" s="281"/>
      <c r="AM105" s="281"/>
      <c r="AN105" s="281"/>
    </row>
    <row r="106" spans="1:40">
      <c r="A106" s="847"/>
      <c r="B106" s="326" t="s">
        <v>1146</v>
      </c>
      <c r="C106" s="148">
        <f>'Inputs and eligible population'!H59</f>
        <v>0</v>
      </c>
      <c r="D106" s="127">
        <f>'Financial impact (cash)'!$D$13*'Capacity (local prices)'!$C106</f>
        <v>0</v>
      </c>
      <c r="E106" s="127">
        <f>'Financial impact (cash)'!$D$13*'Capacity (local prices)'!$C106</f>
        <v>0</v>
      </c>
      <c r="F106" s="127">
        <f>'Financial impact (cash)'!$D$13*'Capacity (local prices)'!$C106</f>
        <v>0</v>
      </c>
      <c r="G106" s="127">
        <f>'Financial impact (cash)'!$D$13*'Capacity (local prices)'!$C106</f>
        <v>0</v>
      </c>
      <c r="H106" s="127">
        <f>'Financial impact (cash)'!E13*'Capacity (local prices)'!$C106</f>
        <v>0</v>
      </c>
      <c r="I106" s="127">
        <f>'Financial impact (cash)'!F13*'Capacity (local prices)'!$C106</f>
        <v>0</v>
      </c>
      <c r="J106" s="856"/>
      <c r="K106" s="863"/>
      <c r="L106" s="864"/>
      <c r="M106" s="864"/>
      <c r="N106" s="864"/>
      <c r="O106" s="864"/>
      <c r="P106" s="864"/>
      <c r="Q106" s="864"/>
      <c r="R106" s="132"/>
      <c r="S106" s="132"/>
      <c r="T106" s="132"/>
      <c r="U106" s="132"/>
      <c r="V106" s="132"/>
      <c r="W106" s="132"/>
      <c r="X106" s="132"/>
      <c r="Y106" s="132"/>
      <c r="Z106" s="132"/>
      <c r="AJ106" s="281"/>
      <c r="AK106" s="281"/>
      <c r="AL106" s="281"/>
      <c r="AM106" s="281"/>
      <c r="AN106" s="281"/>
    </row>
    <row r="107" spans="1:40">
      <c r="A107" s="847"/>
      <c r="B107" s="326" t="s">
        <v>1147</v>
      </c>
      <c r="C107" s="148">
        <f>'Inputs and eligible population'!I59</f>
        <v>0</v>
      </c>
      <c r="D107" s="127">
        <f>'Financial impact (cash)'!$D$13*'Capacity (local prices)'!$C107</f>
        <v>0</v>
      </c>
      <c r="E107" s="127">
        <f>'Financial impact (cash)'!$D$13*'Capacity (local prices)'!$C107</f>
        <v>0</v>
      </c>
      <c r="F107" s="127">
        <f>'Financial impact (cash)'!$D$13*'Capacity (local prices)'!$C107</f>
        <v>0</v>
      </c>
      <c r="G107" s="127">
        <f>'Financial impact (cash)'!$D$13*'Capacity (local prices)'!$C107</f>
        <v>0</v>
      </c>
      <c r="H107" s="127">
        <f>'Financial impact (cash)'!$D$13*'Capacity (local prices)'!$C107</f>
        <v>0</v>
      </c>
      <c r="I107" s="127">
        <f>'Financial impact (cash)'!E13*'Capacity (local prices)'!$C107</f>
        <v>0</v>
      </c>
      <c r="J107" s="856"/>
      <c r="K107" s="863"/>
      <c r="L107" s="864"/>
      <c r="M107" s="864"/>
      <c r="N107" s="864"/>
      <c r="O107" s="864"/>
      <c r="P107" s="864"/>
      <c r="Q107" s="864"/>
      <c r="R107" s="132"/>
      <c r="S107" s="132"/>
      <c r="T107" s="132"/>
      <c r="U107" s="132"/>
      <c r="V107" s="132"/>
      <c r="W107" s="132"/>
      <c r="X107" s="132"/>
      <c r="Y107" s="132"/>
      <c r="Z107" s="132"/>
      <c r="AJ107" s="281"/>
      <c r="AK107" s="281"/>
      <c r="AL107" s="281"/>
      <c r="AM107" s="281"/>
      <c r="AN107" s="281"/>
    </row>
    <row r="108" spans="1:40">
      <c r="A108" s="847"/>
      <c r="B108" s="326" t="s">
        <v>1148</v>
      </c>
      <c r="C108" s="148">
        <f>'Inputs and eligible population'!E60</f>
        <v>0</v>
      </c>
      <c r="D108" s="127">
        <f>'Financial impact (cash)'!$D$14*'Capacity (local prices)'!$C108</f>
        <v>0</v>
      </c>
      <c r="E108" s="127">
        <f>'Financial impact (cash)'!$E$14*'Capacity (local prices)'!$C108</f>
        <v>0</v>
      </c>
      <c r="F108" s="127">
        <f>'Financial impact (cash)'!$F$14*'Capacity (local prices)'!$C108</f>
        <v>0</v>
      </c>
      <c r="G108" s="127">
        <f>'Financial impact (cash)'!$G$14*'Capacity (local prices)'!$C108</f>
        <v>0</v>
      </c>
      <c r="H108" s="127">
        <f>'Financial impact (cash)'!$H$14*'Capacity (local prices)'!$C108</f>
        <v>0</v>
      </c>
      <c r="I108" s="127">
        <f>'Financial impact (cash)'!$I$14*'Capacity (local prices)'!$C108</f>
        <v>0</v>
      </c>
      <c r="J108" s="856"/>
      <c r="K108" s="863"/>
      <c r="L108" s="864"/>
      <c r="M108" s="864"/>
      <c r="N108" s="864"/>
      <c r="O108" s="864"/>
      <c r="P108" s="864"/>
      <c r="Q108" s="864"/>
      <c r="R108" s="132"/>
      <c r="S108" s="132"/>
      <c r="T108" s="132"/>
      <c r="U108" s="132"/>
      <c r="V108" s="132"/>
      <c r="W108" s="132"/>
      <c r="X108" s="132"/>
      <c r="Y108" s="132"/>
      <c r="Z108" s="132"/>
      <c r="AJ108" s="281"/>
      <c r="AK108" s="281"/>
      <c r="AL108" s="281"/>
      <c r="AM108" s="281"/>
      <c r="AN108" s="281"/>
    </row>
    <row r="109" spans="1:40">
      <c r="A109" s="847"/>
      <c r="B109" s="326" t="s">
        <v>1149</v>
      </c>
      <c r="C109" s="148">
        <f>'Inputs and eligible population'!F60</f>
        <v>0</v>
      </c>
      <c r="D109" s="127">
        <f>'Financial impact (cash)'!$D$14*'Capacity (local prices)'!$C109</f>
        <v>0</v>
      </c>
      <c r="E109" s="127">
        <f>'Financial impact (cash)'!$D$14*'Capacity (local prices)'!$C109</f>
        <v>0</v>
      </c>
      <c r="F109" s="127">
        <f>'Financial impact (cash)'!$E$14*'Capacity (local prices)'!$C109</f>
        <v>0</v>
      </c>
      <c r="G109" s="127">
        <f>'Financial impact (cash)'!$F$14*'Capacity (local prices)'!$C109</f>
        <v>0</v>
      </c>
      <c r="H109" s="127">
        <f>'Financial impact (cash)'!$G$14*'Capacity (local prices)'!$C109</f>
        <v>0</v>
      </c>
      <c r="I109" s="127">
        <f>'Financial impact (cash)'!$H$14*'Capacity (local prices)'!$C109</f>
        <v>0</v>
      </c>
      <c r="J109" s="856"/>
      <c r="K109" s="863"/>
      <c r="L109" s="864"/>
      <c r="M109" s="864"/>
      <c r="N109" s="864"/>
      <c r="O109" s="864"/>
      <c r="P109" s="864"/>
      <c r="Q109" s="864"/>
      <c r="R109" s="132"/>
      <c r="S109" s="132"/>
      <c r="T109" s="132"/>
      <c r="U109" s="132"/>
      <c r="V109" s="132"/>
      <c r="W109" s="132"/>
      <c r="X109" s="132"/>
      <c r="Y109" s="132"/>
      <c r="Z109" s="132"/>
      <c r="AJ109" s="281"/>
      <c r="AK109" s="281"/>
      <c r="AL109" s="281"/>
      <c r="AM109" s="281"/>
      <c r="AN109" s="281"/>
    </row>
    <row r="110" spans="1:40">
      <c r="A110" s="847"/>
      <c r="B110" s="326" t="s">
        <v>1150</v>
      </c>
      <c r="C110" s="148">
        <f>'Inputs and eligible population'!G60</f>
        <v>0</v>
      </c>
      <c r="D110" s="127">
        <f>'Financial impact (cash)'!$D$14*'Capacity (local prices)'!$C110</f>
        <v>0</v>
      </c>
      <c r="E110" s="127">
        <f>'Financial impact (cash)'!$D$14*'Capacity (local prices)'!$C110</f>
        <v>0</v>
      </c>
      <c r="F110" s="127">
        <f>'Financial impact (cash)'!$D$14*'Capacity (local prices)'!$C110</f>
        <v>0</v>
      </c>
      <c r="G110" s="127">
        <f>'Financial impact (cash)'!$E$14*'Capacity (local prices)'!$C110</f>
        <v>0</v>
      </c>
      <c r="H110" s="127">
        <f>'Financial impact (cash)'!$F$14*'Capacity (local prices)'!$C110</f>
        <v>0</v>
      </c>
      <c r="I110" s="127">
        <f>'Financial impact (cash)'!$G$14*'Capacity (local prices)'!$C110</f>
        <v>0</v>
      </c>
      <c r="J110" s="856"/>
      <c r="K110" s="863"/>
      <c r="L110" s="864"/>
      <c r="M110" s="864"/>
      <c r="N110" s="864"/>
      <c r="O110" s="864"/>
      <c r="P110" s="864"/>
      <c r="Q110" s="864"/>
      <c r="R110" s="132"/>
      <c r="S110" s="132"/>
      <c r="T110" s="132"/>
      <c r="U110" s="132"/>
      <c r="V110" s="132"/>
      <c r="W110" s="132"/>
      <c r="X110" s="132"/>
      <c r="Y110" s="132"/>
      <c r="Z110" s="132"/>
      <c r="AJ110" s="281"/>
      <c r="AK110" s="281"/>
      <c r="AL110" s="281"/>
      <c r="AM110" s="281"/>
      <c r="AN110" s="281"/>
    </row>
    <row r="111" spans="1:40">
      <c r="A111" s="847"/>
      <c r="B111" s="326" t="s">
        <v>1151</v>
      </c>
      <c r="C111" s="148">
        <f>'Inputs and eligible population'!H60</f>
        <v>0</v>
      </c>
      <c r="D111" s="127">
        <f>'Financial impact (cash)'!$D$14*'Capacity (local prices)'!$C111</f>
        <v>0</v>
      </c>
      <c r="E111" s="127">
        <f>'Financial impact (cash)'!$D$14*'Capacity (local prices)'!$C111</f>
        <v>0</v>
      </c>
      <c r="F111" s="127">
        <f>'Financial impact (cash)'!$D$14*'Capacity (local prices)'!$C111</f>
        <v>0</v>
      </c>
      <c r="G111" s="127">
        <f>'Financial impact (cash)'!$D$14*'Capacity (local prices)'!$C111</f>
        <v>0</v>
      </c>
      <c r="H111" s="127">
        <f>'Financial impact (cash)'!$E$14*'Capacity (local prices)'!$C111</f>
        <v>0</v>
      </c>
      <c r="I111" s="127">
        <f>'Financial impact (cash)'!$F$14*'Capacity (local prices)'!$C111</f>
        <v>0</v>
      </c>
      <c r="J111" s="856"/>
      <c r="K111" s="863"/>
      <c r="L111" s="864"/>
      <c r="M111" s="864"/>
      <c r="N111" s="864"/>
      <c r="O111" s="864"/>
      <c r="P111" s="864"/>
      <c r="Q111" s="864"/>
      <c r="R111" s="132"/>
      <c r="S111" s="132"/>
      <c r="T111" s="132"/>
      <c r="U111" s="132"/>
      <c r="V111" s="132"/>
      <c r="W111" s="132"/>
      <c r="X111" s="132"/>
      <c r="Y111" s="132"/>
      <c r="Z111" s="132"/>
      <c r="AJ111" s="281"/>
      <c r="AK111" s="281"/>
      <c r="AL111" s="281"/>
      <c r="AM111" s="281"/>
      <c r="AN111" s="281"/>
    </row>
    <row r="112" spans="1:40">
      <c r="A112" s="847"/>
      <c r="B112" s="326" t="s">
        <v>1152</v>
      </c>
      <c r="C112" s="148">
        <f>'Inputs and eligible population'!I60</f>
        <v>0</v>
      </c>
      <c r="D112" s="127">
        <f>'Financial impact (cash)'!$D$14*'Capacity (local prices)'!$C112</f>
        <v>0</v>
      </c>
      <c r="E112" s="127">
        <f>'Financial impact (cash)'!$D$14*'Capacity (local prices)'!$C112</f>
        <v>0</v>
      </c>
      <c r="F112" s="127">
        <f>'Financial impact (cash)'!$D$14*'Capacity (local prices)'!$C112</f>
        <v>0</v>
      </c>
      <c r="G112" s="127">
        <f>'Financial impact (cash)'!$D$14*'Capacity (local prices)'!$C112</f>
        <v>0</v>
      </c>
      <c r="H112" s="127">
        <f>'Financial impact (cash)'!$D$14*'Capacity (local prices)'!$C112</f>
        <v>0</v>
      </c>
      <c r="I112" s="127">
        <f>'Financial impact (cash)'!$E$14*'Capacity (local prices)'!$C112</f>
        <v>0</v>
      </c>
      <c r="J112" s="856"/>
      <c r="K112" s="863"/>
      <c r="L112" s="864"/>
      <c r="M112" s="864"/>
      <c r="N112" s="864"/>
      <c r="O112" s="864"/>
      <c r="P112" s="864"/>
      <c r="Q112" s="864"/>
      <c r="R112" s="132"/>
      <c r="S112" s="132"/>
      <c r="T112" s="132"/>
      <c r="U112" s="132"/>
      <c r="V112" s="132"/>
      <c r="W112" s="132"/>
      <c r="X112" s="132"/>
      <c r="Y112" s="132"/>
      <c r="Z112" s="132"/>
      <c r="AJ112" s="281"/>
      <c r="AK112" s="281"/>
      <c r="AL112" s="281"/>
      <c r="AM112" s="281"/>
      <c r="AN112" s="281"/>
    </row>
    <row r="113" spans="1:40">
      <c r="A113" s="847"/>
      <c r="B113" s="326" t="s">
        <v>1153</v>
      </c>
      <c r="C113" s="673">
        <f>'Inputs and eligible population'!E61</f>
        <v>0</v>
      </c>
      <c r="D113" s="127">
        <f>'Financial impact (cash)'!$D$15*'Capacity (local prices)'!$C113</f>
        <v>0</v>
      </c>
      <c r="E113" s="127">
        <f>'Financial impact (cash)'!$E$15*'Capacity (local prices)'!$C113</f>
        <v>0</v>
      </c>
      <c r="F113" s="127">
        <f>'Financial impact (cash)'!$F$15*'Capacity (local prices)'!$C113</f>
        <v>0</v>
      </c>
      <c r="G113" s="127">
        <f>'Financial impact (cash)'!$G$15*'Capacity (local prices)'!$C113</f>
        <v>0</v>
      </c>
      <c r="H113" s="127">
        <f>'Financial impact (cash)'!$H$15*'Capacity (local prices)'!$C113</f>
        <v>0</v>
      </c>
      <c r="I113" s="127">
        <f>'Financial impact (cash)'!$I$15*'Capacity (local prices)'!$C113</f>
        <v>0</v>
      </c>
      <c r="J113" s="856"/>
      <c r="K113" s="863"/>
      <c r="L113" s="864"/>
      <c r="M113" s="864"/>
      <c r="N113" s="864"/>
      <c r="O113" s="864"/>
      <c r="P113" s="864"/>
      <c r="Q113" s="864"/>
      <c r="R113" s="132"/>
      <c r="S113" s="132"/>
      <c r="T113" s="132"/>
      <c r="U113" s="132"/>
      <c r="V113" s="132"/>
      <c r="W113" s="132"/>
      <c r="X113" s="132"/>
      <c r="Y113" s="132"/>
      <c r="Z113" s="132"/>
      <c r="AJ113" s="281"/>
      <c r="AK113" s="281"/>
      <c r="AL113" s="281"/>
      <c r="AM113" s="281"/>
      <c r="AN113" s="281"/>
    </row>
    <row r="114" spans="1:40">
      <c r="A114" s="847"/>
      <c r="B114" s="326" t="s">
        <v>1154</v>
      </c>
      <c r="C114" s="673">
        <f>'Inputs and eligible population'!F61</f>
        <v>0</v>
      </c>
      <c r="D114" s="127">
        <f>'Financial impact (cash)'!$D$15*'Capacity (local prices)'!$C114</f>
        <v>0</v>
      </c>
      <c r="E114" s="127">
        <f>'Financial impact (cash)'!$D$15*'Capacity (local prices)'!$C114</f>
        <v>0</v>
      </c>
      <c r="F114" s="127">
        <f>'Financial impact (cash)'!$E$15*'Capacity (local prices)'!$C114</f>
        <v>0</v>
      </c>
      <c r="G114" s="127">
        <f>'Financial impact (cash)'!$F$15*'Capacity (local prices)'!$C114</f>
        <v>0</v>
      </c>
      <c r="H114" s="127">
        <f>'Financial impact (cash)'!$G$15*'Capacity (local prices)'!$C114</f>
        <v>0</v>
      </c>
      <c r="I114" s="127">
        <f>'Financial impact (cash)'!$H$15*'Capacity (local prices)'!$C114</f>
        <v>0</v>
      </c>
      <c r="J114" s="856"/>
      <c r="K114" s="863"/>
      <c r="L114" s="864"/>
      <c r="M114" s="864"/>
      <c r="N114" s="864"/>
      <c r="O114" s="864"/>
      <c r="P114" s="864"/>
      <c r="Q114" s="864"/>
      <c r="R114" s="132"/>
      <c r="S114" s="132"/>
      <c r="T114" s="132"/>
      <c r="U114" s="132"/>
      <c r="V114" s="132"/>
      <c r="W114" s="132"/>
      <c r="X114" s="132"/>
      <c r="Y114" s="132"/>
      <c r="Z114" s="132"/>
      <c r="AJ114" s="281"/>
      <c r="AK114" s="281"/>
      <c r="AL114" s="281"/>
      <c r="AM114" s="281"/>
      <c r="AN114" s="281"/>
    </row>
    <row r="115" spans="1:40">
      <c r="A115" s="847"/>
      <c r="B115" s="326" t="s">
        <v>1155</v>
      </c>
      <c r="C115" s="673">
        <f>'Inputs and eligible population'!G61</f>
        <v>0</v>
      </c>
      <c r="D115" s="127">
        <f>'Financial impact (cash)'!$D$15*'Capacity (local prices)'!$C115</f>
        <v>0</v>
      </c>
      <c r="E115" s="127">
        <f>'Financial impact (cash)'!$D$15*'Capacity (local prices)'!$C115</f>
        <v>0</v>
      </c>
      <c r="F115" s="127">
        <f>'Financial impact (cash)'!$D$15*'Capacity (local prices)'!$C115</f>
        <v>0</v>
      </c>
      <c r="G115" s="127">
        <f>'Financial impact (cash)'!$E$15*'Capacity (local prices)'!$C115</f>
        <v>0</v>
      </c>
      <c r="H115" s="127">
        <f>'Financial impact (cash)'!$F$15*'Capacity (local prices)'!$C115</f>
        <v>0</v>
      </c>
      <c r="I115" s="127">
        <f>'Financial impact (cash)'!$G$15*'Capacity (local prices)'!$C115</f>
        <v>0</v>
      </c>
      <c r="J115" s="856"/>
      <c r="K115" s="863"/>
      <c r="L115" s="864"/>
      <c r="M115" s="864"/>
      <c r="N115" s="864"/>
      <c r="O115" s="864"/>
      <c r="P115" s="864"/>
      <c r="Q115" s="864"/>
      <c r="R115" s="132"/>
      <c r="S115" s="132"/>
      <c r="T115" s="132"/>
      <c r="U115" s="132"/>
      <c r="V115" s="132"/>
      <c r="W115" s="132"/>
      <c r="X115" s="132"/>
      <c r="Y115" s="132"/>
      <c r="Z115" s="132"/>
      <c r="AJ115" s="281"/>
      <c r="AK115" s="281"/>
      <c r="AL115" s="281"/>
      <c r="AM115" s="281"/>
      <c r="AN115" s="281"/>
    </row>
    <row r="116" spans="1:40">
      <c r="A116" s="847"/>
      <c r="B116" s="326" t="s">
        <v>1156</v>
      </c>
      <c r="C116" s="673">
        <f>'Inputs and eligible population'!H61</f>
        <v>0</v>
      </c>
      <c r="D116" s="127">
        <f>'Financial impact (cash)'!$D$15*'Capacity (local prices)'!$C116</f>
        <v>0</v>
      </c>
      <c r="E116" s="127">
        <f>'Financial impact (cash)'!$D$15*'Capacity (local prices)'!$C116</f>
        <v>0</v>
      </c>
      <c r="F116" s="127">
        <f>'Financial impact (cash)'!$D$15*'Capacity (local prices)'!$C116</f>
        <v>0</v>
      </c>
      <c r="G116" s="127">
        <f>'Financial impact (cash)'!$D$15*'Capacity (local prices)'!$C116</f>
        <v>0</v>
      </c>
      <c r="H116" s="127">
        <f>'Financial impact (cash)'!$E$15*'Capacity (local prices)'!$C116</f>
        <v>0</v>
      </c>
      <c r="I116" s="127">
        <f>'Financial impact (cash)'!$F$15*'Capacity (local prices)'!$C116</f>
        <v>0</v>
      </c>
      <c r="J116" s="856"/>
      <c r="K116" s="863"/>
      <c r="L116" s="864"/>
      <c r="M116" s="864"/>
      <c r="N116" s="864"/>
      <c r="O116" s="864"/>
      <c r="P116" s="864"/>
      <c r="Q116" s="864"/>
      <c r="R116" s="132"/>
      <c r="S116" s="132"/>
      <c r="T116" s="132"/>
      <c r="U116" s="132"/>
      <c r="V116" s="132"/>
      <c r="W116" s="132"/>
      <c r="X116" s="132"/>
      <c r="Y116" s="132"/>
      <c r="Z116" s="132"/>
      <c r="AJ116" s="281"/>
      <c r="AK116" s="281"/>
      <c r="AL116" s="281"/>
      <c r="AM116" s="281"/>
      <c r="AN116" s="281"/>
    </row>
    <row r="117" spans="1:40">
      <c r="A117" s="847"/>
      <c r="B117" s="326" t="s">
        <v>1157</v>
      </c>
      <c r="C117" s="673">
        <f>'Inputs and eligible population'!I61</f>
        <v>0</v>
      </c>
      <c r="D117" s="127">
        <f>'Financial impact (cash)'!$D$15*'Capacity (local prices)'!$C117</f>
        <v>0</v>
      </c>
      <c r="E117" s="127">
        <f>'Financial impact (cash)'!$D$15*'Capacity (local prices)'!$C117</f>
        <v>0</v>
      </c>
      <c r="F117" s="127">
        <f>'Financial impact (cash)'!$D$15*'Capacity (local prices)'!$C117</f>
        <v>0</v>
      </c>
      <c r="G117" s="127">
        <f>'Financial impact (cash)'!$D$15*'Capacity (local prices)'!$C117</f>
        <v>0</v>
      </c>
      <c r="H117" s="127">
        <f>'Financial impact (cash)'!$D$15*'Capacity (local prices)'!$C117</f>
        <v>0</v>
      </c>
      <c r="I117" s="127">
        <f>'Financial impact (cash)'!$E$15*'Capacity (local prices)'!$C117</f>
        <v>0</v>
      </c>
      <c r="J117" s="856"/>
      <c r="K117" s="863"/>
      <c r="L117" s="864"/>
      <c r="M117" s="864"/>
      <c r="N117" s="864"/>
      <c r="O117" s="864"/>
      <c r="P117" s="864"/>
      <c r="Q117" s="864"/>
      <c r="R117" s="132"/>
      <c r="S117" s="132"/>
      <c r="T117" s="132"/>
      <c r="U117" s="132"/>
      <c r="V117" s="132"/>
      <c r="W117" s="132"/>
      <c r="X117" s="132"/>
      <c r="Y117" s="132"/>
      <c r="Z117" s="132"/>
      <c r="AJ117" s="281"/>
      <c r="AK117" s="281"/>
      <c r="AL117" s="281"/>
      <c r="AM117" s="281"/>
      <c r="AN117" s="281"/>
    </row>
    <row r="118" spans="1:40">
      <c r="A118" s="847"/>
      <c r="B118" s="326" t="s">
        <v>1158</v>
      </c>
      <c r="C118" s="673">
        <f>'Inputs and eligible population'!E62</f>
        <v>0</v>
      </c>
      <c r="D118" s="127">
        <f>'Financial impact (cash)'!$D$16*'Capacity (local prices)'!$C118</f>
        <v>0</v>
      </c>
      <c r="E118" s="127">
        <f>'Financial impact (cash)'!$E$16*'Capacity (local prices)'!$C118</f>
        <v>0</v>
      </c>
      <c r="F118" s="127">
        <f>'Financial impact (cash)'!$F$16*'Capacity (local prices)'!$C118</f>
        <v>0</v>
      </c>
      <c r="G118" s="127">
        <f>'Financial impact (cash)'!$G$16*'Capacity (local prices)'!$C118</f>
        <v>0</v>
      </c>
      <c r="H118" s="127">
        <f>'Financial impact (cash)'!$H$16*'Capacity (local prices)'!$C118</f>
        <v>0</v>
      </c>
      <c r="I118" s="127">
        <f>'Financial impact (cash)'!$I$16*'Capacity (local prices)'!$C118</f>
        <v>0</v>
      </c>
      <c r="J118" s="856"/>
      <c r="K118" s="863"/>
      <c r="L118" s="864"/>
      <c r="M118" s="864"/>
      <c r="N118" s="864"/>
      <c r="O118" s="864"/>
      <c r="P118" s="864"/>
      <c r="Q118" s="864"/>
      <c r="R118" s="132"/>
      <c r="S118" s="132"/>
      <c r="T118" s="132"/>
      <c r="U118" s="132"/>
      <c r="V118" s="132"/>
      <c r="W118" s="132"/>
      <c r="X118" s="132"/>
      <c r="Y118" s="132"/>
      <c r="Z118" s="132"/>
      <c r="AJ118" s="281"/>
      <c r="AK118" s="281"/>
      <c r="AL118" s="281"/>
      <c r="AM118" s="281"/>
      <c r="AN118" s="281"/>
    </row>
    <row r="119" spans="1:40">
      <c r="A119" s="847"/>
      <c r="B119" s="326" t="s">
        <v>1159</v>
      </c>
      <c r="C119" s="673">
        <f>'Inputs and eligible population'!F62</f>
        <v>0</v>
      </c>
      <c r="D119" s="127">
        <f>'Financial impact (cash)'!$D$16*'Capacity (local prices)'!$C119</f>
        <v>0</v>
      </c>
      <c r="E119" s="127">
        <f>'Financial impact (cash)'!$D$16*'Capacity (local prices)'!$C119</f>
        <v>0</v>
      </c>
      <c r="F119" s="127">
        <f>'Financial impact (cash)'!$E$16*'Capacity (local prices)'!$C119</f>
        <v>0</v>
      </c>
      <c r="G119" s="127">
        <f>'Financial impact (cash)'!$F$16*'Capacity (local prices)'!$C119</f>
        <v>0</v>
      </c>
      <c r="H119" s="127">
        <f>'Financial impact (cash)'!$G$16*'Capacity (local prices)'!$C119</f>
        <v>0</v>
      </c>
      <c r="I119" s="127">
        <f>'Financial impact (cash)'!$H$16*'Capacity (local prices)'!$C119</f>
        <v>0</v>
      </c>
      <c r="J119" s="856"/>
      <c r="K119" s="863"/>
      <c r="L119" s="864"/>
      <c r="M119" s="864"/>
      <c r="N119" s="864"/>
      <c r="O119" s="864"/>
      <c r="P119" s="864"/>
      <c r="Q119" s="864"/>
      <c r="R119" s="132"/>
      <c r="S119" s="132"/>
      <c r="T119" s="132"/>
      <c r="U119" s="132"/>
      <c r="V119" s="132"/>
      <c r="W119" s="132"/>
      <c r="X119" s="132"/>
      <c r="Y119" s="132"/>
      <c r="Z119" s="132"/>
      <c r="AJ119" s="281"/>
      <c r="AK119" s="281"/>
      <c r="AL119" s="281"/>
      <c r="AM119" s="281"/>
      <c r="AN119" s="281"/>
    </row>
    <row r="120" spans="1:40">
      <c r="A120" s="847"/>
      <c r="B120" s="326" t="s">
        <v>1160</v>
      </c>
      <c r="C120" s="673">
        <f>'Inputs and eligible population'!G62</f>
        <v>0</v>
      </c>
      <c r="D120" s="127">
        <f>'Financial impact (cash)'!$D$16*'Capacity (local prices)'!$C120</f>
        <v>0</v>
      </c>
      <c r="E120" s="127">
        <f>'Financial impact (cash)'!$D$16*'Capacity (local prices)'!$C120</f>
        <v>0</v>
      </c>
      <c r="F120" s="127">
        <f>'Financial impact (cash)'!$D$16*'Capacity (local prices)'!$C120</f>
        <v>0</v>
      </c>
      <c r="G120" s="127">
        <f>'Financial impact (cash)'!$E$16*'Capacity (local prices)'!$C120</f>
        <v>0</v>
      </c>
      <c r="H120" s="127">
        <f>'Financial impact (cash)'!$F$16*'Capacity (local prices)'!$C120</f>
        <v>0</v>
      </c>
      <c r="I120" s="127">
        <f>'Financial impact (cash)'!$G$16*'Capacity (local prices)'!$C120</f>
        <v>0</v>
      </c>
      <c r="J120" s="856"/>
      <c r="K120" s="863"/>
      <c r="L120" s="864"/>
      <c r="M120" s="864"/>
      <c r="N120" s="864"/>
      <c r="O120" s="864"/>
      <c r="P120" s="864"/>
      <c r="Q120" s="864"/>
      <c r="R120" s="132"/>
      <c r="S120" s="132"/>
      <c r="T120" s="132"/>
      <c r="U120" s="132"/>
      <c r="V120" s="132"/>
      <c r="W120" s="132"/>
      <c r="X120" s="132"/>
      <c r="Y120" s="132"/>
      <c r="Z120" s="132"/>
      <c r="AJ120" s="281"/>
      <c r="AK120" s="281"/>
      <c r="AL120" s="281"/>
      <c r="AM120" s="281"/>
      <c r="AN120" s="281"/>
    </row>
    <row r="121" spans="1:40">
      <c r="A121" s="847"/>
      <c r="B121" s="326" t="s">
        <v>1161</v>
      </c>
      <c r="C121" s="673">
        <f>'Inputs and eligible population'!H62</f>
        <v>0</v>
      </c>
      <c r="D121" s="127">
        <f>'Financial impact (cash)'!$D$16*'Capacity (local prices)'!$C121</f>
        <v>0</v>
      </c>
      <c r="E121" s="127">
        <f>'Financial impact (cash)'!$D$16*'Capacity (local prices)'!$C121</f>
        <v>0</v>
      </c>
      <c r="F121" s="127">
        <f>'Financial impact (cash)'!$D$16*'Capacity (local prices)'!$C121</f>
        <v>0</v>
      </c>
      <c r="G121" s="127">
        <f>'Financial impact (cash)'!$D$16*'Capacity (local prices)'!$C121</f>
        <v>0</v>
      </c>
      <c r="H121" s="127">
        <f>'Financial impact (cash)'!$E$16*'Capacity (local prices)'!$C121</f>
        <v>0</v>
      </c>
      <c r="I121" s="127">
        <f>'Financial impact (cash)'!$F$16*'Capacity (local prices)'!$C121</f>
        <v>0</v>
      </c>
      <c r="J121" s="856"/>
      <c r="K121" s="863"/>
      <c r="L121" s="864"/>
      <c r="M121" s="864"/>
      <c r="N121" s="864"/>
      <c r="O121" s="864"/>
      <c r="P121" s="864"/>
      <c r="Q121" s="864"/>
      <c r="R121" s="132"/>
      <c r="S121" s="132"/>
      <c r="T121" s="132"/>
      <c r="U121" s="132"/>
      <c r="V121" s="132"/>
      <c r="W121" s="132"/>
      <c r="X121" s="132"/>
      <c r="Y121" s="132"/>
      <c r="Z121" s="132"/>
      <c r="AJ121" s="281"/>
      <c r="AK121" s="281"/>
      <c r="AL121" s="281"/>
      <c r="AM121" s="281"/>
      <c r="AN121" s="281"/>
    </row>
    <row r="122" spans="1:40">
      <c r="A122" s="847"/>
      <c r="B122" s="326" t="s">
        <v>1162</v>
      </c>
      <c r="C122" s="673">
        <f>'Inputs and eligible population'!I62</f>
        <v>0</v>
      </c>
      <c r="D122" s="127">
        <f>'Financial impact (cash)'!$D$16*'Capacity (local prices)'!$C122</f>
        <v>0</v>
      </c>
      <c r="E122" s="127">
        <f>'Financial impact (cash)'!$D$16*'Capacity (local prices)'!$C122</f>
        <v>0</v>
      </c>
      <c r="F122" s="127">
        <f>'Financial impact (cash)'!$D$16*'Capacity (local prices)'!$C122</f>
        <v>0</v>
      </c>
      <c r="G122" s="127">
        <f>'Financial impact (cash)'!$D$16*'Capacity (local prices)'!$C122</f>
        <v>0</v>
      </c>
      <c r="H122" s="127">
        <f>'Financial impact (cash)'!$D$16*'Capacity (local prices)'!$C122</f>
        <v>0</v>
      </c>
      <c r="I122" s="127">
        <f>'Financial impact (cash)'!$E$16*'Capacity (local prices)'!$C122</f>
        <v>0</v>
      </c>
      <c r="J122" s="856"/>
      <c r="K122" s="863"/>
      <c r="L122" s="864"/>
      <c r="M122" s="864"/>
      <c r="N122" s="864"/>
      <c r="O122" s="864"/>
      <c r="P122" s="864"/>
      <c r="Q122" s="864"/>
      <c r="R122" s="132"/>
      <c r="S122" s="132"/>
      <c r="T122" s="132"/>
      <c r="U122" s="132"/>
      <c r="V122" s="132"/>
      <c r="W122" s="132"/>
      <c r="X122" s="132"/>
      <c r="Y122" s="132"/>
      <c r="Z122" s="132"/>
      <c r="AJ122" s="281"/>
      <c r="AK122" s="281"/>
      <c r="AL122" s="281"/>
      <c r="AM122" s="281"/>
      <c r="AN122" s="281"/>
    </row>
    <row r="123" spans="1:40">
      <c r="A123" s="847"/>
      <c r="B123" s="326" t="s">
        <v>1163</v>
      </c>
      <c r="C123" s="673">
        <f>'Inputs and eligible population'!E63</f>
        <v>0</v>
      </c>
      <c r="D123" s="127">
        <f>'Financial impact (cash)'!$D$17*'Capacity (local prices)'!$C123</f>
        <v>0</v>
      </c>
      <c r="E123" s="127">
        <f>'Financial impact (cash)'!$E$17*'Capacity (local prices)'!$C123</f>
        <v>0</v>
      </c>
      <c r="F123" s="127">
        <f>'Financial impact (cash)'!$F$17*'Capacity (local prices)'!$C123</f>
        <v>0</v>
      </c>
      <c r="G123" s="127">
        <f>'Financial impact (cash)'!$G$17*'Capacity (local prices)'!$C123</f>
        <v>0</v>
      </c>
      <c r="H123" s="127">
        <f>'Financial impact (cash)'!$H$17*'Capacity (local prices)'!$C123</f>
        <v>0</v>
      </c>
      <c r="I123" s="127">
        <f>'Financial impact (cash)'!$I$17*'Capacity (local prices)'!$C123</f>
        <v>0</v>
      </c>
      <c r="J123" s="856"/>
      <c r="K123" s="863"/>
      <c r="L123" s="864"/>
      <c r="M123" s="864"/>
      <c r="N123" s="864"/>
      <c r="O123" s="864"/>
      <c r="P123" s="864"/>
      <c r="Q123" s="864"/>
      <c r="R123" s="132"/>
      <c r="S123" s="132"/>
      <c r="T123" s="132"/>
      <c r="U123" s="132"/>
      <c r="V123" s="132"/>
      <c r="W123" s="132"/>
      <c r="X123" s="132"/>
      <c r="Y123" s="132"/>
      <c r="Z123" s="132"/>
      <c r="AJ123" s="281"/>
      <c r="AK123" s="281"/>
      <c r="AL123" s="281"/>
      <c r="AM123" s="281"/>
      <c r="AN123" s="281"/>
    </row>
    <row r="124" spans="1:40">
      <c r="A124" s="847"/>
      <c r="B124" s="326" t="s">
        <v>1164</v>
      </c>
      <c r="C124" s="673">
        <f>'Inputs and eligible population'!F63</f>
        <v>0</v>
      </c>
      <c r="D124" s="127">
        <f>'Financial impact (cash)'!$D$17*'Capacity (local prices)'!$C124</f>
        <v>0</v>
      </c>
      <c r="E124" s="127">
        <f>'Financial impact (cash)'!$D$17*'Capacity (local prices)'!$C124</f>
        <v>0</v>
      </c>
      <c r="F124" s="127">
        <f>'Financial impact (cash)'!$E$17*'Capacity (local prices)'!$C124</f>
        <v>0</v>
      </c>
      <c r="G124" s="127">
        <f>'Financial impact (cash)'!$F$17*'Capacity (local prices)'!$C124</f>
        <v>0</v>
      </c>
      <c r="H124" s="127">
        <f>'Financial impact (cash)'!$G$17*'Capacity (local prices)'!$C124</f>
        <v>0</v>
      </c>
      <c r="I124" s="127">
        <f>'Financial impact (cash)'!$H$17*'Capacity (local prices)'!$C124</f>
        <v>0</v>
      </c>
      <c r="J124" s="856"/>
      <c r="K124" s="863"/>
      <c r="L124" s="864"/>
      <c r="M124" s="864"/>
      <c r="N124" s="864"/>
      <c r="O124" s="864"/>
      <c r="P124" s="864"/>
      <c r="Q124" s="864"/>
      <c r="R124" s="132"/>
      <c r="S124" s="132"/>
      <c r="T124" s="132"/>
      <c r="U124" s="132"/>
      <c r="V124" s="132"/>
      <c r="W124" s="132"/>
      <c r="X124" s="132"/>
      <c r="Y124" s="132"/>
      <c r="Z124" s="132"/>
      <c r="AJ124" s="281"/>
      <c r="AK124" s="281"/>
      <c r="AL124" s="281"/>
      <c r="AM124" s="281"/>
      <c r="AN124" s="281"/>
    </row>
    <row r="125" spans="1:40">
      <c r="A125" s="847"/>
      <c r="B125" s="326" t="s">
        <v>1165</v>
      </c>
      <c r="C125" s="673">
        <f>'Inputs and eligible population'!G63</f>
        <v>0</v>
      </c>
      <c r="D125" s="127">
        <f>'Financial impact (cash)'!$D$17*'Capacity (local prices)'!$C125</f>
        <v>0</v>
      </c>
      <c r="E125" s="127">
        <f>'Financial impact (cash)'!$D$17*'Capacity (local prices)'!$C125</f>
        <v>0</v>
      </c>
      <c r="F125" s="127">
        <f>'Financial impact (cash)'!$D$17*'Capacity (local prices)'!$C125</f>
        <v>0</v>
      </c>
      <c r="G125" s="127">
        <f>'Financial impact (cash)'!$E$17*'Capacity (local prices)'!$C125</f>
        <v>0</v>
      </c>
      <c r="H125" s="127">
        <f>'Financial impact (cash)'!$F$17*'Capacity (local prices)'!$C125</f>
        <v>0</v>
      </c>
      <c r="I125" s="127">
        <f>'Financial impact (cash)'!$G$17*'Capacity (local prices)'!$C125</f>
        <v>0</v>
      </c>
      <c r="J125" s="856"/>
      <c r="K125" s="863"/>
      <c r="L125" s="864"/>
      <c r="M125" s="864"/>
      <c r="N125" s="864"/>
      <c r="O125" s="864"/>
      <c r="P125" s="864"/>
      <c r="Q125" s="864"/>
      <c r="R125" s="132"/>
      <c r="S125" s="132"/>
      <c r="T125" s="132"/>
      <c r="U125" s="132"/>
      <c r="V125" s="132"/>
      <c r="W125" s="132"/>
      <c r="X125" s="132"/>
      <c r="Y125" s="132"/>
      <c r="Z125" s="132"/>
      <c r="AJ125" s="281"/>
      <c r="AK125" s="281"/>
      <c r="AL125" s="281"/>
      <c r="AM125" s="281"/>
      <c r="AN125" s="281"/>
    </row>
    <row r="126" spans="1:40">
      <c r="A126" s="847"/>
      <c r="B126" s="326" t="s">
        <v>1166</v>
      </c>
      <c r="C126" s="673">
        <f>'Inputs and eligible population'!H63</f>
        <v>0</v>
      </c>
      <c r="D126" s="127">
        <f>'Financial impact (cash)'!$D$17*'Capacity (local prices)'!$C126</f>
        <v>0</v>
      </c>
      <c r="E126" s="127">
        <f>'Financial impact (cash)'!$D$17*'Capacity (local prices)'!$C126</f>
        <v>0</v>
      </c>
      <c r="F126" s="127">
        <f>'Financial impact (cash)'!$D$17*'Capacity (local prices)'!$C126</f>
        <v>0</v>
      </c>
      <c r="G126" s="127">
        <f>'Financial impact (cash)'!$D$17*'Capacity (local prices)'!$C126</f>
        <v>0</v>
      </c>
      <c r="H126" s="127">
        <f>'Financial impact (cash)'!$E$17*'Capacity (local prices)'!$C126</f>
        <v>0</v>
      </c>
      <c r="I126" s="127">
        <f>'Financial impact (cash)'!$F$17*'Capacity (local prices)'!$C126</f>
        <v>0</v>
      </c>
      <c r="J126" s="856"/>
      <c r="K126" s="863"/>
      <c r="L126" s="864"/>
      <c r="M126" s="864"/>
      <c r="N126" s="864"/>
      <c r="O126" s="864"/>
      <c r="P126" s="864"/>
      <c r="Q126" s="864"/>
      <c r="R126" s="132"/>
      <c r="S126" s="132"/>
      <c r="T126" s="132"/>
      <c r="U126" s="132"/>
      <c r="V126" s="132"/>
      <c r="W126" s="132"/>
      <c r="X126" s="132"/>
      <c r="Y126" s="132"/>
      <c r="Z126" s="132"/>
      <c r="AJ126" s="281"/>
      <c r="AK126" s="281"/>
      <c r="AL126" s="281"/>
      <c r="AM126" s="281"/>
      <c r="AN126" s="281"/>
    </row>
    <row r="127" spans="1:40">
      <c r="A127" s="847"/>
      <c r="B127" s="326" t="s">
        <v>1167</v>
      </c>
      <c r="C127" s="673">
        <f>'Inputs and eligible population'!I63</f>
        <v>0</v>
      </c>
      <c r="D127" s="127">
        <f>'Financial impact (cash)'!$D$17*'Capacity (local prices)'!$C127</f>
        <v>0</v>
      </c>
      <c r="E127" s="127">
        <f>'Financial impact (cash)'!$D$17*'Capacity (local prices)'!$C127</f>
        <v>0</v>
      </c>
      <c r="F127" s="127">
        <f>'Financial impact (cash)'!$D$17*'Capacity (local prices)'!$C127</f>
        <v>0</v>
      </c>
      <c r="G127" s="127">
        <f>'Financial impact (cash)'!$D$17*'Capacity (local prices)'!$C127</f>
        <v>0</v>
      </c>
      <c r="H127" s="127">
        <f>'Financial impact (cash)'!$D$17*'Capacity (local prices)'!$C127</f>
        <v>0</v>
      </c>
      <c r="I127" s="127">
        <f>'Financial impact (cash)'!$E$17*'Capacity (local prices)'!$C127</f>
        <v>0</v>
      </c>
      <c r="J127" s="856"/>
      <c r="K127" s="863"/>
      <c r="L127" s="864"/>
      <c r="M127" s="864"/>
      <c r="N127" s="864"/>
      <c r="O127" s="864"/>
      <c r="P127" s="864"/>
      <c r="Q127" s="864"/>
      <c r="R127" s="132"/>
      <c r="S127" s="132"/>
      <c r="T127" s="132"/>
      <c r="U127" s="132"/>
      <c r="V127" s="132"/>
      <c r="W127" s="132"/>
      <c r="X127" s="132"/>
      <c r="Y127" s="132"/>
      <c r="Z127" s="132"/>
      <c r="AJ127" s="281"/>
      <c r="AK127" s="281"/>
      <c r="AL127" s="281"/>
      <c r="AM127" s="281"/>
      <c r="AN127" s="281"/>
    </row>
    <row r="128" spans="1:40">
      <c r="A128" s="847"/>
      <c r="B128" s="278"/>
      <c r="C128" s="205" t="s">
        <v>1075</v>
      </c>
      <c r="D128" s="184">
        <f>SUM(D103:D127)</f>
        <v>0</v>
      </c>
      <c r="E128" s="184">
        <f>SUM(E103:E127)</f>
        <v>0</v>
      </c>
      <c r="F128" s="184">
        <f t="shared" ref="F128:I128" si="49">SUM(F103:F127)</f>
        <v>0</v>
      </c>
      <c r="G128" s="184">
        <f t="shared" si="49"/>
        <v>0</v>
      </c>
      <c r="H128" s="184">
        <f t="shared" si="49"/>
        <v>0</v>
      </c>
      <c r="I128" s="184">
        <f t="shared" si="49"/>
        <v>0</v>
      </c>
      <c r="J128" s="847"/>
      <c r="K128" s="847"/>
      <c r="L128" s="866"/>
      <c r="M128" s="866"/>
      <c r="N128" s="866"/>
      <c r="O128" s="866"/>
      <c r="P128" s="866"/>
      <c r="Q128" s="866"/>
      <c r="V128" s="132"/>
    </row>
    <row r="129" spans="1:40">
      <c r="A129" s="847"/>
      <c r="B129" s="289"/>
      <c r="C129" s="220"/>
      <c r="D129" s="280" t="s">
        <v>1185</v>
      </c>
      <c r="E129" s="184">
        <f>E128-$D$128</f>
        <v>0</v>
      </c>
      <c r="F129" s="184">
        <f t="shared" ref="F129:I129" si="50">F128-$D$128</f>
        <v>0</v>
      </c>
      <c r="G129" s="184">
        <f t="shared" si="50"/>
        <v>0</v>
      </c>
      <c r="H129" s="184">
        <f t="shared" si="50"/>
        <v>0</v>
      </c>
      <c r="I129" s="184">
        <f t="shared" si="50"/>
        <v>0</v>
      </c>
      <c r="J129" s="847"/>
      <c r="K129" s="847"/>
      <c r="L129" s="847"/>
      <c r="M129" s="866"/>
      <c r="N129" s="866"/>
      <c r="O129" s="866"/>
      <c r="P129" s="866"/>
      <c r="Q129" s="866"/>
      <c r="V129" s="132"/>
    </row>
    <row r="130" spans="1:40">
      <c r="A130" s="847"/>
      <c r="B130" s="871"/>
      <c r="C130" s="853"/>
      <c r="D130" s="856"/>
      <c r="E130" s="856"/>
      <c r="F130" s="856"/>
      <c r="G130" s="856"/>
      <c r="H130" s="856"/>
      <c r="I130" s="856"/>
      <c r="J130" s="856"/>
      <c r="K130" s="856"/>
      <c r="L130" s="856"/>
      <c r="M130" s="856"/>
      <c r="N130" s="856"/>
      <c r="O130" s="856"/>
      <c r="P130" s="856"/>
      <c r="Q130" s="856"/>
      <c r="R130" s="132"/>
      <c r="S130" s="132"/>
      <c r="T130" s="132"/>
      <c r="U130" s="132"/>
      <c r="V130" s="132"/>
      <c r="W130" s="132"/>
      <c r="X130" s="132"/>
      <c r="Y130" s="132"/>
      <c r="Z130" s="132"/>
      <c r="AJ130" s="281"/>
      <c r="AK130" s="281"/>
      <c r="AL130" s="281"/>
      <c r="AM130" s="281"/>
      <c r="AN130" s="281"/>
    </row>
    <row r="131" spans="1:40">
      <c r="A131" s="283"/>
      <c r="B131" s="764" t="s">
        <v>838</v>
      </c>
      <c r="C131" s="767"/>
      <c r="D131" s="216"/>
      <c r="E131" s="216"/>
      <c r="F131" s="216"/>
      <c r="G131" s="216"/>
      <c r="H131" s="765"/>
      <c r="I131" s="765"/>
      <c r="J131" s="283"/>
      <c r="K131" s="283"/>
      <c r="L131" s="216"/>
      <c r="M131" s="216"/>
      <c r="N131" s="283"/>
      <c r="O131" s="216"/>
      <c r="P131" s="216"/>
      <c r="Q131" s="216"/>
      <c r="V131" s="132"/>
    </row>
    <row r="132" spans="1:40">
      <c r="A132" s="283"/>
      <c r="B132" s="366" t="s">
        <v>1169</v>
      </c>
      <c r="C132" s="367"/>
      <c r="D132" s="367"/>
      <c r="E132" s="367"/>
      <c r="F132" s="367"/>
      <c r="G132" s="367"/>
      <c r="H132" s="367"/>
      <c r="I132" s="215"/>
      <c r="J132" s="283"/>
      <c r="K132" s="283"/>
      <c r="L132" s="283"/>
      <c r="M132" s="283"/>
      <c r="N132" s="283"/>
      <c r="O132" s="283"/>
      <c r="P132" s="283"/>
      <c r="Q132" s="283"/>
      <c r="V132" s="132"/>
    </row>
    <row r="133" spans="1:40" ht="60">
      <c r="A133" s="283"/>
      <c r="B133" s="274" t="s">
        <v>757</v>
      </c>
      <c r="C133" s="165" t="s">
        <v>1170</v>
      </c>
      <c r="D133" s="392" t="s">
        <v>825</v>
      </c>
      <c r="E133" s="251" t="s">
        <v>674</v>
      </c>
      <c r="F133" s="251" t="s">
        <v>675</v>
      </c>
      <c r="G133" s="164" t="s">
        <v>792</v>
      </c>
      <c r="H133" s="164" t="s">
        <v>793</v>
      </c>
      <c r="I133" s="251" t="s">
        <v>794</v>
      </c>
      <c r="J133" s="283"/>
      <c r="K133" s="872"/>
      <c r="L133" s="873"/>
      <c r="M133" s="874"/>
      <c r="N133" s="874"/>
      <c r="O133" s="874"/>
      <c r="P133" s="874"/>
      <c r="Q133" s="874"/>
      <c r="V133" s="132"/>
    </row>
    <row r="134" spans="1:40">
      <c r="A134" s="283"/>
      <c r="B134" s="326" t="s">
        <v>1143</v>
      </c>
      <c r="C134" s="673">
        <f>'Inputs and eligible population'!F$103</f>
        <v>1</v>
      </c>
      <c r="D134" s="127">
        <f>'Financial impact (cash)'!D13*'Capacity (local prices)'!$C134*'Inputs and eligible population'!$E$59</f>
        <v>0</v>
      </c>
      <c r="E134" s="127">
        <f>'Financial impact (cash)'!$E$13*'Inputs and eligible population'!$F$59*C134</f>
        <v>0</v>
      </c>
      <c r="F134" s="127">
        <f>'Financial impact (cash)'!F13*'Inputs and eligible population'!$E$59*C134</f>
        <v>0</v>
      </c>
      <c r="G134" s="127">
        <f>'Financial impact (cash)'!$G$13*'Inputs and eligible population'!$F$59*C134</f>
        <v>0</v>
      </c>
      <c r="H134" s="127">
        <f>'Financial impact (cash)'!H13*C134*'Inputs and eligible population'!$E$59</f>
        <v>0</v>
      </c>
      <c r="I134" s="127">
        <f>'Financial impact (cash)'!I13*C134*'Inputs and eligible population'!$E$59</f>
        <v>0</v>
      </c>
      <c r="J134" s="216"/>
      <c r="K134" s="875"/>
      <c r="L134" s="876"/>
      <c r="M134" s="876"/>
      <c r="N134" s="876"/>
      <c r="O134" s="876"/>
      <c r="P134" s="876"/>
      <c r="Q134" s="876"/>
      <c r="R134" s="132"/>
      <c r="S134" s="132"/>
      <c r="T134" s="132"/>
      <c r="U134" s="132"/>
      <c r="V134" s="132"/>
      <c r="W134" s="132"/>
      <c r="X134" s="132"/>
      <c r="Y134" s="132"/>
      <c r="Z134" s="132"/>
      <c r="AJ134" s="281"/>
      <c r="AK134" s="281"/>
      <c r="AL134" s="281"/>
      <c r="AM134" s="281"/>
      <c r="AN134" s="281"/>
    </row>
    <row r="135" spans="1:40">
      <c r="A135" s="283"/>
      <c r="B135" s="326" t="s">
        <v>1144</v>
      </c>
      <c r="C135" s="673">
        <f>'Inputs and eligible population'!F$103</f>
        <v>1</v>
      </c>
      <c r="D135" s="127">
        <f>'Financial impact (cash)'!$D$13*'Inputs and eligible population'!$F$59*'Capacity (local prices)'!$C$37</f>
        <v>0</v>
      </c>
      <c r="E135" s="127">
        <f>'Financial impact (cash)'!$D$13*'Inputs and eligible population'!$F$59*C135</f>
        <v>0</v>
      </c>
      <c r="F135" s="127">
        <f>'Financial impact (cash)'!$E$13*'Inputs and eligible population'!$F$59*C135</f>
        <v>0</v>
      </c>
      <c r="G135" s="127">
        <f>'Financial impact (cash)'!$F$13*'Inputs and eligible population'!$F$59*C135</f>
        <v>0</v>
      </c>
      <c r="H135" s="127">
        <f>'Financial impact (cash)'!$G$13*'Inputs and eligible population'!$F$59*C135</f>
        <v>0</v>
      </c>
      <c r="I135" s="127">
        <f>'Financial impact (cash)'!$H$13*'Inputs and eligible population'!$F$59*C135</f>
        <v>0</v>
      </c>
      <c r="J135" s="216"/>
      <c r="K135" s="875"/>
      <c r="L135" s="876"/>
      <c r="M135" s="876"/>
      <c r="N135" s="876"/>
      <c r="O135" s="876"/>
      <c r="P135" s="876"/>
      <c r="Q135" s="876"/>
      <c r="R135" s="132"/>
      <c r="S135" s="132"/>
      <c r="T135" s="132"/>
      <c r="U135" s="132"/>
      <c r="V135" s="132"/>
      <c r="W135" s="132"/>
      <c r="X135" s="132"/>
      <c r="Y135" s="132"/>
      <c r="Z135" s="132"/>
      <c r="AJ135" s="281"/>
      <c r="AK135" s="281"/>
      <c r="AL135" s="281"/>
      <c r="AM135" s="281"/>
      <c r="AN135" s="281"/>
    </row>
    <row r="136" spans="1:40">
      <c r="A136" s="283"/>
      <c r="B136" s="326" t="s">
        <v>1145</v>
      </c>
      <c r="C136" s="673">
        <f>'Inputs and eligible population'!F$103</f>
        <v>1</v>
      </c>
      <c r="D136" s="127">
        <f>'Financial impact (cash)'!$D$13*'Inputs and eligible population'!$G$59*C136</f>
        <v>0</v>
      </c>
      <c r="E136" s="127">
        <f>'Financial impact (cash)'!$D$13*'Inputs and eligible population'!$G$59*C136</f>
        <v>0</v>
      </c>
      <c r="F136" s="127">
        <f>'Financial impact (cash)'!$D$13*'Inputs and eligible population'!$G$59*C136</f>
        <v>0</v>
      </c>
      <c r="G136" s="127">
        <f>'Financial impact (cash)'!$E$13*'Inputs and eligible population'!$G$59*C136</f>
        <v>0</v>
      </c>
      <c r="H136" s="127">
        <f>'Financial impact (cash)'!$F$13*'Inputs and eligible population'!$G$59*C136</f>
        <v>0</v>
      </c>
      <c r="I136" s="127">
        <f>'Financial impact (cash)'!$G$13*'Inputs and eligible population'!$G$59*C136</f>
        <v>0</v>
      </c>
      <c r="J136" s="216"/>
      <c r="K136" s="875"/>
      <c r="L136" s="876"/>
      <c r="M136" s="876"/>
      <c r="N136" s="876"/>
      <c r="O136" s="876"/>
      <c r="P136" s="876"/>
      <c r="Q136" s="876"/>
      <c r="R136" s="132"/>
      <c r="S136" s="132"/>
      <c r="T136" s="132"/>
      <c r="U136" s="132"/>
      <c r="V136" s="132"/>
      <c r="W136" s="132"/>
      <c r="X136" s="132"/>
      <c r="Y136" s="132"/>
      <c r="Z136" s="132"/>
      <c r="AJ136" s="281"/>
      <c r="AK136" s="281"/>
      <c r="AL136" s="281"/>
      <c r="AM136" s="281"/>
      <c r="AN136" s="281"/>
    </row>
    <row r="137" spans="1:40">
      <c r="A137" s="283"/>
      <c r="B137" s="326" t="s">
        <v>1146</v>
      </c>
      <c r="C137" s="673">
        <f>'Inputs and eligible population'!F$103</f>
        <v>1</v>
      </c>
      <c r="D137" s="127">
        <f>'Financial impact (cash)'!$D$13*'Inputs and eligible population'!$H$59*C137</f>
        <v>0</v>
      </c>
      <c r="E137" s="127">
        <f>'Financial impact (cash)'!$D$13*'Inputs and eligible population'!$H$59*C137</f>
        <v>0</v>
      </c>
      <c r="F137" s="127">
        <f>'Financial impact (cash)'!$D$13*'Inputs and eligible population'!$H$59*C137</f>
        <v>0</v>
      </c>
      <c r="G137" s="127">
        <f>'Financial impact (cash)'!$D$13*'Inputs and eligible population'!$H$59*C137</f>
        <v>0</v>
      </c>
      <c r="H137" s="127">
        <f>'Financial impact (cash)'!$E$13*'Inputs and eligible population'!$H$59*C137</f>
        <v>0</v>
      </c>
      <c r="I137" s="127">
        <f>'Financial impact (cash)'!$F$13*'Inputs and eligible population'!$H$59*C137</f>
        <v>0</v>
      </c>
      <c r="J137" s="216"/>
      <c r="K137" s="875"/>
      <c r="L137" s="876"/>
      <c r="M137" s="876"/>
      <c r="N137" s="876"/>
      <c r="O137" s="876"/>
      <c r="P137" s="876"/>
      <c r="Q137" s="876"/>
      <c r="R137" s="132"/>
      <c r="S137" s="132"/>
      <c r="T137" s="132"/>
      <c r="U137" s="132"/>
      <c r="V137" s="132"/>
      <c r="W137" s="132"/>
      <c r="X137" s="132"/>
      <c r="Y137" s="132"/>
      <c r="Z137" s="132"/>
      <c r="AJ137" s="281"/>
      <c r="AK137" s="281"/>
      <c r="AL137" s="281"/>
      <c r="AM137" s="281"/>
      <c r="AN137" s="281"/>
    </row>
    <row r="138" spans="1:40">
      <c r="A138" s="283"/>
      <c r="B138" s="326" t="s">
        <v>1147</v>
      </c>
      <c r="C138" s="673">
        <f>'Inputs and eligible population'!F$103</f>
        <v>1</v>
      </c>
      <c r="D138" s="127">
        <f>'Financial impact (cash)'!$D$13*'Inputs and eligible population'!$H$59*C138</f>
        <v>0</v>
      </c>
      <c r="E138" s="127">
        <f>'Financial impact (cash)'!$D$13*'Inputs and eligible population'!$H$59*C138</f>
        <v>0</v>
      </c>
      <c r="F138" s="127">
        <f>'Financial impact (cash)'!$D$13*'Inputs and eligible population'!$H$59*C138</f>
        <v>0</v>
      </c>
      <c r="G138" s="127">
        <f>'Financial impact (cash)'!$D$13*'Inputs and eligible population'!$H$59*C138</f>
        <v>0</v>
      </c>
      <c r="H138" s="127">
        <f>'Financial impact (cash)'!$D$13*'Inputs and eligible population'!$H$59*C138</f>
        <v>0</v>
      </c>
      <c r="I138" s="127">
        <f>'Financial impact (cash)'!$E$13*'Inputs and eligible population'!$H$59*C138</f>
        <v>0</v>
      </c>
      <c r="J138" s="216"/>
      <c r="K138" s="875"/>
      <c r="L138" s="876"/>
      <c r="M138" s="876"/>
      <c r="N138" s="876"/>
      <c r="O138" s="876"/>
      <c r="P138" s="876"/>
      <c r="Q138" s="876"/>
      <c r="R138" s="132"/>
      <c r="S138" s="132"/>
      <c r="T138" s="132"/>
      <c r="U138" s="132"/>
      <c r="V138" s="132"/>
      <c r="W138" s="132"/>
      <c r="X138" s="132"/>
      <c r="Y138" s="132"/>
      <c r="Z138" s="132"/>
      <c r="AJ138" s="281"/>
      <c r="AK138" s="281"/>
      <c r="AL138" s="281"/>
      <c r="AM138" s="281"/>
      <c r="AN138" s="281"/>
    </row>
    <row r="139" spans="1:40">
      <c r="A139" s="283"/>
      <c r="B139" s="326" t="s">
        <v>1148</v>
      </c>
      <c r="C139" s="673">
        <f>'Inputs and eligible population'!F$103</f>
        <v>1</v>
      </c>
      <c r="D139" s="127">
        <f>'Financial impact (cash)'!D13*$C139*'Inputs and eligible population'!$E$60</f>
        <v>0</v>
      </c>
      <c r="E139" s="127">
        <f>'Financial impact (cash)'!$E$14*'Inputs and eligible population'!$F$60*C139</f>
        <v>0</v>
      </c>
      <c r="F139" s="127">
        <f>'Financial impact (cash)'!$F$14*'Inputs and eligible population'!$F$60*C139</f>
        <v>0</v>
      </c>
      <c r="G139" s="127">
        <f>'Financial impact (cash)'!$G$14*'Inputs and eligible population'!$F$60*C139</f>
        <v>0</v>
      </c>
      <c r="H139" s="127">
        <f>'Financial impact (cash)'!$H$14*'Inputs and eligible population'!$F$60*C139</f>
        <v>0</v>
      </c>
      <c r="I139" s="127">
        <f>'Financial impact (cash)'!I14*C139*'Inputs and eligible population'!$E$60</f>
        <v>0</v>
      </c>
      <c r="J139" s="216"/>
      <c r="K139" s="875"/>
      <c r="L139" s="876"/>
      <c r="M139" s="876"/>
      <c r="N139" s="876"/>
      <c r="O139" s="876"/>
      <c r="P139" s="876"/>
      <c r="Q139" s="876"/>
      <c r="R139" s="132"/>
      <c r="S139" s="132"/>
      <c r="T139" s="132"/>
      <c r="U139" s="132"/>
      <c r="V139" s="132"/>
      <c r="W139" s="132"/>
      <c r="X139" s="132"/>
      <c r="Y139" s="132"/>
      <c r="Z139" s="132"/>
      <c r="AJ139" s="281"/>
      <c r="AK139" s="281"/>
      <c r="AL139" s="281"/>
      <c r="AM139" s="281"/>
      <c r="AN139" s="281"/>
    </row>
    <row r="140" spans="1:40">
      <c r="A140" s="283"/>
      <c r="B140" s="326" t="s">
        <v>1149</v>
      </c>
      <c r="C140" s="673">
        <f>'Inputs and eligible population'!F$103</f>
        <v>1</v>
      </c>
      <c r="D140" s="127">
        <f>'Financial impact (cash)'!$D$14*'Inputs and eligible population'!$F$60*C140</f>
        <v>0</v>
      </c>
      <c r="E140" s="127">
        <f>'Financial impact (cash)'!$D$14*'Inputs and eligible population'!$F$60*C140</f>
        <v>0</v>
      </c>
      <c r="F140" s="127">
        <f>'Financial impact (cash)'!$E$14*'Inputs and eligible population'!$F$60*C140</f>
        <v>0</v>
      </c>
      <c r="G140" s="127">
        <f>'Financial impact (cash)'!$F$14*'Inputs and eligible population'!$F$60*C140</f>
        <v>0</v>
      </c>
      <c r="H140" s="127">
        <f>'Financial impact (cash)'!$G$14*'Inputs and eligible population'!$F$60*C140</f>
        <v>0</v>
      </c>
      <c r="I140" s="127">
        <f>'Financial impact (cash)'!$H$14*'Inputs and eligible population'!$F$60*C140</f>
        <v>0</v>
      </c>
      <c r="J140" s="216"/>
      <c r="K140" s="875"/>
      <c r="L140" s="876"/>
      <c r="M140" s="876"/>
      <c r="N140" s="876"/>
      <c r="O140" s="876"/>
      <c r="P140" s="876"/>
      <c r="Q140" s="876"/>
      <c r="R140" s="132"/>
      <c r="S140" s="132"/>
      <c r="T140" s="132"/>
      <c r="U140" s="132"/>
      <c r="V140" s="132"/>
      <c r="W140" s="132"/>
      <c r="X140" s="132"/>
      <c r="Y140" s="132"/>
      <c r="Z140" s="132"/>
      <c r="AJ140" s="281"/>
      <c r="AK140" s="281"/>
      <c r="AL140" s="281"/>
      <c r="AM140" s="281"/>
      <c r="AN140" s="281"/>
    </row>
    <row r="141" spans="1:40">
      <c r="A141" s="283"/>
      <c r="B141" s="326" t="s">
        <v>1150</v>
      </c>
      <c r="C141" s="673">
        <f>'Inputs and eligible population'!F$103</f>
        <v>1</v>
      </c>
      <c r="D141" s="127">
        <f>'Financial impact (cash)'!$D$14*'Inputs and eligible population'!$G$60*C141</f>
        <v>0</v>
      </c>
      <c r="E141" s="127">
        <f>'Financial impact (cash)'!$D$14*'Inputs and eligible population'!$G$60*C141</f>
        <v>0</v>
      </c>
      <c r="F141" s="127">
        <f>'Financial impact (cash)'!$D$14*'Inputs and eligible population'!$G$60*C141</f>
        <v>0</v>
      </c>
      <c r="G141" s="127">
        <f>'Financial impact (cash)'!$E$14*'Inputs and eligible population'!$G$60*C141</f>
        <v>0</v>
      </c>
      <c r="H141" s="127">
        <f>'Financial impact (cash)'!$F$14*'Inputs and eligible population'!$G$60*C141</f>
        <v>0</v>
      </c>
      <c r="I141" s="127">
        <f>'Financial impact (cash)'!$G$14*'Inputs and eligible population'!$G$60*C141</f>
        <v>0</v>
      </c>
      <c r="J141" s="216"/>
      <c r="K141" s="875"/>
      <c r="L141" s="876"/>
      <c r="M141" s="876"/>
      <c r="N141" s="876"/>
      <c r="O141" s="876"/>
      <c r="P141" s="876"/>
      <c r="Q141" s="876"/>
      <c r="R141" s="132"/>
      <c r="S141" s="132"/>
      <c r="T141" s="132"/>
      <c r="U141" s="132"/>
      <c r="V141" s="132"/>
      <c r="W141" s="132"/>
      <c r="X141" s="132"/>
      <c r="Y141" s="132"/>
      <c r="Z141" s="132"/>
      <c r="AJ141" s="281"/>
      <c r="AK141" s="281"/>
      <c r="AL141" s="281"/>
      <c r="AM141" s="281"/>
      <c r="AN141" s="281"/>
    </row>
    <row r="142" spans="1:40">
      <c r="A142" s="283"/>
      <c r="B142" s="326" t="s">
        <v>1151</v>
      </c>
      <c r="C142" s="673">
        <f>'Inputs and eligible population'!F$103</f>
        <v>1</v>
      </c>
      <c r="D142" s="127">
        <f>'Financial impact (cash)'!$D$14*'Inputs and eligible population'!$H$60*C142</f>
        <v>0</v>
      </c>
      <c r="E142" s="127">
        <f>'Financial impact (cash)'!$D$14*'Inputs and eligible population'!$H$60*C142</f>
        <v>0</v>
      </c>
      <c r="F142" s="127">
        <f>'Financial impact (cash)'!$D$14*'Inputs and eligible population'!$H$60*C142</f>
        <v>0</v>
      </c>
      <c r="G142" s="127">
        <f>'Financial impact (cash)'!$D$14*'Inputs and eligible population'!$H$60*C142</f>
        <v>0</v>
      </c>
      <c r="H142" s="127">
        <f>'Financial impact (cash)'!$E$14*'Inputs and eligible population'!$H$60*C142</f>
        <v>0</v>
      </c>
      <c r="I142" s="127">
        <f>'Financial impact (cash)'!$F$14*'Inputs and eligible population'!$H$60*C142</f>
        <v>0</v>
      </c>
      <c r="J142" s="216"/>
      <c r="K142" s="875"/>
      <c r="L142" s="876"/>
      <c r="M142" s="876"/>
      <c r="N142" s="876"/>
      <c r="O142" s="876"/>
      <c r="P142" s="876"/>
      <c r="Q142" s="876"/>
      <c r="R142" s="132"/>
      <c r="S142" s="132"/>
      <c r="T142" s="132"/>
      <c r="U142" s="132"/>
      <c r="V142" s="132"/>
      <c r="W142" s="132"/>
      <c r="X142" s="132"/>
      <c r="Y142" s="132"/>
      <c r="Z142" s="132"/>
      <c r="AJ142" s="281"/>
      <c r="AK142" s="281"/>
      <c r="AL142" s="281"/>
      <c r="AM142" s="281"/>
      <c r="AN142" s="281"/>
    </row>
    <row r="143" spans="1:40">
      <c r="A143" s="283"/>
      <c r="B143" s="326" t="s">
        <v>1152</v>
      </c>
      <c r="C143" s="673">
        <f>'Inputs and eligible population'!F$103</f>
        <v>1</v>
      </c>
      <c r="D143" s="127">
        <f>'Financial impact (cash)'!$D$14*'Inputs and eligible population'!$I$60*C143</f>
        <v>0</v>
      </c>
      <c r="E143" s="127">
        <f>'Financial impact (cash)'!$D$14*'Inputs and eligible population'!$I$60*C143</f>
        <v>0</v>
      </c>
      <c r="F143" s="127">
        <f>'Financial impact (cash)'!$D$14*'Inputs and eligible population'!$I$60*C143</f>
        <v>0</v>
      </c>
      <c r="G143" s="127">
        <f>'Financial impact (cash)'!$D$14*'Inputs and eligible population'!$I$60*C143</f>
        <v>0</v>
      </c>
      <c r="H143" s="127">
        <f>'Financial impact (cash)'!$D$14*'Inputs and eligible population'!$I$60*C143</f>
        <v>0</v>
      </c>
      <c r="I143" s="127">
        <f>'Financial impact (cash)'!$E$14*'Inputs and eligible population'!$I$60*C143</f>
        <v>0</v>
      </c>
      <c r="J143" s="216"/>
      <c r="K143" s="875"/>
      <c r="L143" s="876"/>
      <c r="M143" s="876"/>
      <c r="N143" s="876"/>
      <c r="O143" s="876"/>
      <c r="P143" s="876"/>
      <c r="Q143" s="876"/>
      <c r="R143" s="132"/>
      <c r="S143" s="132"/>
      <c r="T143" s="132"/>
      <c r="U143" s="132"/>
      <c r="V143" s="132"/>
      <c r="W143" s="132"/>
      <c r="X143" s="132"/>
      <c r="Y143" s="132"/>
      <c r="Z143" s="132"/>
      <c r="AJ143" s="281"/>
      <c r="AK143" s="281"/>
      <c r="AL143" s="281"/>
      <c r="AM143" s="281"/>
      <c r="AN143" s="281"/>
    </row>
    <row r="144" spans="1:40">
      <c r="A144" s="283"/>
      <c r="B144" s="326" t="s">
        <v>1153</v>
      </c>
      <c r="C144" s="673">
        <f>'Inputs and eligible population'!$G$103</f>
        <v>1</v>
      </c>
      <c r="D144" s="127">
        <f>'Financial impact (cash)'!$D$15*'Inputs and eligible population'!$F$61*C144</f>
        <v>0</v>
      </c>
      <c r="E144" s="127">
        <f>'Financial impact (cash)'!$E$15*'Inputs and eligible population'!$F$61*C144</f>
        <v>0</v>
      </c>
      <c r="F144" s="127">
        <f>'Financial impact (cash)'!$F$15*'Inputs and eligible population'!$F$61*C144</f>
        <v>0</v>
      </c>
      <c r="G144" s="127">
        <f>'Financial impact (cash)'!G15*C144*'Inputs and eligible population'!$E$61</f>
        <v>0</v>
      </c>
      <c r="H144" s="127">
        <f>'Financial impact (cash)'!H15*C144*'Inputs and eligible population'!$E$61</f>
        <v>0</v>
      </c>
      <c r="I144" s="127">
        <f>'Financial impact (cash)'!I15*C144*'Inputs and eligible population'!$E$61</f>
        <v>0</v>
      </c>
      <c r="J144" s="216"/>
      <c r="K144" s="875"/>
      <c r="L144" s="876"/>
      <c r="M144" s="876"/>
      <c r="N144" s="876"/>
      <c r="O144" s="876"/>
      <c r="P144" s="876"/>
      <c r="Q144" s="876"/>
      <c r="R144" s="132"/>
      <c r="S144" s="132"/>
      <c r="T144" s="132"/>
      <c r="U144" s="132"/>
      <c r="V144" s="132"/>
      <c r="W144" s="132"/>
      <c r="X144" s="132"/>
      <c r="Y144" s="132"/>
      <c r="Z144" s="132"/>
      <c r="AJ144" s="281"/>
      <c r="AK144" s="281"/>
      <c r="AL144" s="281"/>
      <c r="AM144" s="281"/>
      <c r="AN144" s="281"/>
    </row>
    <row r="145" spans="1:40">
      <c r="A145" s="283"/>
      <c r="B145" s="326" t="s">
        <v>1154</v>
      </c>
      <c r="C145" s="673">
        <f>'Inputs and eligible population'!$G$103</f>
        <v>1</v>
      </c>
      <c r="D145" s="127">
        <f>'Financial impact (cash)'!$D$15*'Inputs and eligible population'!$F$61*C145</f>
        <v>0</v>
      </c>
      <c r="E145" s="127">
        <f>'Financial impact (cash)'!$D$15*'Inputs and eligible population'!$F$61*C145</f>
        <v>0</v>
      </c>
      <c r="F145" s="127">
        <f>'Financial impact (cash)'!$E$15*'Inputs and eligible population'!$F$61*C145</f>
        <v>0</v>
      </c>
      <c r="G145" s="127">
        <f>'Financial impact (cash)'!$F$15*'Inputs and eligible population'!$F$61*C145</f>
        <v>0</v>
      </c>
      <c r="H145" s="127">
        <f>'Financial impact (cash)'!$G$15*'Inputs and eligible population'!$F$61*C145</f>
        <v>0</v>
      </c>
      <c r="I145" s="127">
        <f>'Financial impact (cash)'!$H$15*'Inputs and eligible population'!$F$61*C145</f>
        <v>0</v>
      </c>
      <c r="J145" s="216"/>
      <c r="K145" s="875"/>
      <c r="L145" s="876"/>
      <c r="M145" s="876"/>
      <c r="N145" s="876"/>
      <c r="O145" s="876"/>
      <c r="P145" s="876"/>
      <c r="Q145" s="876"/>
      <c r="R145" s="132"/>
      <c r="S145" s="132"/>
      <c r="T145" s="132"/>
      <c r="U145" s="132"/>
      <c r="V145" s="132"/>
      <c r="W145" s="132"/>
      <c r="X145" s="132"/>
      <c r="Y145" s="132"/>
      <c r="Z145" s="132"/>
      <c r="AJ145" s="281"/>
      <c r="AK145" s="281"/>
      <c r="AL145" s="281"/>
      <c r="AM145" s="281"/>
      <c r="AN145" s="281"/>
    </row>
    <row r="146" spans="1:40">
      <c r="A146" s="283"/>
      <c r="B146" s="326" t="s">
        <v>1155</v>
      </c>
      <c r="C146" s="673">
        <f>'Inputs and eligible population'!$G$103</f>
        <v>1</v>
      </c>
      <c r="D146" s="127">
        <f>'Financial impact (cash)'!$D$15*'Inputs and eligible population'!$G$61*C146</f>
        <v>0</v>
      </c>
      <c r="E146" s="127">
        <f>'Financial impact (cash)'!$D$15*'Inputs and eligible population'!$G$61*C146</f>
        <v>0</v>
      </c>
      <c r="F146" s="127">
        <f>'Financial impact (cash)'!$D$15*'Inputs and eligible population'!$G$61*C146</f>
        <v>0</v>
      </c>
      <c r="G146" s="127">
        <f>'Financial impact (cash)'!$E$15*'Inputs and eligible population'!$G$61*C146</f>
        <v>0</v>
      </c>
      <c r="H146" s="127">
        <f>'Financial impact (cash)'!$F$15*'Inputs and eligible population'!$G$61*C146</f>
        <v>0</v>
      </c>
      <c r="I146" s="127">
        <f>'Financial impact (cash)'!$G$15*'Inputs and eligible population'!$G$61*C146</f>
        <v>0</v>
      </c>
      <c r="J146" s="216"/>
      <c r="K146" s="875"/>
      <c r="L146" s="876"/>
      <c r="M146" s="876"/>
      <c r="N146" s="876"/>
      <c r="O146" s="876"/>
      <c r="P146" s="876"/>
      <c r="Q146" s="876"/>
      <c r="R146" s="132"/>
      <c r="S146" s="132"/>
      <c r="T146" s="132"/>
      <c r="U146" s="132"/>
      <c r="V146" s="132"/>
      <c r="W146" s="132"/>
      <c r="X146" s="132"/>
      <c r="Y146" s="132"/>
      <c r="Z146" s="132"/>
      <c r="AJ146" s="281"/>
      <c r="AK146" s="281"/>
      <c r="AL146" s="281"/>
      <c r="AM146" s="281"/>
      <c r="AN146" s="281"/>
    </row>
    <row r="147" spans="1:40">
      <c r="A147" s="283"/>
      <c r="B147" s="326" t="s">
        <v>1156</v>
      </c>
      <c r="C147" s="673">
        <f>'Inputs and eligible population'!$G$103</f>
        <v>1</v>
      </c>
      <c r="D147" s="127">
        <f>'Financial impact (cash)'!$D$15*'Inputs and eligible population'!$H$61*C147</f>
        <v>0</v>
      </c>
      <c r="E147" s="127">
        <f>'Financial impact (cash)'!$D$15*'Inputs and eligible population'!$H$61*C147</f>
        <v>0</v>
      </c>
      <c r="F147" s="127">
        <f>'Financial impact (cash)'!$D$15*'Inputs and eligible population'!$H$61*C147</f>
        <v>0</v>
      </c>
      <c r="G147" s="127">
        <f>'Financial impact (cash)'!$D$15*'Inputs and eligible population'!$H$61*C147</f>
        <v>0</v>
      </c>
      <c r="H147" s="127">
        <f>'Financial impact (cash)'!$E$15*'Inputs and eligible population'!$H$61*C147</f>
        <v>0</v>
      </c>
      <c r="I147" s="127">
        <f>'Financial impact (cash)'!$F$15*'Inputs and eligible population'!$H$61*C147</f>
        <v>0</v>
      </c>
      <c r="J147" s="216"/>
      <c r="K147" s="875"/>
      <c r="L147" s="876"/>
      <c r="M147" s="876"/>
      <c r="N147" s="876"/>
      <c r="O147" s="876"/>
      <c r="P147" s="876"/>
      <c r="Q147" s="876"/>
      <c r="R147" s="132"/>
      <c r="S147" s="132"/>
      <c r="T147" s="132"/>
      <c r="U147" s="132"/>
      <c r="V147" s="132"/>
      <c r="W147" s="132"/>
      <c r="X147" s="132"/>
      <c r="Y147" s="132"/>
      <c r="Z147" s="132"/>
      <c r="AJ147" s="281"/>
      <c r="AK147" s="281"/>
      <c r="AL147" s="281"/>
      <c r="AM147" s="281"/>
      <c r="AN147" s="281"/>
    </row>
    <row r="148" spans="1:40">
      <c r="A148" s="283"/>
      <c r="B148" s="326" t="s">
        <v>1157</v>
      </c>
      <c r="C148" s="673">
        <f>'Inputs and eligible population'!$G$103</f>
        <v>1</v>
      </c>
      <c r="D148" s="127">
        <f>'Financial impact (cash)'!$D$15*'Inputs and eligible population'!$I$61*C148</f>
        <v>0</v>
      </c>
      <c r="E148" s="127">
        <f>'Financial impact (cash)'!$D$15*'Inputs and eligible population'!$I$61*C148</f>
        <v>0</v>
      </c>
      <c r="F148" s="127">
        <f>'Financial impact (cash)'!$D$15*'Inputs and eligible population'!$I$61*C148</f>
        <v>0</v>
      </c>
      <c r="G148" s="127">
        <f>'Financial impact (cash)'!$D$15*'Inputs and eligible population'!$I$61*C148</f>
        <v>0</v>
      </c>
      <c r="H148" s="127">
        <f>'Financial impact (cash)'!$D$15*'Inputs and eligible population'!$I$61*C148</f>
        <v>0</v>
      </c>
      <c r="I148" s="127">
        <f>'Financial impact (cash)'!$E$15*'Inputs and eligible population'!$I$61*C148</f>
        <v>0</v>
      </c>
      <c r="J148" s="216"/>
      <c r="K148" s="875"/>
      <c r="L148" s="876"/>
      <c r="M148" s="876"/>
      <c r="N148" s="876"/>
      <c r="O148" s="876"/>
      <c r="P148" s="876"/>
      <c r="Q148" s="876"/>
      <c r="R148" s="132"/>
      <c r="S148" s="132"/>
      <c r="T148" s="132"/>
      <c r="U148" s="132"/>
      <c r="V148" s="132"/>
      <c r="W148" s="132"/>
      <c r="X148" s="132"/>
      <c r="Y148" s="132"/>
      <c r="Z148" s="132"/>
      <c r="AJ148" s="281"/>
      <c r="AK148" s="281"/>
      <c r="AL148" s="281"/>
      <c r="AM148" s="281"/>
      <c r="AN148" s="281"/>
    </row>
    <row r="149" spans="1:40">
      <c r="A149" s="283"/>
      <c r="B149" s="326" t="s">
        <v>1158</v>
      </c>
      <c r="C149" s="673">
        <f>'Inputs and eligible population'!$H$103</f>
        <v>1</v>
      </c>
      <c r="D149" s="127">
        <f>'Financial impact (cash)'!$D$16*'Inputs and eligible population'!$F$62*C149</f>
        <v>0</v>
      </c>
      <c r="E149" s="127">
        <f>'Financial impact (cash)'!$E$16*'Inputs and eligible population'!$F$62*C149</f>
        <v>0</v>
      </c>
      <c r="F149" s="127">
        <f>'Financial impact (cash)'!F16*C149*'Inputs and eligible population'!$E$62</f>
        <v>0</v>
      </c>
      <c r="G149" s="127">
        <f>'Financial impact (cash)'!G16*C149*'Inputs and eligible population'!$E$62</f>
        <v>0</v>
      </c>
      <c r="H149" s="127">
        <f>'Financial impact (cash)'!H16*C149*'Inputs and eligible population'!$E$62</f>
        <v>0</v>
      </c>
      <c r="I149" s="127">
        <f>'Financial impact (cash)'!I16*C149*'Inputs and eligible population'!$E$62</f>
        <v>0</v>
      </c>
      <c r="J149" s="216"/>
      <c r="K149" s="875"/>
      <c r="L149" s="876"/>
      <c r="M149" s="876"/>
      <c r="N149" s="876"/>
      <c r="O149" s="876"/>
      <c r="P149" s="876"/>
      <c r="Q149" s="876"/>
      <c r="R149" s="132"/>
      <c r="S149" s="132"/>
      <c r="T149" s="132"/>
      <c r="U149" s="132"/>
      <c r="V149" s="132"/>
      <c r="W149" s="132"/>
      <c r="X149" s="132"/>
      <c r="Y149" s="132"/>
      <c r="Z149" s="132"/>
      <c r="AJ149" s="281"/>
      <c r="AK149" s="281"/>
      <c r="AL149" s="281"/>
      <c r="AM149" s="281"/>
      <c r="AN149" s="281"/>
    </row>
    <row r="150" spans="1:40">
      <c r="A150" s="283"/>
      <c r="B150" s="326" t="s">
        <v>1159</v>
      </c>
      <c r="C150" s="673">
        <f>'Inputs and eligible population'!$H$103</f>
        <v>1</v>
      </c>
      <c r="D150" s="127">
        <f>'Financial impact (cash)'!$D$16*'Inputs and eligible population'!$F$62*C150</f>
        <v>0</v>
      </c>
      <c r="E150" s="127">
        <f>'Financial impact (cash)'!$D$16*'Inputs and eligible population'!$F$62*C150</f>
        <v>0</v>
      </c>
      <c r="F150" s="127">
        <f>'Financial impact (cash)'!$E$16*'Inputs and eligible population'!$F$62*C150</f>
        <v>0</v>
      </c>
      <c r="G150" s="127">
        <f>'Financial impact (cash)'!$F$16*'Inputs and eligible population'!$F$62*C150</f>
        <v>0</v>
      </c>
      <c r="H150" s="127">
        <f>'Financial impact (cash)'!$G$16*'Inputs and eligible population'!$F$62*C150</f>
        <v>0</v>
      </c>
      <c r="I150" s="127">
        <f>'Financial impact (cash)'!$H$16*'Inputs and eligible population'!$F$62*C150</f>
        <v>0</v>
      </c>
      <c r="J150" s="216"/>
      <c r="K150" s="875"/>
      <c r="L150" s="876"/>
      <c r="M150" s="876"/>
      <c r="N150" s="876"/>
      <c r="O150" s="876"/>
      <c r="P150" s="876"/>
      <c r="Q150" s="876"/>
      <c r="R150" s="132"/>
      <c r="S150" s="132"/>
      <c r="T150" s="132"/>
      <c r="U150" s="132"/>
      <c r="V150" s="132"/>
      <c r="W150" s="132"/>
      <c r="X150" s="132"/>
      <c r="Y150" s="132"/>
      <c r="Z150" s="132"/>
      <c r="AJ150" s="281"/>
      <c r="AK150" s="281"/>
      <c r="AL150" s="281"/>
      <c r="AM150" s="281"/>
      <c r="AN150" s="281"/>
    </row>
    <row r="151" spans="1:40">
      <c r="A151" s="283"/>
      <c r="B151" s="326" t="s">
        <v>1160</v>
      </c>
      <c r="C151" s="673">
        <f>'Inputs and eligible population'!$H$103</f>
        <v>1</v>
      </c>
      <c r="D151" s="127">
        <f>'Financial impact (cash)'!$D$16*'Inputs and eligible population'!$G$62*C151</f>
        <v>0</v>
      </c>
      <c r="E151" s="127">
        <f>'Financial impact (cash)'!$D$16*'Inputs and eligible population'!$G$62*C151</f>
        <v>0</v>
      </c>
      <c r="F151" s="127">
        <f>'Financial impact (cash)'!$D$16*'Inputs and eligible population'!$G$62*C151</f>
        <v>0</v>
      </c>
      <c r="G151" s="127">
        <f>'Financial impact (cash)'!$E$16*'Inputs and eligible population'!$G$62*C151</f>
        <v>0</v>
      </c>
      <c r="H151" s="127">
        <f>'Financial impact (cash)'!$F$16*'Inputs and eligible population'!$G$62*C151</f>
        <v>0</v>
      </c>
      <c r="I151" s="127">
        <f>'Financial impact (cash)'!$G$16*'Inputs and eligible population'!$G$62*C151</f>
        <v>0</v>
      </c>
      <c r="J151" s="216"/>
      <c r="K151" s="875"/>
      <c r="L151" s="876"/>
      <c r="M151" s="876"/>
      <c r="N151" s="876"/>
      <c r="O151" s="876"/>
      <c r="P151" s="876"/>
      <c r="Q151" s="876"/>
      <c r="R151" s="132"/>
      <c r="S151" s="132"/>
      <c r="T151" s="132"/>
      <c r="U151" s="132"/>
      <c r="V151" s="132"/>
      <c r="W151" s="132"/>
      <c r="X151" s="132"/>
      <c r="Y151" s="132"/>
      <c r="Z151" s="132"/>
      <c r="AJ151" s="281"/>
      <c r="AK151" s="281"/>
      <c r="AL151" s="281"/>
      <c r="AM151" s="281"/>
      <c r="AN151" s="281"/>
    </row>
    <row r="152" spans="1:40">
      <c r="A152" s="283"/>
      <c r="B152" s="326" t="s">
        <v>1161</v>
      </c>
      <c r="C152" s="673">
        <f>'Inputs and eligible population'!$H$103</f>
        <v>1</v>
      </c>
      <c r="D152" s="127">
        <f>'Financial impact (cash)'!$D$16*'Inputs and eligible population'!$H$62*C152</f>
        <v>0</v>
      </c>
      <c r="E152" s="127">
        <f>'Financial impact (cash)'!$D$16*'Inputs and eligible population'!$H$62*C152</f>
        <v>0</v>
      </c>
      <c r="F152" s="127">
        <f>'Financial impact (cash)'!$D$16*'Inputs and eligible population'!$H$62*C152</f>
        <v>0</v>
      </c>
      <c r="G152" s="127">
        <f>'Financial impact (cash)'!$D$16*'Inputs and eligible population'!$H$62*C152</f>
        <v>0</v>
      </c>
      <c r="H152" s="127">
        <f>'Financial impact (cash)'!$E$16*'Inputs and eligible population'!$H$62*C152</f>
        <v>0</v>
      </c>
      <c r="I152" s="127">
        <f>'Financial impact (cash)'!$F$16*'Inputs and eligible population'!$H$62*C152</f>
        <v>0</v>
      </c>
      <c r="J152" s="216"/>
      <c r="K152" s="875"/>
      <c r="L152" s="876"/>
      <c r="M152" s="876"/>
      <c r="N152" s="876"/>
      <c r="O152" s="876"/>
      <c r="P152" s="876"/>
      <c r="Q152" s="876"/>
      <c r="R152" s="132"/>
      <c r="S152" s="132"/>
      <c r="T152" s="132"/>
      <c r="U152" s="132"/>
      <c r="V152" s="132"/>
      <c r="W152" s="132"/>
      <c r="X152" s="132"/>
      <c r="Y152" s="132"/>
      <c r="Z152" s="132"/>
      <c r="AJ152" s="281"/>
      <c r="AK152" s="281"/>
      <c r="AL152" s="281"/>
      <c r="AM152" s="281"/>
      <c r="AN152" s="281"/>
    </row>
    <row r="153" spans="1:40">
      <c r="A153" s="283"/>
      <c r="B153" s="326" t="s">
        <v>1162</v>
      </c>
      <c r="C153" s="673">
        <f>'Inputs and eligible population'!$H$103</f>
        <v>1</v>
      </c>
      <c r="D153" s="127">
        <f>'Financial impact (cash)'!$D$16*'Inputs and eligible population'!$I$62*C153</f>
        <v>0</v>
      </c>
      <c r="E153" s="127">
        <f>'Financial impact (cash)'!$D$16*'Inputs and eligible population'!$I$62*C153</f>
        <v>0</v>
      </c>
      <c r="F153" s="127">
        <f>'Financial impact (cash)'!$D$16*'Inputs and eligible population'!$I$62*C153</f>
        <v>0</v>
      </c>
      <c r="G153" s="127">
        <f>'Financial impact (cash)'!$D$16*'Inputs and eligible population'!$I$62*C153</f>
        <v>0</v>
      </c>
      <c r="H153" s="127">
        <f>'Financial impact (cash)'!$D$16*'Inputs and eligible population'!$I$62*C153</f>
        <v>0</v>
      </c>
      <c r="I153" s="127">
        <f>'Financial impact (cash)'!$E$16*'Inputs and eligible population'!$I$62*C153</f>
        <v>0</v>
      </c>
      <c r="J153" s="216"/>
      <c r="K153" s="875"/>
      <c r="L153" s="876"/>
      <c r="M153" s="876"/>
      <c r="N153" s="876"/>
      <c r="O153" s="876"/>
      <c r="P153" s="876"/>
      <c r="Q153" s="876"/>
      <c r="R153" s="132"/>
      <c r="S153" s="132"/>
      <c r="T153" s="132"/>
      <c r="U153" s="132"/>
      <c r="V153" s="132"/>
      <c r="W153" s="132"/>
      <c r="X153" s="132"/>
      <c r="Y153" s="132"/>
      <c r="Z153" s="132"/>
      <c r="AJ153" s="281"/>
      <c r="AK153" s="281"/>
      <c r="AL153" s="281"/>
      <c r="AM153" s="281"/>
      <c r="AN153" s="281"/>
    </row>
    <row r="154" spans="1:40">
      <c r="A154" s="283"/>
      <c r="B154" s="326" t="s">
        <v>1163</v>
      </c>
      <c r="C154" s="673">
        <f>'Inputs and eligible population'!$I$103</f>
        <v>1</v>
      </c>
      <c r="D154" s="127">
        <f>'Financial impact (cash)'!$D$17*'Inputs and eligible population'!$F$63*C154</f>
        <v>0</v>
      </c>
      <c r="E154" s="127">
        <f>'Financial impact (cash)'!E79*C154*'Inputs and eligible population'!$E$63</f>
        <v>0</v>
      </c>
      <c r="F154" s="127">
        <f>'Financial impact (cash)'!F79*C154*'Inputs and eligible population'!$E$63</f>
        <v>0</v>
      </c>
      <c r="G154" s="127">
        <f>'Financial impact (cash)'!G17*C154*'Inputs and eligible population'!$E$63</f>
        <v>0</v>
      </c>
      <c r="H154" s="127">
        <f>'Financial impact (cash)'!H79*C154*'Inputs and eligible population'!$E$63</f>
        <v>0</v>
      </c>
      <c r="I154" s="127">
        <f>'Financial impact (cash)'!I79*C154*'Inputs and eligible population'!$E$63</f>
        <v>0</v>
      </c>
      <c r="J154" s="216"/>
      <c r="K154" s="875"/>
      <c r="L154" s="876"/>
      <c r="M154" s="876"/>
      <c r="N154" s="876"/>
      <c r="O154" s="876"/>
      <c r="P154" s="876"/>
      <c r="Q154" s="876"/>
      <c r="R154" s="132"/>
      <c r="S154" s="132"/>
      <c r="T154" s="132"/>
      <c r="U154" s="132"/>
      <c r="V154" s="132"/>
      <c r="W154" s="132"/>
      <c r="X154" s="132"/>
      <c r="Y154" s="132"/>
      <c r="Z154" s="132"/>
      <c r="AJ154" s="281"/>
      <c r="AK154" s="281"/>
      <c r="AL154" s="281"/>
      <c r="AM154" s="281"/>
      <c r="AN154" s="281"/>
    </row>
    <row r="155" spans="1:40">
      <c r="A155" s="283"/>
      <c r="B155" s="326" t="s">
        <v>1164</v>
      </c>
      <c r="C155" s="673">
        <f>'Inputs and eligible population'!$I$103</f>
        <v>1</v>
      </c>
      <c r="D155" s="127">
        <f>'Financial impact (cash)'!$D$17*'Inputs and eligible population'!$F$63*C155</f>
        <v>0</v>
      </c>
      <c r="E155" s="127">
        <f>'Financial impact (cash)'!$D$17*'Inputs and eligible population'!$F$63*C155</f>
        <v>0</v>
      </c>
      <c r="F155" s="127">
        <f>'Financial impact (cash)'!$E$17*'Inputs and eligible population'!$F$63*C155</f>
        <v>0</v>
      </c>
      <c r="G155" s="127">
        <f>'Financial impact (cash)'!$F$17*'Inputs and eligible population'!$F$63*C155</f>
        <v>0</v>
      </c>
      <c r="H155" s="127">
        <f>'Financial impact (cash)'!$G$17*'Inputs and eligible population'!$F$63*C155</f>
        <v>0</v>
      </c>
      <c r="I155" s="127">
        <f>'Financial impact (cash)'!$H$17*'Inputs and eligible population'!$F$63*C155</f>
        <v>0</v>
      </c>
      <c r="J155" s="216"/>
      <c r="K155" s="875"/>
      <c r="L155" s="876"/>
      <c r="M155" s="876"/>
      <c r="N155" s="876"/>
      <c r="O155" s="876"/>
      <c r="P155" s="876"/>
      <c r="Q155" s="876"/>
      <c r="R155" s="132"/>
      <c r="S155" s="132"/>
      <c r="T155" s="132"/>
      <c r="U155" s="132"/>
      <c r="V155" s="132"/>
      <c r="W155" s="132"/>
      <c r="X155" s="132"/>
      <c r="Y155" s="132"/>
      <c r="Z155" s="132"/>
      <c r="AJ155" s="281"/>
      <c r="AK155" s="281"/>
      <c r="AL155" s="281"/>
      <c r="AM155" s="281"/>
      <c r="AN155" s="281"/>
    </row>
    <row r="156" spans="1:40">
      <c r="A156" s="283"/>
      <c r="B156" s="326" t="s">
        <v>1165</v>
      </c>
      <c r="C156" s="673">
        <f>'Inputs and eligible population'!$I$103</f>
        <v>1</v>
      </c>
      <c r="D156" s="127">
        <f>'Financial impact (cash)'!$D$17*'Inputs and eligible population'!$G$63*C156</f>
        <v>0</v>
      </c>
      <c r="E156" s="127">
        <f>'Financial impact (cash)'!$D$17*'Inputs and eligible population'!$G$63*C156</f>
        <v>0</v>
      </c>
      <c r="F156" s="127">
        <f>'Financial impact (cash)'!$D$17*'Inputs and eligible population'!$G$63*C156</f>
        <v>0</v>
      </c>
      <c r="G156" s="127">
        <f>'Financial impact (cash)'!$E$17*'Inputs and eligible population'!$G$63*C156</f>
        <v>0</v>
      </c>
      <c r="H156" s="127">
        <f>'Financial impact (cash)'!$F$17*'Inputs and eligible population'!$G$63*C156</f>
        <v>0</v>
      </c>
      <c r="I156" s="127">
        <f>'Financial impact (cash)'!$G$17*'Inputs and eligible population'!$G$63*C156</f>
        <v>0</v>
      </c>
      <c r="J156" s="216"/>
      <c r="K156" s="875"/>
      <c r="L156" s="876"/>
      <c r="M156" s="876"/>
      <c r="N156" s="876"/>
      <c r="O156" s="876"/>
      <c r="P156" s="876"/>
      <c r="Q156" s="876"/>
      <c r="R156" s="132"/>
      <c r="S156" s="132"/>
      <c r="T156" s="132"/>
      <c r="U156" s="132"/>
      <c r="V156" s="132"/>
      <c r="W156" s="132"/>
      <c r="X156" s="132"/>
      <c r="Y156" s="132"/>
      <c r="Z156" s="132"/>
      <c r="AJ156" s="281"/>
      <c r="AK156" s="281"/>
      <c r="AL156" s="281"/>
      <c r="AM156" s="281"/>
      <c r="AN156" s="281"/>
    </row>
    <row r="157" spans="1:40">
      <c r="A157" s="283"/>
      <c r="B157" s="326" t="s">
        <v>1166</v>
      </c>
      <c r="C157" s="673">
        <f>'Inputs and eligible population'!$I$103</f>
        <v>1</v>
      </c>
      <c r="D157" s="127">
        <f>'Financial impact (cash)'!$D$17*'Inputs and eligible population'!$H$63*C157</f>
        <v>0</v>
      </c>
      <c r="E157" s="127">
        <f>'Financial impact (cash)'!$D$17*'Inputs and eligible population'!$H$63*C157</f>
        <v>0</v>
      </c>
      <c r="F157" s="127">
        <f>'Financial impact (cash)'!$D$17*'Inputs and eligible population'!$H$63*C157</f>
        <v>0</v>
      </c>
      <c r="G157" s="127">
        <f>'Financial impact (cash)'!$D$17*'Inputs and eligible population'!$H$63*C157</f>
        <v>0</v>
      </c>
      <c r="H157" s="127">
        <f>'Financial impact (cash)'!$E$17*'Inputs and eligible population'!$H$63*C157</f>
        <v>0</v>
      </c>
      <c r="I157" s="127">
        <f>'Financial impact (cash)'!$F$17*'Inputs and eligible population'!$H$63*C157</f>
        <v>0</v>
      </c>
      <c r="J157" s="216"/>
      <c r="K157" s="875"/>
      <c r="L157" s="876"/>
      <c r="M157" s="876"/>
      <c r="N157" s="876"/>
      <c r="O157" s="876"/>
      <c r="P157" s="876"/>
      <c r="Q157" s="876"/>
      <c r="R157" s="132"/>
      <c r="S157" s="132"/>
      <c r="T157" s="132"/>
      <c r="U157" s="132"/>
      <c r="V157" s="132"/>
      <c r="W157" s="132"/>
      <c r="X157" s="132"/>
      <c r="Y157" s="132"/>
      <c r="Z157" s="132"/>
      <c r="AJ157" s="281"/>
      <c r="AK157" s="281"/>
      <c r="AL157" s="281"/>
      <c r="AM157" s="281"/>
      <c r="AN157" s="281"/>
    </row>
    <row r="158" spans="1:40">
      <c r="A158" s="283"/>
      <c r="B158" s="326" t="s">
        <v>1167</v>
      </c>
      <c r="C158" s="673">
        <f>'Inputs and eligible population'!$I$103</f>
        <v>1</v>
      </c>
      <c r="D158" s="127">
        <f>'Financial impact (cash)'!$D$17*'Inputs and eligible population'!$I$63*C158</f>
        <v>0</v>
      </c>
      <c r="E158" s="127">
        <f>'Financial impact (cash)'!$D$17*'Inputs and eligible population'!$I$63*C158</f>
        <v>0</v>
      </c>
      <c r="F158" s="127">
        <f>'Financial impact (cash)'!$D$17*'Inputs and eligible population'!$I$63*C158</f>
        <v>0</v>
      </c>
      <c r="G158" s="127">
        <f>'Financial impact (cash)'!$D$17*'Inputs and eligible population'!$I$63*C158</f>
        <v>0</v>
      </c>
      <c r="H158" s="127">
        <f>'Financial impact (cash)'!$D$17*'Inputs and eligible population'!$I$63*C158</f>
        <v>0</v>
      </c>
      <c r="I158" s="127">
        <f>'Financial impact (cash)'!$E$17*'Inputs and eligible population'!$I$63*C158</f>
        <v>0</v>
      </c>
      <c r="J158" s="216"/>
      <c r="K158" s="875"/>
      <c r="L158" s="876"/>
      <c r="M158" s="876"/>
      <c r="N158" s="876"/>
      <c r="O158" s="876"/>
      <c r="P158" s="876"/>
      <c r="Q158" s="876"/>
      <c r="R158" s="132"/>
      <c r="S158" s="132"/>
      <c r="T158" s="132"/>
      <c r="U158" s="132"/>
      <c r="V158" s="132"/>
      <c r="W158" s="132"/>
      <c r="X158" s="132"/>
      <c r="Y158" s="132"/>
      <c r="Z158" s="132"/>
      <c r="AJ158" s="281"/>
      <c r="AK158" s="281"/>
      <c r="AL158" s="281"/>
      <c r="AM158" s="281"/>
      <c r="AN158" s="281"/>
    </row>
    <row r="159" spans="1:40">
      <c r="A159" s="283"/>
      <c r="B159" s="278"/>
      <c r="C159" s="205" t="s">
        <v>1075</v>
      </c>
      <c r="D159" s="184">
        <f>SUM(D134:D158)</f>
        <v>0</v>
      </c>
      <c r="E159" s="184">
        <f>SUM(E134:E158)</f>
        <v>0</v>
      </c>
      <c r="F159" s="184">
        <f t="shared" ref="F159:I159" si="51">SUM(F134:F158)</f>
        <v>0</v>
      </c>
      <c r="G159" s="184">
        <f t="shared" si="51"/>
        <v>0</v>
      </c>
      <c r="H159" s="184">
        <f t="shared" si="51"/>
        <v>0</v>
      </c>
      <c r="I159" s="184">
        <f t="shared" si="51"/>
        <v>0</v>
      </c>
      <c r="J159" s="283"/>
      <c r="K159" s="283"/>
      <c r="L159" s="877"/>
      <c r="M159" s="877"/>
      <c r="N159" s="877"/>
      <c r="O159" s="877"/>
      <c r="P159" s="877"/>
      <c r="Q159" s="877"/>
      <c r="V159" s="132"/>
    </row>
    <row r="160" spans="1:40">
      <c r="A160" s="283"/>
      <c r="B160" s="289"/>
      <c r="C160" s="220"/>
      <c r="D160" s="280" t="s">
        <v>814</v>
      </c>
      <c r="E160" s="184">
        <f>E159-$D$159</f>
        <v>0</v>
      </c>
      <c r="F160" s="184">
        <f>F159-$D$159</f>
        <v>0</v>
      </c>
      <c r="G160" s="184">
        <f>G159-$D$159</f>
        <v>0</v>
      </c>
      <c r="H160" s="184">
        <f>H159-$D$159</f>
        <v>0</v>
      </c>
      <c r="I160" s="184">
        <f>I159-$D$159</f>
        <v>0</v>
      </c>
      <c r="J160" s="283"/>
      <c r="K160" s="283"/>
      <c r="L160" s="283"/>
      <c r="M160" s="877"/>
      <c r="N160" s="877"/>
      <c r="O160" s="877"/>
      <c r="P160" s="877"/>
      <c r="Q160" s="877"/>
      <c r="V160" s="132"/>
    </row>
    <row r="161" spans="1:40">
      <c r="A161" s="283"/>
      <c r="B161" s="302"/>
      <c r="C161" s="367"/>
      <c r="D161" s="216"/>
      <c r="E161" s="216"/>
      <c r="F161" s="216"/>
      <c r="G161" s="216"/>
      <c r="H161" s="216"/>
      <c r="I161" s="216"/>
      <c r="J161" s="216"/>
      <c r="K161" s="216"/>
      <c r="L161" s="216"/>
      <c r="M161" s="216"/>
      <c r="N161" s="216"/>
      <c r="O161" s="216"/>
      <c r="P161" s="216"/>
      <c r="Q161" s="216"/>
      <c r="R161" s="132"/>
      <c r="S161" s="132"/>
      <c r="T161" s="132"/>
      <c r="U161" s="132"/>
      <c r="V161" s="132"/>
      <c r="W161" s="132"/>
      <c r="X161" s="132"/>
      <c r="Y161" s="132"/>
      <c r="Z161" s="132"/>
      <c r="AJ161" s="281"/>
      <c r="AK161" s="281"/>
      <c r="AL161" s="281"/>
      <c r="AM161" s="281"/>
      <c r="AN161" s="281"/>
    </row>
    <row r="162" spans="1:40">
      <c r="A162" s="284"/>
      <c r="B162" s="303" t="s">
        <v>840</v>
      </c>
      <c r="C162" s="291"/>
      <c r="D162" s="292"/>
      <c r="E162" s="293"/>
      <c r="F162" s="294"/>
      <c r="G162" s="294"/>
      <c r="H162" s="294"/>
      <c r="I162" s="401"/>
      <c r="J162" s="284"/>
      <c r="K162" s="284"/>
      <c r="L162" s="284"/>
      <c r="M162" s="284"/>
      <c r="N162" s="284"/>
      <c r="O162" s="284"/>
      <c r="P162" s="284"/>
      <c r="Q162" s="218"/>
      <c r="R162" s="132"/>
      <c r="S162" s="132"/>
      <c r="T162" s="132"/>
      <c r="U162" s="132"/>
      <c r="V162" s="132"/>
      <c r="W162" s="132"/>
      <c r="X162" s="132"/>
      <c r="Y162" s="132"/>
      <c r="Z162" s="132"/>
      <c r="AJ162" s="281"/>
      <c r="AK162" s="281"/>
      <c r="AL162" s="281"/>
      <c r="AM162" s="281"/>
      <c r="AN162" s="281"/>
    </row>
    <row r="163" spans="1:40">
      <c r="A163" s="284"/>
      <c r="B163" s="372" t="s">
        <v>994</v>
      </c>
      <c r="C163" s="373"/>
      <c r="D163" s="373"/>
      <c r="E163" s="373"/>
      <c r="F163" s="373"/>
      <c r="G163" s="373"/>
      <c r="H163" s="373"/>
      <c r="I163" s="217"/>
      <c r="J163" s="218"/>
      <c r="K163" s="218"/>
      <c r="L163" s="398"/>
      <c r="M163" s="398"/>
      <c r="N163" s="398"/>
      <c r="O163" s="398"/>
      <c r="P163" s="398"/>
      <c r="Q163" s="398"/>
      <c r="R163" s="132"/>
      <c r="S163" s="132"/>
      <c r="T163" s="132"/>
      <c r="U163" s="132"/>
      <c r="V163" s="132"/>
      <c r="W163" s="132"/>
      <c r="X163" s="132"/>
      <c r="Y163" s="132"/>
      <c r="Z163" s="132"/>
      <c r="AJ163" s="281"/>
      <c r="AK163" s="281"/>
      <c r="AL163" s="281"/>
      <c r="AM163" s="281"/>
      <c r="AN163" s="281"/>
    </row>
    <row r="164" spans="1:40" ht="45">
      <c r="A164" s="284"/>
      <c r="B164" s="277" t="s">
        <v>757</v>
      </c>
      <c r="C164" s="385" t="s">
        <v>1142</v>
      </c>
      <c r="D164" s="230" t="s">
        <v>825</v>
      </c>
      <c r="E164" s="164" t="s">
        <v>674</v>
      </c>
      <c r="F164" s="164" t="s">
        <v>675</v>
      </c>
      <c r="G164" s="164" t="s">
        <v>792</v>
      </c>
      <c r="H164" s="164" t="s">
        <v>793</v>
      </c>
      <c r="I164" s="164" t="s">
        <v>794</v>
      </c>
      <c r="J164" s="284"/>
      <c r="K164" s="515" t="s">
        <v>845</v>
      </c>
      <c r="L164" s="392" t="s">
        <v>825</v>
      </c>
      <c r="M164" s="251" t="s">
        <v>674</v>
      </c>
      <c r="N164" s="251" t="s">
        <v>675</v>
      </c>
      <c r="O164" s="164" t="s">
        <v>792</v>
      </c>
      <c r="P164" s="164" t="s">
        <v>793</v>
      </c>
      <c r="Q164" s="251" t="s">
        <v>794</v>
      </c>
      <c r="R164" s="132"/>
      <c r="S164" s="132"/>
      <c r="T164" s="132"/>
      <c r="U164" s="132"/>
      <c r="V164" s="132"/>
      <c r="W164" s="132"/>
      <c r="X164" s="132"/>
      <c r="Y164" s="132"/>
      <c r="Z164" s="132"/>
      <c r="AJ164" s="281"/>
      <c r="AK164" s="281"/>
      <c r="AL164" s="281"/>
      <c r="AM164" s="281"/>
      <c r="AN164" s="281"/>
    </row>
    <row r="165" spans="1:40">
      <c r="A165" s="284"/>
      <c r="B165" s="326" t="s">
        <v>1143</v>
      </c>
      <c r="C165" s="758">
        <f>'Inputs and eligible population'!F$105</f>
        <v>0</v>
      </c>
      <c r="D165" s="127">
        <f>('Financial impact (cash)'!$D$13*'Inputs and eligible population'!$E$59/(365/'Inputs and eligible population'!$D$59))*$C165</f>
        <v>0</v>
      </c>
      <c r="E165" s="127">
        <f>(('Financial impact (cash)'!E$13)*'Inputs and eligible population'!$E$59/(365/'Inputs and eligible population'!$D$59))*'Capacity (local prices)'!$C165</f>
        <v>0</v>
      </c>
      <c r="F165" s="127">
        <f>(('Financial impact (cash)'!F$13)*'Inputs and eligible population'!$E$59/(365/'Inputs and eligible population'!$D$59))*'Capacity (local prices)'!$C165</f>
        <v>0</v>
      </c>
      <c r="G165" s="127">
        <f>(('Financial impact (cash)'!G$13)*'Inputs and eligible population'!$E$59/(365/'Inputs and eligible population'!$D$59))*'Capacity (local prices)'!$C165</f>
        <v>0</v>
      </c>
      <c r="H165" s="127">
        <f>(('Financial impact (cash)'!H$13)*'Inputs and eligible population'!$E$59/(365/'Inputs and eligible population'!$D$59))*'Capacity (local prices)'!$C165</f>
        <v>0</v>
      </c>
      <c r="I165" s="127">
        <f>(('Financial impact (cash)'!I$13)*'Inputs and eligible population'!$E$59/(365/'Inputs and eligible population'!$D$59))*'Capacity (local prices)'!$C165</f>
        <v>0</v>
      </c>
      <c r="J165" s="218"/>
      <c r="K165" s="528">
        <f>'Unit costs'!$N$75</f>
        <v>135</v>
      </c>
      <c r="L165" s="530">
        <f>$K165/1000*D165</f>
        <v>0</v>
      </c>
      <c r="M165" s="530">
        <f t="shared" ref="M165:Q189" si="52">$K165/1000*E165</f>
        <v>0</v>
      </c>
      <c r="N165" s="530">
        <f t="shared" si="52"/>
        <v>0</v>
      </c>
      <c r="O165" s="530">
        <f t="shared" si="52"/>
        <v>0</v>
      </c>
      <c r="P165" s="530">
        <f t="shared" si="52"/>
        <v>0</v>
      </c>
      <c r="Q165" s="530">
        <f t="shared" si="52"/>
        <v>0</v>
      </c>
      <c r="R165" s="132"/>
      <c r="S165" s="132"/>
      <c r="T165" s="132"/>
      <c r="U165" s="132"/>
      <c r="V165" s="132"/>
      <c r="W165" s="132"/>
      <c r="X165" s="132"/>
      <c r="Y165" s="132"/>
      <c r="Z165" s="132"/>
      <c r="AJ165" s="281"/>
      <c r="AK165" s="281"/>
      <c r="AL165" s="281"/>
      <c r="AM165" s="281"/>
      <c r="AN165" s="281"/>
    </row>
    <row r="166" spans="1:40">
      <c r="A166" s="284"/>
      <c r="B166" s="326" t="s">
        <v>1144</v>
      </c>
      <c r="C166" s="758">
        <f>'Inputs and eligible population'!F$105</f>
        <v>0</v>
      </c>
      <c r="D166" s="127">
        <f>(('Financial impact (cash)'!$D$13)*'Inputs and eligible population'!$F$59/(365/'Inputs and eligible population'!$D$59))*'Capacity (local prices)'!$C166</f>
        <v>0</v>
      </c>
      <c r="E166" s="127">
        <f>(('Financial impact (cash)'!D$13)*'Inputs and eligible population'!$F$59/(365/'Inputs and eligible population'!$D$59))*'Capacity (local prices)'!$C166</f>
        <v>0</v>
      </c>
      <c r="F166" s="127">
        <f>(('Financial impact (cash)'!E$13)*'Inputs and eligible population'!$F$59/(365/'Inputs and eligible population'!$D$59))*'Capacity (local prices)'!$C166</f>
        <v>0</v>
      </c>
      <c r="G166" s="127">
        <f>(('Financial impact (cash)'!F$13)*'Inputs and eligible population'!$F$59/(365/'Inputs and eligible population'!$D$59))*'Capacity (local prices)'!$C166</f>
        <v>0</v>
      </c>
      <c r="H166" s="127">
        <f>(('Financial impact (cash)'!G$13)*'Inputs and eligible population'!$F$59/(365/'Inputs and eligible population'!$D$59))*'Capacity (local prices)'!$C166</f>
        <v>0</v>
      </c>
      <c r="I166" s="127">
        <f>(('Financial impact (cash)'!H$13)*'Inputs and eligible population'!$F$59/(365/'Inputs and eligible population'!$D$59))*'Capacity (local prices)'!$C166</f>
        <v>0</v>
      </c>
      <c r="J166" s="218"/>
      <c r="K166" s="528">
        <f>'Unit costs'!$N$75</f>
        <v>135</v>
      </c>
      <c r="L166" s="530">
        <f t="shared" ref="L166:L169" si="53">$K166/1000*D166</f>
        <v>0</v>
      </c>
      <c r="M166" s="530">
        <f t="shared" si="52"/>
        <v>0</v>
      </c>
      <c r="N166" s="530">
        <f t="shared" si="52"/>
        <v>0</v>
      </c>
      <c r="O166" s="530">
        <f t="shared" si="52"/>
        <v>0</v>
      </c>
      <c r="P166" s="530">
        <f t="shared" si="52"/>
        <v>0</v>
      </c>
      <c r="Q166" s="530">
        <f t="shared" si="52"/>
        <v>0</v>
      </c>
      <c r="R166" s="132"/>
      <c r="S166" s="132"/>
      <c r="T166" s="132"/>
      <c r="U166" s="132"/>
      <c r="V166" s="132"/>
      <c r="W166" s="132"/>
      <c r="X166" s="132"/>
      <c r="Y166" s="132"/>
      <c r="Z166" s="132"/>
      <c r="AJ166" s="281"/>
      <c r="AK166" s="281"/>
      <c r="AL166" s="281"/>
      <c r="AM166" s="281"/>
      <c r="AN166" s="281"/>
    </row>
    <row r="167" spans="1:40">
      <c r="A167" s="284"/>
      <c r="B167" s="326" t="s">
        <v>1145</v>
      </c>
      <c r="C167" s="758">
        <f>'Inputs and eligible population'!F$105</f>
        <v>0</v>
      </c>
      <c r="D167" s="127">
        <f>(('Financial impact (cash)'!$D$13)*'Inputs and eligible population'!$G$59/(365/'Inputs and eligible population'!$D$59))*'Capacity (local prices)'!$C167</f>
        <v>0</v>
      </c>
      <c r="E167" s="127">
        <f>(('Financial impact (cash)'!D$13)*'Inputs and eligible population'!$G$59/(365/'Inputs and eligible population'!$D$59))*'Capacity (local prices)'!$C167</f>
        <v>0</v>
      </c>
      <c r="F167" s="127">
        <f>(('Financial impact (cash)'!D$13)*'Inputs and eligible population'!$G$59/(365/'Inputs and eligible population'!$D$59))*'Capacity (local prices)'!$C167</f>
        <v>0</v>
      </c>
      <c r="G167" s="127">
        <f>(('Financial impact (cash)'!E$13)*'Inputs and eligible population'!$G$59/(365/'Inputs and eligible population'!$D$59))*'Capacity (local prices)'!$C167</f>
        <v>0</v>
      </c>
      <c r="H167" s="127">
        <f>(('Financial impact (cash)'!F$13)*'Inputs and eligible population'!$G$59/(365/'Inputs and eligible population'!$D$59))*'Capacity (local prices)'!$C167</f>
        <v>0</v>
      </c>
      <c r="I167" s="127">
        <f>(('Financial impact (cash)'!G$13)*'Inputs and eligible population'!$G$59/(365/'Inputs and eligible population'!$D$59))*'Capacity (local prices)'!$C167</f>
        <v>0</v>
      </c>
      <c r="J167" s="218"/>
      <c r="K167" s="528">
        <f>'Unit costs'!$N$75</f>
        <v>135</v>
      </c>
      <c r="L167" s="530">
        <f t="shared" si="53"/>
        <v>0</v>
      </c>
      <c r="M167" s="530">
        <f t="shared" si="52"/>
        <v>0</v>
      </c>
      <c r="N167" s="530">
        <f t="shared" si="52"/>
        <v>0</v>
      </c>
      <c r="O167" s="530">
        <f t="shared" si="52"/>
        <v>0</v>
      </c>
      <c r="P167" s="530">
        <f t="shared" si="52"/>
        <v>0</v>
      </c>
      <c r="Q167" s="530">
        <f t="shared" si="52"/>
        <v>0</v>
      </c>
      <c r="R167" s="132"/>
      <c r="S167" s="132"/>
      <c r="T167" s="132"/>
      <c r="U167" s="132"/>
      <c r="V167" s="132"/>
      <c r="W167" s="132"/>
      <c r="X167" s="132"/>
      <c r="Y167" s="132"/>
      <c r="Z167" s="132"/>
      <c r="AJ167" s="281"/>
      <c r="AK167" s="281"/>
      <c r="AL167" s="281"/>
      <c r="AM167" s="281"/>
      <c r="AN167" s="281"/>
    </row>
    <row r="168" spans="1:40">
      <c r="A168" s="284"/>
      <c r="B168" s="326" t="s">
        <v>1146</v>
      </c>
      <c r="C168" s="758">
        <f>'Inputs and eligible population'!F$105</f>
        <v>0</v>
      </c>
      <c r="D168" s="127">
        <f>(('Financial impact (cash)'!$D$13)*'Inputs and eligible population'!$H$59/(365/'Inputs and eligible population'!$D$59))*'Capacity (local prices)'!$C168</f>
        <v>0</v>
      </c>
      <c r="E168" s="127">
        <f>(('Financial impact (cash)'!D$13)*'Inputs and eligible population'!$H$59/(365/'Inputs and eligible population'!$D$59))*'Capacity (local prices)'!$C168</f>
        <v>0</v>
      </c>
      <c r="F168" s="127">
        <f>(('Financial impact (cash)'!D$13)*'Inputs and eligible population'!$H$59/(365/'Inputs and eligible population'!$D$59))*'Capacity (local prices)'!$C168</f>
        <v>0</v>
      </c>
      <c r="G168" s="127">
        <f>(('Financial impact (cash)'!D$13)*'Inputs and eligible population'!$H$59/(365/'Inputs and eligible population'!$D$59))*'Capacity (local prices)'!$C168</f>
        <v>0</v>
      </c>
      <c r="H168" s="127">
        <f>(('Financial impact (cash)'!E$13)*'Inputs and eligible population'!$H$59/(365/'Inputs and eligible population'!$D$59))*'Capacity (local prices)'!$C168</f>
        <v>0</v>
      </c>
      <c r="I168" s="127">
        <f>(('Financial impact (cash)'!F$13)*'Inputs and eligible population'!$H$59/(365/'Inputs and eligible population'!$D$59))*'Capacity (local prices)'!$C168</f>
        <v>0</v>
      </c>
      <c r="J168" s="218"/>
      <c r="K168" s="528">
        <f>'Unit costs'!$N$75</f>
        <v>135</v>
      </c>
      <c r="L168" s="530">
        <f t="shared" si="53"/>
        <v>0</v>
      </c>
      <c r="M168" s="530">
        <f t="shared" si="52"/>
        <v>0</v>
      </c>
      <c r="N168" s="530">
        <f t="shared" si="52"/>
        <v>0</v>
      </c>
      <c r="O168" s="530">
        <f t="shared" si="52"/>
        <v>0</v>
      </c>
      <c r="P168" s="530">
        <f t="shared" si="52"/>
        <v>0</v>
      </c>
      <c r="Q168" s="530">
        <f t="shared" si="52"/>
        <v>0</v>
      </c>
      <c r="R168" s="132"/>
      <c r="S168" s="132"/>
      <c r="T168" s="132"/>
      <c r="U168" s="132"/>
      <c r="V168" s="132"/>
      <c r="W168" s="132"/>
      <c r="X168" s="132"/>
      <c r="Y168" s="132"/>
      <c r="Z168" s="132"/>
      <c r="AJ168" s="281"/>
      <c r="AK168" s="281"/>
      <c r="AL168" s="281"/>
      <c r="AM168" s="281"/>
      <c r="AN168" s="281"/>
    </row>
    <row r="169" spans="1:40">
      <c r="A169" s="284"/>
      <c r="B169" s="326" t="s">
        <v>1147</v>
      </c>
      <c r="C169" s="758">
        <f>'Inputs and eligible population'!F$105</f>
        <v>0</v>
      </c>
      <c r="D169" s="127">
        <f>(('Financial impact (cash)'!$D$13)*'Inputs and eligible population'!$I$59/(365/'Inputs and eligible population'!$D$59))*'Capacity (local prices)'!$C169</f>
        <v>0</v>
      </c>
      <c r="E169" s="127">
        <f>(('Financial impact (cash)'!D$13)*'Inputs and eligible population'!$I$59/(365/'Inputs and eligible population'!$D$59))*'Capacity (local prices)'!$C169</f>
        <v>0</v>
      </c>
      <c r="F169" s="127">
        <f>(('Financial impact (cash)'!D$13)*'Inputs and eligible population'!$I$59/(365/'Inputs and eligible population'!$D$59))*'Capacity (local prices)'!$C169</f>
        <v>0</v>
      </c>
      <c r="G169" s="127">
        <f>(('Financial impact (cash)'!D$13)*'Inputs and eligible population'!$I$59/(365/'Inputs and eligible population'!$D$59))*'Capacity (local prices)'!$C169</f>
        <v>0</v>
      </c>
      <c r="H169" s="127">
        <f>(('Financial impact (cash)'!D$13)*'Inputs and eligible population'!$I$59/(365/'Inputs and eligible population'!$D$59))*'Capacity (local prices)'!$C169</f>
        <v>0</v>
      </c>
      <c r="I169" s="127">
        <f>(('Financial impact (cash)'!E$13)*'Inputs and eligible population'!$I$59/(365/'Inputs and eligible population'!$D$59))*'Capacity (local prices)'!$C169</f>
        <v>0</v>
      </c>
      <c r="J169" s="218"/>
      <c r="K169" s="528">
        <f>'Unit costs'!$N$75</f>
        <v>135</v>
      </c>
      <c r="L169" s="530">
        <f t="shared" si="53"/>
        <v>0</v>
      </c>
      <c r="M169" s="530">
        <f t="shared" si="52"/>
        <v>0</v>
      </c>
      <c r="N169" s="530">
        <f t="shared" si="52"/>
        <v>0</v>
      </c>
      <c r="O169" s="530">
        <f t="shared" si="52"/>
        <v>0</v>
      </c>
      <c r="P169" s="530">
        <f t="shared" si="52"/>
        <v>0</v>
      </c>
      <c r="Q169" s="530">
        <f t="shared" si="52"/>
        <v>0</v>
      </c>
      <c r="R169" s="132"/>
      <c r="S169" s="132"/>
      <c r="T169" s="132"/>
      <c r="U169" s="132"/>
      <c r="V169" s="132"/>
      <c r="W169" s="132"/>
      <c r="X169" s="132"/>
      <c r="Y169" s="132"/>
      <c r="Z169" s="132"/>
      <c r="AJ169" s="281"/>
      <c r="AK169" s="281"/>
      <c r="AL169" s="281"/>
      <c r="AM169" s="281"/>
      <c r="AN169" s="281"/>
    </row>
    <row r="170" spans="1:40">
      <c r="A170" s="284"/>
      <c r="B170" s="326" t="s">
        <v>1148</v>
      </c>
      <c r="C170" s="758">
        <f>'Inputs and eligible population'!F$105</f>
        <v>0</v>
      </c>
      <c r="D170" s="127">
        <f>('Financial impact (cash)'!$D$14*'Inputs and eligible population'!$E$60/(365/'Inputs and eligible population'!D$60))*$C170</f>
        <v>0</v>
      </c>
      <c r="E170" s="127">
        <f>(('Financial impact (cash)'!E$14)*'Inputs and eligible population'!$E$60/(365/'Inputs and eligible population'!$D$60))*'Capacity (local prices)'!$C170</f>
        <v>0</v>
      </c>
      <c r="F170" s="127">
        <f>(('Financial impact (cash)'!F$14)*'Inputs and eligible population'!$E$60/(365/'Inputs and eligible population'!$D$60))*'Capacity (local prices)'!$C170</f>
        <v>0</v>
      </c>
      <c r="G170" s="127">
        <f>(('Financial impact (cash)'!G$14)*'Inputs and eligible population'!$E$60/(365/'Inputs and eligible population'!$D$60))*'Capacity (local prices)'!$C170</f>
        <v>0</v>
      </c>
      <c r="H170" s="127">
        <f>(('Financial impact (cash)'!H$14)*'Inputs and eligible population'!$E$60/(365/'Inputs and eligible population'!$D$60))*'Capacity (local prices)'!$C170</f>
        <v>0</v>
      </c>
      <c r="I170" s="127">
        <f>(('Financial impact (cash)'!$I$14)*'Inputs and eligible population'!$E$60)*'Capacity (local prices)'!$C170/60</f>
        <v>0</v>
      </c>
      <c r="J170" s="218"/>
      <c r="K170" s="528">
        <f>'Unit costs'!$N$75</f>
        <v>135</v>
      </c>
      <c r="L170" s="530">
        <f>$K170/1000*D170</f>
        <v>0</v>
      </c>
      <c r="M170" s="530">
        <f t="shared" si="52"/>
        <v>0</v>
      </c>
      <c r="N170" s="530">
        <f t="shared" si="52"/>
        <v>0</v>
      </c>
      <c r="O170" s="530">
        <f t="shared" si="52"/>
        <v>0</v>
      </c>
      <c r="P170" s="530">
        <f t="shared" si="52"/>
        <v>0</v>
      </c>
      <c r="Q170" s="530">
        <f t="shared" si="52"/>
        <v>0</v>
      </c>
      <c r="R170" s="132"/>
      <c r="S170" s="132"/>
      <c r="T170" s="132"/>
      <c r="U170" s="132"/>
      <c r="V170" s="132"/>
      <c r="W170" s="132"/>
      <c r="X170" s="132"/>
      <c r="Y170" s="132"/>
      <c r="Z170" s="132"/>
      <c r="AJ170" s="281"/>
      <c r="AK170" s="281"/>
      <c r="AL170" s="281"/>
      <c r="AM170" s="281"/>
      <c r="AN170" s="281"/>
    </row>
    <row r="171" spans="1:40">
      <c r="A171" s="284"/>
      <c r="B171" s="326" t="s">
        <v>1149</v>
      </c>
      <c r="C171" s="758">
        <f>'Inputs and eligible population'!F$105</f>
        <v>0</v>
      </c>
      <c r="D171" s="127">
        <f>(('Financial impact (cash)'!$D$14)*'Inputs and eligible population'!$F$60/(365/'Inputs and eligible population'!$D$60))*'Capacity (local prices)'!$C171</f>
        <v>0</v>
      </c>
      <c r="E171" s="127">
        <f>(('Financial impact (cash)'!D$14)*'Inputs and eligible population'!$F$60/(365/'Inputs and eligible population'!$D$60))*'Capacity (local prices)'!$C171</f>
        <v>0</v>
      </c>
      <c r="F171" s="127">
        <f>(('Financial impact (cash)'!E$14)*'Inputs and eligible population'!$F$60/(365/'Inputs and eligible population'!$D$60))*'Capacity (local prices)'!$C171</f>
        <v>0</v>
      </c>
      <c r="G171" s="127">
        <f>(('Financial impact (cash)'!F$14)*'Inputs and eligible population'!$F$60/(365/'Inputs and eligible population'!$D$60))*'Capacity (local prices)'!$C171</f>
        <v>0</v>
      </c>
      <c r="H171" s="127">
        <f>(('Financial impact (cash)'!G$14)*'Inputs and eligible population'!$F$60/(365/'Inputs and eligible population'!$D$60))*'Capacity (local prices)'!$C171</f>
        <v>0</v>
      </c>
      <c r="I171" s="127">
        <f>(('Financial impact (cash)'!H$14)*'Inputs and eligible population'!$F$60/(365/'Inputs and eligible population'!$D$60))*'Capacity (local prices)'!$C171</f>
        <v>0</v>
      </c>
      <c r="J171" s="218"/>
      <c r="K171" s="528">
        <f>'Unit costs'!$N$75</f>
        <v>135</v>
      </c>
      <c r="L171" s="530">
        <f t="shared" ref="L171:L189" si="54">$K171/1000*D171</f>
        <v>0</v>
      </c>
      <c r="M171" s="530">
        <f t="shared" si="52"/>
        <v>0</v>
      </c>
      <c r="N171" s="530">
        <f t="shared" si="52"/>
        <v>0</v>
      </c>
      <c r="O171" s="530">
        <f t="shared" si="52"/>
        <v>0</v>
      </c>
      <c r="P171" s="530">
        <f t="shared" si="52"/>
        <v>0</v>
      </c>
      <c r="Q171" s="530">
        <f t="shared" si="52"/>
        <v>0</v>
      </c>
      <c r="R171" s="132"/>
      <c r="S171" s="132"/>
      <c r="T171" s="132"/>
      <c r="U171" s="132"/>
      <c r="V171" s="132"/>
      <c r="W171" s="132"/>
      <c r="X171" s="132"/>
      <c r="Y171" s="132"/>
      <c r="Z171" s="132"/>
      <c r="AJ171" s="281"/>
      <c r="AK171" s="281"/>
      <c r="AL171" s="281"/>
      <c r="AM171" s="281"/>
      <c r="AN171" s="281"/>
    </row>
    <row r="172" spans="1:40">
      <c r="A172" s="284"/>
      <c r="B172" s="326" t="s">
        <v>1150</v>
      </c>
      <c r="C172" s="758">
        <f>'Inputs and eligible population'!F$105</f>
        <v>0</v>
      </c>
      <c r="D172" s="127">
        <f>(('Financial impact (cash)'!$D$14)*'Inputs and eligible population'!$G$60/(365/'Inputs and eligible population'!$D$60))*'Capacity (local prices)'!$C172</f>
        <v>0</v>
      </c>
      <c r="E172" s="127">
        <f>(('Financial impact (cash)'!D$14)*'Inputs and eligible population'!$G$60/(365/'Inputs and eligible population'!$D$60))*'Capacity (local prices)'!$C172</f>
        <v>0</v>
      </c>
      <c r="F172" s="127">
        <f>(('Financial impact (cash)'!D$14)*'Inputs and eligible population'!$G$60/(365/'Inputs and eligible population'!$D$60))*'Capacity (local prices)'!$C172</f>
        <v>0</v>
      </c>
      <c r="G172" s="127">
        <f>(('Financial impact (cash)'!E$14)*'Inputs and eligible population'!$G$60/(365/'Inputs and eligible population'!$D$60))*'Capacity (local prices)'!$C172</f>
        <v>0</v>
      </c>
      <c r="H172" s="127">
        <f>(('Financial impact (cash)'!F$14)*'Inputs and eligible population'!$G$60/(365/'Inputs and eligible population'!$D$60))*'Capacity (local prices)'!$C172</f>
        <v>0</v>
      </c>
      <c r="I172" s="127">
        <f>(('Financial impact (cash)'!G$14)*'Inputs and eligible population'!$G$60/(365/'Inputs and eligible population'!$D$60))*'Capacity (local prices)'!$C172</f>
        <v>0</v>
      </c>
      <c r="J172" s="218"/>
      <c r="K172" s="528">
        <f>'Unit costs'!$N$75</f>
        <v>135</v>
      </c>
      <c r="L172" s="530">
        <f t="shared" si="54"/>
        <v>0</v>
      </c>
      <c r="M172" s="530">
        <f t="shared" si="52"/>
        <v>0</v>
      </c>
      <c r="N172" s="530">
        <f t="shared" si="52"/>
        <v>0</v>
      </c>
      <c r="O172" s="530">
        <f t="shared" si="52"/>
        <v>0</v>
      </c>
      <c r="P172" s="530">
        <f t="shared" si="52"/>
        <v>0</v>
      </c>
      <c r="Q172" s="530">
        <f t="shared" si="52"/>
        <v>0</v>
      </c>
      <c r="R172" s="132"/>
      <c r="S172" s="132"/>
      <c r="T172" s="132"/>
      <c r="U172" s="132"/>
      <c r="V172" s="132"/>
      <c r="W172" s="132"/>
      <c r="X172" s="132"/>
      <c r="Y172" s="132"/>
      <c r="Z172" s="132"/>
      <c r="AJ172" s="281"/>
      <c r="AK172" s="281"/>
      <c r="AL172" s="281"/>
      <c r="AM172" s="281"/>
      <c r="AN172" s="281"/>
    </row>
    <row r="173" spans="1:40">
      <c r="A173" s="284"/>
      <c r="B173" s="326" t="s">
        <v>1151</v>
      </c>
      <c r="C173" s="758">
        <f>'Inputs and eligible population'!F$105</f>
        <v>0</v>
      </c>
      <c r="D173" s="127">
        <f>(('Financial impact (cash)'!$D$14)*'Inputs and eligible population'!$H$60/(365/'Inputs and eligible population'!$D$60))*'Capacity (local prices)'!$C173</f>
        <v>0</v>
      </c>
      <c r="E173" s="127">
        <f>(('Financial impact (cash)'!D$14)*'Inputs and eligible population'!$H$60/(365/'Inputs and eligible population'!$D$60))*'Capacity (local prices)'!$C173</f>
        <v>0</v>
      </c>
      <c r="F173" s="127">
        <f>(('Financial impact (cash)'!D$14)*'Inputs and eligible population'!$H$60/(365/'Inputs and eligible population'!$D$60))*'Capacity (local prices)'!$C173</f>
        <v>0</v>
      </c>
      <c r="G173" s="127">
        <f>(('Financial impact (cash)'!D$14)*'Inputs and eligible population'!$H$60/(365/'Inputs and eligible population'!$D$60))*'Capacity (local prices)'!$C173</f>
        <v>0</v>
      </c>
      <c r="H173" s="127">
        <f>(('Financial impact (cash)'!E$14)*'Inputs and eligible population'!$H$60/(365/'Inputs and eligible population'!$D$60))*'Capacity (local prices)'!$C173</f>
        <v>0</v>
      </c>
      <c r="I173" s="127">
        <f>(('Financial impact (cash)'!F$14)*'Inputs and eligible population'!$H$60/(365/'Inputs and eligible population'!$D$60))*'Capacity (local prices)'!$C173</f>
        <v>0</v>
      </c>
      <c r="J173" s="218"/>
      <c r="K173" s="528">
        <f>'Unit costs'!$N$75</f>
        <v>135</v>
      </c>
      <c r="L173" s="530">
        <f t="shared" si="54"/>
        <v>0</v>
      </c>
      <c r="M173" s="530">
        <f t="shared" si="52"/>
        <v>0</v>
      </c>
      <c r="N173" s="530">
        <f t="shared" si="52"/>
        <v>0</v>
      </c>
      <c r="O173" s="530">
        <f t="shared" si="52"/>
        <v>0</v>
      </c>
      <c r="P173" s="530">
        <f t="shared" si="52"/>
        <v>0</v>
      </c>
      <c r="Q173" s="530">
        <f t="shared" si="52"/>
        <v>0</v>
      </c>
      <c r="R173" s="132"/>
      <c r="S173" s="132"/>
      <c r="T173" s="132"/>
      <c r="U173" s="132"/>
      <c r="V173" s="132"/>
      <c r="W173" s="132"/>
      <c r="X173" s="132"/>
      <c r="Y173" s="132"/>
      <c r="Z173" s="132"/>
      <c r="AJ173" s="281"/>
      <c r="AK173" s="281"/>
      <c r="AL173" s="281"/>
      <c r="AM173" s="281"/>
      <c r="AN173" s="281"/>
    </row>
    <row r="174" spans="1:40">
      <c r="A174" s="284"/>
      <c r="B174" s="326" t="s">
        <v>1152</v>
      </c>
      <c r="C174" s="758">
        <f>'Inputs and eligible population'!F$105</f>
        <v>0</v>
      </c>
      <c r="D174" s="127">
        <f>(('Financial impact (cash)'!$D$14)*'Inputs and eligible population'!$I$60/(365/'Inputs and eligible population'!$D$60))*'Capacity (local prices)'!$C174</f>
        <v>0</v>
      </c>
      <c r="E174" s="127">
        <f>(('Financial impact (cash)'!D$14)*'Inputs and eligible population'!$I$60/(365/'Inputs and eligible population'!$D$60))*'Capacity (local prices)'!$C174</f>
        <v>0</v>
      </c>
      <c r="F174" s="127">
        <f>(('Financial impact (cash)'!D$14)*'Inputs and eligible population'!$I$60/(365/'Inputs and eligible population'!$D$60))*'Capacity (local prices)'!$C174</f>
        <v>0</v>
      </c>
      <c r="G174" s="127">
        <f>(('Financial impact (cash)'!D$14)*'Inputs and eligible population'!$I$60/(365/'Inputs and eligible population'!$D$60))*'Capacity (local prices)'!$C174</f>
        <v>0</v>
      </c>
      <c r="H174" s="127">
        <f>(('Financial impact (cash)'!D$14)*'Inputs and eligible population'!$I$60/(365/'Inputs and eligible population'!$D$60))*'Capacity (local prices)'!$C174</f>
        <v>0</v>
      </c>
      <c r="I174" s="127">
        <f>(('Financial impact (cash)'!E$14)*'Inputs and eligible population'!$I$60/(365/'Inputs and eligible population'!$D$60))*'Capacity (local prices)'!$C174</f>
        <v>0</v>
      </c>
      <c r="J174" s="218"/>
      <c r="K174" s="528">
        <f>'Unit costs'!$N$75</f>
        <v>135</v>
      </c>
      <c r="L174" s="530">
        <f t="shared" si="54"/>
        <v>0</v>
      </c>
      <c r="M174" s="530">
        <f t="shared" si="52"/>
        <v>0</v>
      </c>
      <c r="N174" s="530">
        <f t="shared" si="52"/>
        <v>0</v>
      </c>
      <c r="O174" s="530">
        <f t="shared" si="52"/>
        <v>0</v>
      </c>
      <c r="P174" s="530">
        <f t="shared" si="52"/>
        <v>0</v>
      </c>
      <c r="Q174" s="530">
        <f t="shared" si="52"/>
        <v>0</v>
      </c>
      <c r="R174" s="132"/>
      <c r="S174" s="132"/>
      <c r="T174" s="132"/>
      <c r="U174" s="132"/>
      <c r="V174" s="132"/>
      <c r="W174" s="132"/>
      <c r="X174" s="132"/>
      <c r="Y174" s="132"/>
      <c r="Z174" s="132"/>
      <c r="AJ174" s="281"/>
      <c r="AK174" s="281"/>
      <c r="AL174" s="281"/>
      <c r="AM174" s="281"/>
      <c r="AN174" s="281"/>
    </row>
    <row r="175" spans="1:40">
      <c r="A175" s="284"/>
      <c r="B175" s="326" t="s">
        <v>1153</v>
      </c>
      <c r="C175" s="758">
        <f>'Inputs and eligible population'!$G$105</f>
        <v>0</v>
      </c>
      <c r="D175" s="127">
        <f>('Financial impact (cash)'!$D$15*'Inputs and eligible population'!$E$61/(365/'Inputs and eligible population'!D$61))*$C175</f>
        <v>0</v>
      </c>
      <c r="E175" s="127">
        <f>(('Financial impact (cash)'!E$15)*'Inputs and eligible population'!$E$61/(365/'Inputs and eligible population'!$D$61))*'Capacity (local prices)'!$C175</f>
        <v>0</v>
      </c>
      <c r="F175" s="127">
        <f>(('Financial impact (cash)'!F$15)*'Inputs and eligible population'!$E$61/(365/'Inputs and eligible population'!$D$61))*'Capacity (local prices)'!$C175</f>
        <v>0</v>
      </c>
      <c r="G175" s="127">
        <f>(('Financial impact (cash)'!G$15)*'Inputs and eligible population'!$E$61/(365/'Inputs and eligible population'!$D$61))*'Capacity (local prices)'!$C175</f>
        <v>0</v>
      </c>
      <c r="H175" s="127">
        <f>(('Financial impact (cash)'!H$15)*'Inputs and eligible population'!$E$61/(365/'Inputs and eligible population'!$D$61))*'Capacity (local prices)'!$C175</f>
        <v>0</v>
      </c>
      <c r="I175" s="127">
        <f>(('Financial impact (cash)'!I$15)*'Inputs and eligible population'!$E$61/(365/'Inputs and eligible population'!$D$61))*'Capacity (local prices)'!$C175</f>
        <v>0</v>
      </c>
      <c r="J175" s="218"/>
      <c r="K175" s="528">
        <f>'Unit costs'!$N$75</f>
        <v>135</v>
      </c>
      <c r="L175" s="530">
        <f t="shared" si="54"/>
        <v>0</v>
      </c>
      <c r="M175" s="530">
        <f t="shared" si="52"/>
        <v>0</v>
      </c>
      <c r="N175" s="530">
        <f t="shared" si="52"/>
        <v>0</v>
      </c>
      <c r="O175" s="530">
        <f t="shared" si="52"/>
        <v>0</v>
      </c>
      <c r="P175" s="530">
        <f t="shared" si="52"/>
        <v>0</v>
      </c>
      <c r="Q175" s="530">
        <f t="shared" si="52"/>
        <v>0</v>
      </c>
      <c r="R175" s="132"/>
      <c r="S175" s="132"/>
      <c r="T175" s="132"/>
      <c r="U175" s="132"/>
      <c r="V175" s="132"/>
      <c r="W175" s="132"/>
      <c r="X175" s="132"/>
      <c r="Y175" s="132"/>
      <c r="Z175" s="132"/>
      <c r="AJ175" s="281"/>
      <c r="AK175" s="281"/>
      <c r="AL175" s="281"/>
      <c r="AM175" s="281"/>
      <c r="AN175" s="281"/>
    </row>
    <row r="176" spans="1:40">
      <c r="A176" s="284"/>
      <c r="B176" s="326" t="s">
        <v>1154</v>
      </c>
      <c r="C176" s="758">
        <f>'Inputs and eligible population'!$G$105</f>
        <v>0</v>
      </c>
      <c r="D176" s="127">
        <f>(('Financial impact (cash)'!D$15)*'Inputs and eligible population'!$F$61/(365/'Inputs and eligible population'!$D$61))*'Capacity (local prices)'!$C176</f>
        <v>0</v>
      </c>
      <c r="E176" s="127">
        <f>(('Financial impact (cash)'!D$15)*'Inputs and eligible population'!$F$61/(365/'Inputs and eligible population'!$D$61))*'Capacity (local prices)'!$C176</f>
        <v>0</v>
      </c>
      <c r="F176" s="127">
        <f>(('Financial impact (cash)'!E$15)*'Inputs and eligible population'!$F$61/(365/'Inputs and eligible population'!$D$61))*'Capacity (local prices)'!$C176</f>
        <v>0</v>
      </c>
      <c r="G176" s="127">
        <f>(('Financial impact (cash)'!F$15)*'Inputs and eligible population'!$F$61/(365/'Inputs and eligible population'!$D$61))*'Capacity (local prices)'!$C176</f>
        <v>0</v>
      </c>
      <c r="H176" s="127">
        <f>(('Financial impact (cash)'!G$15)*'Inputs and eligible population'!$F$61/(365/'Inputs and eligible population'!$D$61))*'Capacity (local prices)'!$C176</f>
        <v>0</v>
      </c>
      <c r="I176" s="127">
        <f>(('Financial impact (cash)'!H$15)*'Inputs and eligible population'!$F$61/(365/'Inputs and eligible population'!$D$61))*'Capacity (local prices)'!$C176</f>
        <v>0</v>
      </c>
      <c r="J176" s="218"/>
      <c r="K176" s="528">
        <f>'Unit costs'!$N$75</f>
        <v>135</v>
      </c>
      <c r="L176" s="530">
        <f t="shared" si="54"/>
        <v>0</v>
      </c>
      <c r="M176" s="530">
        <f t="shared" si="52"/>
        <v>0</v>
      </c>
      <c r="N176" s="530">
        <f t="shared" si="52"/>
        <v>0</v>
      </c>
      <c r="O176" s="530">
        <f t="shared" si="52"/>
        <v>0</v>
      </c>
      <c r="P176" s="530">
        <f t="shared" si="52"/>
        <v>0</v>
      </c>
      <c r="Q176" s="530">
        <f t="shared" si="52"/>
        <v>0</v>
      </c>
      <c r="R176" s="132"/>
      <c r="S176" s="132"/>
      <c r="T176" s="132"/>
      <c r="U176" s="132"/>
      <c r="V176" s="132"/>
      <c r="W176" s="132"/>
      <c r="X176" s="132"/>
      <c r="Y176" s="132"/>
      <c r="Z176" s="132"/>
      <c r="AJ176" s="281"/>
      <c r="AK176" s="281"/>
      <c r="AL176" s="281"/>
      <c r="AM176" s="281"/>
      <c r="AN176" s="281"/>
    </row>
    <row r="177" spans="1:40">
      <c r="A177" s="284"/>
      <c r="B177" s="326" t="s">
        <v>1155</v>
      </c>
      <c r="C177" s="758">
        <f>'Inputs and eligible population'!$G$105</f>
        <v>0</v>
      </c>
      <c r="D177" s="127">
        <f>(('Financial impact (cash)'!D$15)*'Inputs and eligible population'!$G$61/(365/'Inputs and eligible population'!$D$61))*'Capacity (local prices)'!$C177</f>
        <v>0</v>
      </c>
      <c r="E177" s="127">
        <f>(('Financial impact (cash)'!D$15)*'Inputs and eligible population'!$G$61/(365/'Inputs and eligible population'!$D$61))*'Capacity (local prices)'!$C177</f>
        <v>0</v>
      </c>
      <c r="F177" s="127">
        <f>(('Financial impact (cash)'!D$15)*'Inputs and eligible population'!$G$61/(365/'Inputs and eligible population'!$D$61))*'Capacity (local prices)'!$C177</f>
        <v>0</v>
      </c>
      <c r="G177" s="127">
        <f>(('Financial impact (cash)'!E$15)*'Inputs and eligible population'!$G$61/(365/'Inputs and eligible population'!$D$61))*'Capacity (local prices)'!$C177</f>
        <v>0</v>
      </c>
      <c r="H177" s="127">
        <f>(('Financial impact (cash)'!F$15)*'Inputs and eligible population'!$G$61/(365/'Inputs and eligible population'!$D$61))*'Capacity (local prices)'!$C177</f>
        <v>0</v>
      </c>
      <c r="I177" s="127">
        <f>(('Financial impact (cash)'!G$15)*'Inputs and eligible population'!$G$61/(365/'Inputs and eligible population'!$D$61))*'Capacity (local prices)'!$C177</f>
        <v>0</v>
      </c>
      <c r="J177" s="218"/>
      <c r="K177" s="528">
        <f>'Unit costs'!$N$75</f>
        <v>135</v>
      </c>
      <c r="L177" s="530">
        <f t="shared" si="54"/>
        <v>0</v>
      </c>
      <c r="M177" s="530">
        <f t="shared" si="52"/>
        <v>0</v>
      </c>
      <c r="N177" s="530">
        <f t="shared" si="52"/>
        <v>0</v>
      </c>
      <c r="O177" s="530">
        <f t="shared" si="52"/>
        <v>0</v>
      </c>
      <c r="P177" s="530">
        <f t="shared" si="52"/>
        <v>0</v>
      </c>
      <c r="Q177" s="530">
        <f t="shared" si="52"/>
        <v>0</v>
      </c>
      <c r="R177" s="132"/>
      <c r="S177" s="132"/>
      <c r="T177" s="132"/>
      <c r="U177" s="132"/>
      <c r="V177" s="132"/>
      <c r="W177" s="132"/>
      <c r="X177" s="132"/>
      <c r="Y177" s="132"/>
      <c r="Z177" s="132"/>
      <c r="AJ177" s="281"/>
      <c r="AK177" s="281"/>
      <c r="AL177" s="281"/>
      <c r="AM177" s="281"/>
      <c r="AN177" s="281"/>
    </row>
    <row r="178" spans="1:40">
      <c r="A178" s="284"/>
      <c r="B178" s="326" t="s">
        <v>1156</v>
      </c>
      <c r="C178" s="758">
        <f>'Inputs and eligible population'!$G$105</f>
        <v>0</v>
      </c>
      <c r="D178" s="127">
        <f>(('Financial impact (cash)'!D$15)*'Inputs and eligible population'!$H$61/(365/'Inputs and eligible population'!$D$61))*'Capacity (local prices)'!$C178</f>
        <v>0</v>
      </c>
      <c r="E178" s="127">
        <f>(('Financial impact (cash)'!D$15)*'Inputs and eligible population'!$H$61/(365/'Inputs and eligible population'!$D$61))*'Capacity (local prices)'!$C178</f>
        <v>0</v>
      </c>
      <c r="F178" s="127">
        <f>(('Financial impact (cash)'!D$15)*'Inputs and eligible population'!$H$61/(365/'Inputs and eligible population'!$D$61))*'Capacity (local prices)'!$C178</f>
        <v>0</v>
      </c>
      <c r="G178" s="127">
        <f>(('Financial impact (cash)'!D$15)*'Inputs and eligible population'!$H$61/(365/'Inputs and eligible population'!$D$61))*'Capacity (local prices)'!$C178</f>
        <v>0</v>
      </c>
      <c r="H178" s="127">
        <f>(('Financial impact (cash)'!E$15)*'Inputs and eligible population'!$H$61/(365/'Inputs and eligible population'!$D$61))*'Capacity (local prices)'!$C178</f>
        <v>0</v>
      </c>
      <c r="I178" s="127">
        <f>(('Financial impact (cash)'!F$15)*'Inputs and eligible population'!$H$61/(365/'Inputs and eligible population'!$D$61))*'Capacity (local prices)'!$C178</f>
        <v>0</v>
      </c>
      <c r="J178" s="218"/>
      <c r="K178" s="528">
        <f>'Unit costs'!$N$75</f>
        <v>135</v>
      </c>
      <c r="L178" s="530">
        <f t="shared" si="54"/>
        <v>0</v>
      </c>
      <c r="M178" s="530">
        <f t="shared" si="52"/>
        <v>0</v>
      </c>
      <c r="N178" s="530">
        <f t="shared" si="52"/>
        <v>0</v>
      </c>
      <c r="O178" s="530">
        <f t="shared" si="52"/>
        <v>0</v>
      </c>
      <c r="P178" s="530">
        <f t="shared" si="52"/>
        <v>0</v>
      </c>
      <c r="Q178" s="530">
        <f t="shared" si="52"/>
        <v>0</v>
      </c>
      <c r="R178" s="132"/>
      <c r="S178" s="132"/>
      <c r="T178" s="132"/>
      <c r="U178" s="132"/>
      <c r="V178" s="132"/>
      <c r="W178" s="132"/>
      <c r="X178" s="132"/>
      <c r="Y178" s="132"/>
      <c r="Z178" s="132"/>
      <c r="AJ178" s="281"/>
      <c r="AK178" s="281"/>
      <c r="AL178" s="281"/>
      <c r="AM178" s="281"/>
      <c r="AN178" s="281"/>
    </row>
    <row r="179" spans="1:40">
      <c r="A179" s="284"/>
      <c r="B179" s="326" t="s">
        <v>1157</v>
      </c>
      <c r="C179" s="758">
        <f>'Inputs and eligible population'!$G$105</f>
        <v>0</v>
      </c>
      <c r="D179" s="127">
        <f>(('Financial impact (cash)'!D$15)*'Inputs and eligible population'!$I$61/(365/'Inputs and eligible population'!$D$61))*'Capacity (local prices)'!$C179</f>
        <v>0</v>
      </c>
      <c r="E179" s="127">
        <f>(('Financial impact (cash)'!D$15)*'Inputs and eligible population'!$I$61/(365/'Inputs and eligible population'!$D$61))*'Capacity (local prices)'!$C179</f>
        <v>0</v>
      </c>
      <c r="F179" s="127">
        <f>(('Financial impact (cash)'!D$15)*'Inputs and eligible population'!$I$61/(365/'Inputs and eligible population'!$D$61))*'Capacity (local prices)'!$C179</f>
        <v>0</v>
      </c>
      <c r="G179" s="127">
        <f>(('Financial impact (cash)'!D$15)*'Inputs and eligible population'!$I$61/(365/'Inputs and eligible population'!$D$61))*'Capacity (local prices)'!$C179</f>
        <v>0</v>
      </c>
      <c r="H179" s="127">
        <f>(('Financial impact (cash)'!D$15)*'Inputs and eligible population'!$I$61/(365/'Inputs and eligible population'!$D$61))*'Capacity (local prices)'!$C179</f>
        <v>0</v>
      </c>
      <c r="I179" s="127">
        <f>(('Financial impact (cash)'!E$15)*'Inputs and eligible population'!$I$61/(365/'Inputs and eligible population'!$D$61))*'Capacity (local prices)'!$C179</f>
        <v>0</v>
      </c>
      <c r="J179" s="218"/>
      <c r="K179" s="528">
        <f>'Unit costs'!$N$75</f>
        <v>135</v>
      </c>
      <c r="L179" s="530">
        <f t="shared" si="54"/>
        <v>0</v>
      </c>
      <c r="M179" s="530">
        <f t="shared" si="52"/>
        <v>0</v>
      </c>
      <c r="N179" s="530">
        <f t="shared" si="52"/>
        <v>0</v>
      </c>
      <c r="O179" s="530">
        <f t="shared" si="52"/>
        <v>0</v>
      </c>
      <c r="P179" s="530">
        <f t="shared" si="52"/>
        <v>0</v>
      </c>
      <c r="Q179" s="530">
        <f t="shared" si="52"/>
        <v>0</v>
      </c>
      <c r="R179" s="132"/>
      <c r="S179" s="132"/>
      <c r="T179" s="132"/>
      <c r="U179" s="132"/>
      <c r="V179" s="132"/>
      <c r="W179" s="132"/>
      <c r="X179" s="132"/>
      <c r="Y179" s="132"/>
      <c r="Z179" s="132"/>
      <c r="AJ179" s="281"/>
      <c r="AK179" s="281"/>
      <c r="AL179" s="281"/>
      <c r="AM179" s="281"/>
      <c r="AN179" s="281"/>
    </row>
    <row r="180" spans="1:40">
      <c r="A180" s="284"/>
      <c r="B180" s="326" t="s">
        <v>1158</v>
      </c>
      <c r="C180" s="758">
        <f>'Inputs and eligible population'!$H$105</f>
        <v>0</v>
      </c>
      <c r="D180" s="127">
        <f>('Financial impact (cash)'!D$16*'Inputs and eligible population'!$E$62/(365/'Inputs and eligible population'!D$62))*$C180</f>
        <v>0</v>
      </c>
      <c r="E180" s="127">
        <f>(('Financial impact (cash)'!E$16)*'Inputs and eligible population'!$E$62/(365/'Inputs and eligible population'!$D$62))*'Capacity (local prices)'!$C180</f>
        <v>0</v>
      </c>
      <c r="F180" s="127">
        <f>(('Financial impact (cash)'!F$16)*'Inputs and eligible population'!$E$62/(365/'Inputs and eligible population'!$D$62))*'Capacity (local prices)'!$C180</f>
        <v>0</v>
      </c>
      <c r="G180" s="127">
        <f>(('Financial impact (cash)'!G$16)*'Inputs and eligible population'!$E$62/(365/'Inputs and eligible population'!$D$62))*'Capacity (local prices)'!$C180</f>
        <v>0</v>
      </c>
      <c r="H180" s="127">
        <f>(('Financial impact (cash)'!H$16)*'Inputs and eligible population'!$E$62/(365/'Inputs and eligible population'!$D$62))*'Capacity (local prices)'!$C180</f>
        <v>0</v>
      </c>
      <c r="I180" s="127">
        <f>(('Financial impact (cash)'!I$16)*'Inputs and eligible population'!$E$62/(365/'Inputs and eligible population'!$D$62))*'Capacity (local prices)'!$C180</f>
        <v>0</v>
      </c>
      <c r="J180" s="218"/>
      <c r="K180" s="528">
        <f>'Unit costs'!$N$75</f>
        <v>135</v>
      </c>
      <c r="L180" s="530">
        <f t="shared" si="54"/>
        <v>0</v>
      </c>
      <c r="M180" s="530">
        <f t="shared" si="52"/>
        <v>0</v>
      </c>
      <c r="N180" s="530">
        <f t="shared" si="52"/>
        <v>0</v>
      </c>
      <c r="O180" s="530">
        <f t="shared" si="52"/>
        <v>0</v>
      </c>
      <c r="P180" s="530">
        <f t="shared" si="52"/>
        <v>0</v>
      </c>
      <c r="Q180" s="530">
        <f t="shared" si="52"/>
        <v>0</v>
      </c>
      <c r="R180" s="132"/>
      <c r="S180" s="132"/>
      <c r="T180" s="132"/>
      <c r="U180" s="132"/>
      <c r="V180" s="132"/>
      <c r="W180" s="132"/>
      <c r="X180" s="132"/>
      <c r="Y180" s="132"/>
      <c r="Z180" s="132"/>
      <c r="AJ180" s="281"/>
      <c r="AK180" s="281"/>
      <c r="AL180" s="281"/>
      <c r="AM180" s="281"/>
      <c r="AN180" s="281"/>
    </row>
    <row r="181" spans="1:40">
      <c r="A181" s="284"/>
      <c r="B181" s="326" t="s">
        <v>1159</v>
      </c>
      <c r="C181" s="758">
        <f>'Inputs and eligible population'!$H$105</f>
        <v>0</v>
      </c>
      <c r="D181" s="127">
        <f>(('Financial impact (cash)'!D$16)*'Inputs and eligible population'!$F$62/(365/'Inputs and eligible population'!$D$62))*'Capacity (local prices)'!$C181</f>
        <v>0</v>
      </c>
      <c r="E181" s="127">
        <f>(('Financial impact (cash)'!D$16)*'Inputs and eligible population'!$F$62/(365/'Inputs and eligible population'!$D$62))*'Capacity (local prices)'!$C181</f>
        <v>0</v>
      </c>
      <c r="F181" s="127">
        <f>(('Financial impact (cash)'!E$16)*'Inputs and eligible population'!$F$62/(365/'Inputs and eligible population'!$D$62))*'Capacity (local prices)'!$C181</f>
        <v>0</v>
      </c>
      <c r="G181" s="127">
        <f>(('Financial impact (cash)'!F$16)*'Inputs and eligible population'!$F$62/(365/'Inputs and eligible population'!$D$62))*'Capacity (local prices)'!$C181</f>
        <v>0</v>
      </c>
      <c r="H181" s="127">
        <f>(('Financial impact (cash)'!G$16)*'Inputs and eligible population'!$F$62/(365/'Inputs and eligible population'!$D$62))*'Capacity (local prices)'!$C181</f>
        <v>0</v>
      </c>
      <c r="I181" s="127">
        <f>(('Financial impact (cash)'!H$16)*'Inputs and eligible population'!$F$62/(365/'Inputs and eligible population'!$D$62))*'Capacity (local prices)'!$C181</f>
        <v>0</v>
      </c>
      <c r="J181" s="218"/>
      <c r="K181" s="528">
        <f>'Unit costs'!$N$75</f>
        <v>135</v>
      </c>
      <c r="L181" s="530">
        <f t="shared" si="54"/>
        <v>0</v>
      </c>
      <c r="M181" s="530">
        <f t="shared" si="52"/>
        <v>0</v>
      </c>
      <c r="N181" s="530">
        <f t="shared" si="52"/>
        <v>0</v>
      </c>
      <c r="O181" s="530">
        <f t="shared" si="52"/>
        <v>0</v>
      </c>
      <c r="P181" s="530">
        <f t="shared" si="52"/>
        <v>0</v>
      </c>
      <c r="Q181" s="530">
        <f t="shared" si="52"/>
        <v>0</v>
      </c>
      <c r="R181" s="132"/>
      <c r="S181" s="132"/>
      <c r="T181" s="132"/>
      <c r="U181" s="132"/>
      <c r="V181" s="132"/>
      <c r="W181" s="132"/>
      <c r="X181" s="132"/>
      <c r="Y181" s="132"/>
      <c r="Z181" s="132"/>
      <c r="AJ181" s="281"/>
      <c r="AK181" s="281"/>
      <c r="AL181" s="281"/>
      <c r="AM181" s="281"/>
      <c r="AN181" s="281"/>
    </row>
    <row r="182" spans="1:40">
      <c r="A182" s="284"/>
      <c r="B182" s="326" t="s">
        <v>1160</v>
      </c>
      <c r="C182" s="758">
        <f>'Inputs and eligible population'!$H$105</f>
        <v>0</v>
      </c>
      <c r="D182" s="127">
        <f>(('Financial impact (cash)'!D$16)*'Inputs and eligible population'!$G$62/(365/'Inputs and eligible population'!$D$62))*'Capacity (local prices)'!$C182</f>
        <v>0</v>
      </c>
      <c r="E182" s="127">
        <f>(('Financial impact (cash)'!D$16)*'Inputs and eligible population'!$G$62/(365/'Inputs and eligible population'!$D$62))*'Capacity (local prices)'!$C182</f>
        <v>0</v>
      </c>
      <c r="F182" s="127">
        <f>(('Financial impact (cash)'!D$16)*'Inputs and eligible population'!$G$62/(365/'Inputs and eligible population'!$D$62))*'Capacity (local prices)'!$C182</f>
        <v>0</v>
      </c>
      <c r="G182" s="127">
        <f>(('Financial impact (cash)'!E$16)*'Inputs and eligible population'!$G$62/(365/'Inputs and eligible population'!$D$62))*'Capacity (local prices)'!$C182</f>
        <v>0</v>
      </c>
      <c r="H182" s="127">
        <f>(('Financial impact (cash)'!F$16)*'Inputs and eligible population'!$G$62/(365/'Inputs and eligible population'!$D$62))*'Capacity (local prices)'!$C182</f>
        <v>0</v>
      </c>
      <c r="I182" s="127">
        <f>(('Financial impact (cash)'!G$16)*'Inputs and eligible population'!$G$62/(365/'Inputs and eligible population'!$D$62))*'Capacity (local prices)'!$C182</f>
        <v>0</v>
      </c>
      <c r="J182" s="218"/>
      <c r="K182" s="528">
        <f>'Unit costs'!$N$75</f>
        <v>135</v>
      </c>
      <c r="L182" s="530">
        <f t="shared" si="54"/>
        <v>0</v>
      </c>
      <c r="M182" s="530">
        <f t="shared" si="52"/>
        <v>0</v>
      </c>
      <c r="N182" s="530">
        <f t="shared" si="52"/>
        <v>0</v>
      </c>
      <c r="O182" s="530">
        <f t="shared" si="52"/>
        <v>0</v>
      </c>
      <c r="P182" s="530">
        <f t="shared" si="52"/>
        <v>0</v>
      </c>
      <c r="Q182" s="530">
        <f t="shared" si="52"/>
        <v>0</v>
      </c>
      <c r="R182" s="132"/>
      <c r="S182" s="132"/>
      <c r="T182" s="132"/>
      <c r="U182" s="132"/>
      <c r="V182" s="132"/>
      <c r="W182" s="132"/>
      <c r="X182" s="132"/>
      <c r="Y182" s="132"/>
      <c r="Z182" s="132"/>
      <c r="AJ182" s="281"/>
      <c r="AK182" s="281"/>
      <c r="AL182" s="281"/>
      <c r="AM182" s="281"/>
      <c r="AN182" s="281"/>
    </row>
    <row r="183" spans="1:40">
      <c r="A183" s="284"/>
      <c r="B183" s="326" t="s">
        <v>1161</v>
      </c>
      <c r="C183" s="758">
        <f>'Inputs and eligible population'!$H$105</f>
        <v>0</v>
      </c>
      <c r="D183" s="127">
        <f>(('Financial impact (cash)'!D$16)*'Inputs and eligible population'!$H$62/(365/'Inputs and eligible population'!$D$62))*'Capacity (local prices)'!$C183</f>
        <v>0</v>
      </c>
      <c r="E183" s="127">
        <f>(('Financial impact (cash)'!D$16)*'Inputs and eligible population'!$H$62/(365/'Inputs and eligible population'!$D$62))*'Capacity (local prices)'!$C183</f>
        <v>0</v>
      </c>
      <c r="F183" s="127">
        <f>(('Financial impact (cash)'!D$16)*'Inputs and eligible population'!$H$62/(365/'Inputs and eligible population'!$D$62))*'Capacity (local prices)'!$C183</f>
        <v>0</v>
      </c>
      <c r="G183" s="127">
        <f>(('Financial impact (cash)'!D$16)*'Inputs and eligible population'!$H$62/(365/'Inputs and eligible population'!$D$62))*'Capacity (local prices)'!$C183</f>
        <v>0</v>
      </c>
      <c r="H183" s="127">
        <f>(('Financial impact (cash)'!E$16)*'Inputs and eligible population'!$H$62/(365/'Inputs and eligible population'!$D$62))*'Capacity (local prices)'!$C183</f>
        <v>0</v>
      </c>
      <c r="I183" s="127">
        <f>(('Financial impact (cash)'!F$16)*'Inputs and eligible population'!$H$62/(365/'Inputs and eligible population'!$D$62))*'Capacity (local prices)'!$C183</f>
        <v>0</v>
      </c>
      <c r="J183" s="218"/>
      <c r="K183" s="528">
        <f>'Unit costs'!$N$75</f>
        <v>135</v>
      </c>
      <c r="L183" s="530">
        <f t="shared" si="54"/>
        <v>0</v>
      </c>
      <c r="M183" s="530">
        <f t="shared" si="52"/>
        <v>0</v>
      </c>
      <c r="N183" s="530">
        <f t="shared" si="52"/>
        <v>0</v>
      </c>
      <c r="O183" s="530">
        <f t="shared" si="52"/>
        <v>0</v>
      </c>
      <c r="P183" s="530">
        <f t="shared" si="52"/>
        <v>0</v>
      </c>
      <c r="Q183" s="530">
        <f t="shared" si="52"/>
        <v>0</v>
      </c>
      <c r="R183" s="132"/>
      <c r="S183" s="132"/>
      <c r="T183" s="132"/>
      <c r="U183" s="132"/>
      <c r="V183" s="132"/>
      <c r="W183" s="132"/>
      <c r="X183" s="132"/>
      <c r="Y183" s="132"/>
      <c r="Z183" s="132"/>
      <c r="AJ183" s="281"/>
      <c r="AK183" s="281"/>
      <c r="AL183" s="281"/>
      <c r="AM183" s="281"/>
      <c r="AN183" s="281"/>
    </row>
    <row r="184" spans="1:40">
      <c r="A184" s="284"/>
      <c r="B184" s="326" t="s">
        <v>1162</v>
      </c>
      <c r="C184" s="758">
        <f>'Inputs and eligible population'!$H$105</f>
        <v>0</v>
      </c>
      <c r="D184" s="127">
        <f>(('Financial impact (cash)'!D$16)*'Inputs and eligible population'!$I$62/(365/'Inputs and eligible population'!$D$62))*'Capacity (local prices)'!$C184</f>
        <v>0</v>
      </c>
      <c r="E184" s="127">
        <f>(('Financial impact (cash)'!D$16)*'Inputs and eligible population'!$I$62/(365/'Inputs and eligible population'!$D$62))*'Capacity (local prices)'!$C184</f>
        <v>0</v>
      </c>
      <c r="F184" s="127">
        <f>(('Financial impact (cash)'!D$16)*'Inputs and eligible population'!$I$62/(365/'Inputs and eligible population'!$D$62))*'Capacity (local prices)'!$C184</f>
        <v>0</v>
      </c>
      <c r="G184" s="127">
        <f>(('Financial impact (cash)'!D$16)*'Inputs and eligible population'!$I$62/(365/'Inputs and eligible population'!$D$62))*'Capacity (local prices)'!$C184</f>
        <v>0</v>
      </c>
      <c r="H184" s="127">
        <f>(('Financial impact (cash)'!D$16)*'Inputs and eligible population'!$I$62/(365/'Inputs and eligible population'!$D$62))*'Capacity (local prices)'!$C184</f>
        <v>0</v>
      </c>
      <c r="I184" s="127">
        <f>(('Financial impact (cash)'!E$16)*'Inputs and eligible population'!$I$62/(365/'Inputs and eligible population'!$D$62))*'Capacity (local prices)'!$C184</f>
        <v>0</v>
      </c>
      <c r="J184" s="218"/>
      <c r="K184" s="528">
        <f>'Unit costs'!$N$75</f>
        <v>135</v>
      </c>
      <c r="L184" s="530">
        <f t="shared" si="54"/>
        <v>0</v>
      </c>
      <c r="M184" s="530">
        <f t="shared" si="52"/>
        <v>0</v>
      </c>
      <c r="N184" s="530">
        <f t="shared" si="52"/>
        <v>0</v>
      </c>
      <c r="O184" s="530">
        <f t="shared" si="52"/>
        <v>0</v>
      </c>
      <c r="P184" s="530">
        <f t="shared" si="52"/>
        <v>0</v>
      </c>
      <c r="Q184" s="530">
        <f t="shared" si="52"/>
        <v>0</v>
      </c>
      <c r="R184" s="132"/>
      <c r="S184" s="132"/>
      <c r="T184" s="132"/>
      <c r="U184" s="132"/>
      <c r="V184" s="132"/>
      <c r="W184" s="132"/>
      <c r="X184" s="132"/>
      <c r="Y184" s="132"/>
      <c r="Z184" s="132"/>
      <c r="AJ184" s="281"/>
      <c r="AK184" s="281"/>
      <c r="AL184" s="281"/>
      <c r="AM184" s="281"/>
      <c r="AN184" s="281"/>
    </row>
    <row r="185" spans="1:40">
      <c r="A185" s="284"/>
      <c r="B185" s="326" t="s">
        <v>1163</v>
      </c>
      <c r="C185" s="758">
        <f>'Inputs and eligible population'!$I$105</f>
        <v>0</v>
      </c>
      <c r="D185" s="127">
        <f>('Financial impact (cash)'!D$17*'Inputs and eligible population'!$E$63/(365/'Inputs and eligible population'!D$63))*$C185</f>
        <v>0</v>
      </c>
      <c r="E185" s="127">
        <f>(('Financial impact (cash)'!E$17)*'Inputs and eligible population'!$E$63/(365/'Inputs and eligible population'!$D$63))*'Capacity (local prices)'!$C185</f>
        <v>0</v>
      </c>
      <c r="F185" s="127">
        <f>(('Financial impact (cash)'!F$17)*'Inputs and eligible population'!$E$63/(365/'Inputs and eligible population'!$D$63))*'Capacity (local prices)'!$C185</f>
        <v>0</v>
      </c>
      <c r="G185" s="127">
        <f>(('Financial impact (cash)'!G$17)*'Inputs and eligible population'!$E$63/(365/'Inputs and eligible population'!$D$63))*'Capacity (local prices)'!$C185</f>
        <v>0</v>
      </c>
      <c r="H185" s="127">
        <f>(('Financial impact (cash)'!H$17)*'Inputs and eligible population'!$E$63/(365/'Inputs and eligible population'!$D$63))*'Capacity (local prices)'!$C185</f>
        <v>0</v>
      </c>
      <c r="I185" s="127">
        <f>(('Financial impact (cash)'!I$17)*'Inputs and eligible population'!$E$63/(365/'Inputs and eligible population'!$D$63))*'Capacity (local prices)'!$C185</f>
        <v>0</v>
      </c>
      <c r="J185" s="218"/>
      <c r="K185" s="528">
        <f>'Unit costs'!$N$75</f>
        <v>135</v>
      </c>
      <c r="L185" s="530">
        <f t="shared" si="54"/>
        <v>0</v>
      </c>
      <c r="M185" s="530">
        <f t="shared" si="52"/>
        <v>0</v>
      </c>
      <c r="N185" s="530">
        <f t="shared" si="52"/>
        <v>0</v>
      </c>
      <c r="O185" s="530">
        <f t="shared" si="52"/>
        <v>0</v>
      </c>
      <c r="P185" s="530">
        <f t="shared" si="52"/>
        <v>0</v>
      </c>
      <c r="Q185" s="530">
        <f t="shared" si="52"/>
        <v>0</v>
      </c>
      <c r="R185" s="132"/>
      <c r="S185" s="132"/>
      <c r="T185" s="132"/>
      <c r="U185" s="132"/>
      <c r="V185" s="132"/>
      <c r="W185" s="132"/>
      <c r="X185" s="132"/>
      <c r="Y185" s="132"/>
      <c r="Z185" s="132"/>
      <c r="AJ185" s="281"/>
      <c r="AK185" s="281"/>
      <c r="AL185" s="281"/>
      <c r="AM185" s="281"/>
      <c r="AN185" s="281"/>
    </row>
    <row r="186" spans="1:40">
      <c r="A186" s="284"/>
      <c r="B186" s="326" t="s">
        <v>1164</v>
      </c>
      <c r="C186" s="758">
        <f>'Inputs and eligible population'!$I$105</f>
        <v>0</v>
      </c>
      <c r="D186" s="127">
        <f>(('Financial impact (cash)'!D$17)*'Inputs and eligible population'!$F$63/(365/'Inputs and eligible population'!$D$63))*'Capacity (local prices)'!$C186</f>
        <v>0</v>
      </c>
      <c r="E186" s="127">
        <f>(('Financial impact (cash)'!D$17)*'Inputs and eligible population'!$F$63/(365/'Inputs and eligible population'!$D$63))*'Capacity (local prices)'!$C186</f>
        <v>0</v>
      </c>
      <c r="F186" s="127">
        <f>(('Financial impact (cash)'!E$17)*'Inputs and eligible population'!$F$63/(365/'Inputs and eligible population'!$D$63))*'Capacity (local prices)'!$C186</f>
        <v>0</v>
      </c>
      <c r="G186" s="127">
        <f>(('Financial impact (cash)'!F$17)*'Inputs and eligible population'!$F$63/(365/'Inputs and eligible population'!$D$63))*'Capacity (local prices)'!$C186</f>
        <v>0</v>
      </c>
      <c r="H186" s="127">
        <f>(('Financial impact (cash)'!G$17)*'Inputs and eligible population'!$F$63/(365/'Inputs and eligible population'!$D$63))*'Capacity (local prices)'!$C186</f>
        <v>0</v>
      </c>
      <c r="I186" s="127">
        <f>(('Financial impact (cash)'!H$17)*'Inputs and eligible population'!$F$63/(365/'Inputs and eligible population'!$D$63))*'Capacity (local prices)'!$C186</f>
        <v>0</v>
      </c>
      <c r="J186" s="218"/>
      <c r="K186" s="528">
        <f>'Unit costs'!$N$75</f>
        <v>135</v>
      </c>
      <c r="L186" s="530">
        <f t="shared" si="54"/>
        <v>0</v>
      </c>
      <c r="M186" s="530">
        <f t="shared" si="52"/>
        <v>0</v>
      </c>
      <c r="N186" s="530">
        <f t="shared" si="52"/>
        <v>0</v>
      </c>
      <c r="O186" s="530">
        <f t="shared" si="52"/>
        <v>0</v>
      </c>
      <c r="P186" s="530">
        <f t="shared" si="52"/>
        <v>0</v>
      </c>
      <c r="Q186" s="530">
        <f t="shared" si="52"/>
        <v>0</v>
      </c>
      <c r="R186" s="132"/>
      <c r="S186" s="132"/>
      <c r="T186" s="132"/>
      <c r="U186" s="132"/>
      <c r="V186" s="132"/>
      <c r="W186" s="132"/>
      <c r="X186" s="132"/>
      <c r="Y186" s="132"/>
      <c r="Z186" s="132"/>
      <c r="AJ186" s="281"/>
      <c r="AK186" s="281"/>
      <c r="AL186" s="281"/>
      <c r="AM186" s="281"/>
      <c r="AN186" s="281"/>
    </row>
    <row r="187" spans="1:40">
      <c r="A187" s="284"/>
      <c r="B187" s="326" t="s">
        <v>1165</v>
      </c>
      <c r="C187" s="758">
        <f>'Inputs and eligible population'!$I$105</f>
        <v>0</v>
      </c>
      <c r="D187" s="127">
        <f>(('Financial impact (cash)'!D$17)*'Inputs and eligible population'!$G$63/(365/'Inputs and eligible population'!$D$63))*'Capacity (local prices)'!$C187</f>
        <v>0</v>
      </c>
      <c r="E187" s="127">
        <f>(('Financial impact (cash)'!D$17)*'Inputs and eligible population'!$G$63/(365/'Inputs and eligible population'!$D$63))*'Capacity (local prices)'!$C187</f>
        <v>0</v>
      </c>
      <c r="F187" s="127">
        <f>(('Financial impact (cash)'!D$17)*'Inputs and eligible population'!$G$63/(365/'Inputs and eligible population'!$D$63))*'Capacity (local prices)'!$C187</f>
        <v>0</v>
      </c>
      <c r="G187" s="127">
        <f>(('Financial impact (cash)'!E$17)*'Inputs and eligible population'!$G$63/(365/'Inputs and eligible population'!$D$63))*'Capacity (local prices)'!$C187</f>
        <v>0</v>
      </c>
      <c r="H187" s="127">
        <f>(('Financial impact (cash)'!F$17)*'Inputs and eligible population'!$G$63/(365/'Inputs and eligible population'!$D$63))*'Capacity (local prices)'!$C187</f>
        <v>0</v>
      </c>
      <c r="I187" s="127">
        <f>(('Financial impact (cash)'!G$17)*'Inputs and eligible population'!$G$63/(365/'Inputs and eligible population'!$D$63))*'Capacity (local prices)'!$C187</f>
        <v>0</v>
      </c>
      <c r="J187" s="218"/>
      <c r="K187" s="528">
        <f>'Unit costs'!$N$75</f>
        <v>135</v>
      </c>
      <c r="L187" s="530">
        <f t="shared" si="54"/>
        <v>0</v>
      </c>
      <c r="M187" s="530">
        <f t="shared" si="52"/>
        <v>0</v>
      </c>
      <c r="N187" s="530">
        <f t="shared" si="52"/>
        <v>0</v>
      </c>
      <c r="O187" s="530">
        <f t="shared" si="52"/>
        <v>0</v>
      </c>
      <c r="P187" s="530">
        <f t="shared" si="52"/>
        <v>0</v>
      </c>
      <c r="Q187" s="530">
        <f t="shared" si="52"/>
        <v>0</v>
      </c>
      <c r="R187" s="132"/>
      <c r="S187" s="132"/>
      <c r="T187" s="132"/>
      <c r="U187" s="132"/>
      <c r="V187" s="132"/>
      <c r="W187" s="132"/>
      <c r="X187" s="132"/>
      <c r="Y187" s="132"/>
      <c r="Z187" s="132"/>
      <c r="AJ187" s="281"/>
      <c r="AK187" s="281"/>
      <c r="AL187" s="281"/>
      <c r="AM187" s="281"/>
      <c r="AN187" s="281"/>
    </row>
    <row r="188" spans="1:40">
      <c r="A188" s="284"/>
      <c r="B188" s="326" t="s">
        <v>1166</v>
      </c>
      <c r="C188" s="758">
        <f>'Inputs and eligible population'!$I$105</f>
        <v>0</v>
      </c>
      <c r="D188" s="127">
        <f>(('Financial impact (cash)'!D$17)*'Inputs and eligible population'!$H$63/(365/'Inputs and eligible population'!$D$63))*'Capacity (local prices)'!$C188</f>
        <v>0</v>
      </c>
      <c r="E188" s="127">
        <f>(('Financial impact (cash)'!D$17)*'Inputs and eligible population'!$H$63/(365/'Inputs and eligible population'!$D$63))*'Capacity (local prices)'!$C188</f>
        <v>0</v>
      </c>
      <c r="F188" s="127">
        <f>(('Financial impact (cash)'!D$17)*'Inputs and eligible population'!$H$63/(365/'Inputs and eligible population'!$D$63))*'Capacity (local prices)'!$C188</f>
        <v>0</v>
      </c>
      <c r="G188" s="127">
        <f>(('Financial impact (cash)'!D$17)*'Inputs and eligible population'!$H$63/(365/'Inputs and eligible population'!$D$63))*'Capacity (local prices)'!$C188</f>
        <v>0</v>
      </c>
      <c r="H188" s="127">
        <f>(('Financial impact (cash)'!E$17)*'Inputs and eligible population'!$H$63/(365/'Inputs and eligible population'!$D$63))*'Capacity (local prices)'!$C188</f>
        <v>0</v>
      </c>
      <c r="I188" s="127">
        <f>(('Financial impact (cash)'!F$17)*'Inputs and eligible population'!$H$63/(365/'Inputs and eligible population'!$D$63))*'Capacity (local prices)'!$C188</f>
        <v>0</v>
      </c>
      <c r="J188" s="218"/>
      <c r="K188" s="528">
        <f>'Unit costs'!$N$75</f>
        <v>135</v>
      </c>
      <c r="L188" s="530">
        <f t="shared" si="54"/>
        <v>0</v>
      </c>
      <c r="M188" s="530">
        <f t="shared" si="52"/>
        <v>0</v>
      </c>
      <c r="N188" s="530">
        <f t="shared" si="52"/>
        <v>0</v>
      </c>
      <c r="O188" s="530">
        <f t="shared" si="52"/>
        <v>0</v>
      </c>
      <c r="P188" s="530">
        <f t="shared" si="52"/>
        <v>0</v>
      </c>
      <c r="Q188" s="530">
        <f t="shared" si="52"/>
        <v>0</v>
      </c>
      <c r="R188" s="132"/>
      <c r="S188" s="132"/>
      <c r="T188" s="132"/>
      <c r="U188" s="132"/>
      <c r="V188" s="132"/>
      <c r="W188" s="132"/>
      <c r="X188" s="132"/>
      <c r="Y188" s="132"/>
      <c r="Z188" s="132"/>
      <c r="AJ188" s="281"/>
      <c r="AK188" s="281"/>
      <c r="AL188" s="281"/>
      <c r="AM188" s="281"/>
      <c r="AN188" s="281"/>
    </row>
    <row r="189" spans="1:40">
      <c r="A189" s="284"/>
      <c r="B189" s="326" t="s">
        <v>1167</v>
      </c>
      <c r="C189" s="758">
        <f>'Inputs and eligible population'!$I$105</f>
        <v>0</v>
      </c>
      <c r="D189" s="127">
        <f>(('Financial impact (cash)'!D$17)*'Inputs and eligible population'!$I$63/(365/'Inputs and eligible population'!$D$63))*'Capacity (local prices)'!$C189</f>
        <v>0</v>
      </c>
      <c r="E189" s="127">
        <f>(('Financial impact (cash)'!D$17)*'Inputs and eligible population'!$I$63/(365/'Inputs and eligible population'!$D$63))*'Capacity (local prices)'!$C189</f>
        <v>0</v>
      </c>
      <c r="F189" s="127">
        <f>(('Financial impact (cash)'!D$17)*'Inputs and eligible population'!$I$63/(365/'Inputs and eligible population'!$D$63))*'Capacity (local prices)'!$C189</f>
        <v>0</v>
      </c>
      <c r="G189" s="127">
        <f>(('Financial impact (cash)'!D$17)*'Inputs and eligible population'!$I$63/(365/'Inputs and eligible population'!$D$63))*'Capacity (local prices)'!$C189</f>
        <v>0</v>
      </c>
      <c r="H189" s="127">
        <f>(('Financial impact (cash)'!D$17)*'Inputs and eligible population'!$I$63/(365/'Inputs and eligible population'!$D$63))*'Capacity (local prices)'!$C189</f>
        <v>0</v>
      </c>
      <c r="I189" s="127">
        <f>(('Financial impact (cash)'!E$17)*'Inputs and eligible population'!$I$63/(365/'Inputs and eligible population'!$D$63))*'Capacity (local prices)'!$C189</f>
        <v>0</v>
      </c>
      <c r="J189" s="218"/>
      <c r="K189" s="528">
        <f>'Unit costs'!$N$75</f>
        <v>135</v>
      </c>
      <c r="L189" s="530">
        <f t="shared" si="54"/>
        <v>0</v>
      </c>
      <c r="M189" s="530">
        <f t="shared" si="52"/>
        <v>0</v>
      </c>
      <c r="N189" s="530">
        <f t="shared" si="52"/>
        <v>0</v>
      </c>
      <c r="O189" s="530">
        <f t="shared" si="52"/>
        <v>0</v>
      </c>
      <c r="P189" s="530">
        <f t="shared" si="52"/>
        <v>0</v>
      </c>
      <c r="Q189" s="530">
        <f t="shared" si="52"/>
        <v>0</v>
      </c>
      <c r="R189" s="132"/>
      <c r="S189" s="132"/>
      <c r="T189" s="132"/>
      <c r="U189" s="132"/>
      <c r="V189" s="132"/>
      <c r="W189" s="132"/>
      <c r="X189" s="132"/>
      <c r="Y189" s="132"/>
      <c r="Z189" s="132"/>
      <c r="AJ189" s="281"/>
      <c r="AK189" s="281"/>
      <c r="AL189" s="281"/>
      <c r="AM189" s="281"/>
      <c r="AN189" s="281"/>
    </row>
    <row r="190" spans="1:40">
      <c r="A190" s="284"/>
      <c r="B190" s="278"/>
      <c r="C190" s="205"/>
      <c r="D190" s="184">
        <f>SUM(D165:D189)</f>
        <v>0</v>
      </c>
      <c r="E190" s="184">
        <f t="shared" ref="E190:I190" si="55">SUM(E165:E189)</f>
        <v>0</v>
      </c>
      <c r="F190" s="184">
        <f t="shared" si="55"/>
        <v>0</v>
      </c>
      <c r="G190" s="184">
        <f t="shared" si="55"/>
        <v>0</v>
      </c>
      <c r="H190" s="184">
        <f t="shared" si="55"/>
        <v>0</v>
      </c>
      <c r="I190" s="184">
        <f t="shared" si="55"/>
        <v>0</v>
      </c>
      <c r="J190" s="284"/>
      <c r="K190" s="284"/>
      <c r="L190" s="287">
        <f>SUM(L165:L189)</f>
        <v>0</v>
      </c>
      <c r="M190" s="287">
        <f t="shared" ref="M190:Q190" si="56">SUM(M165:M189)</f>
        <v>0</v>
      </c>
      <c r="N190" s="287">
        <f t="shared" si="56"/>
        <v>0</v>
      </c>
      <c r="O190" s="287">
        <f t="shared" si="56"/>
        <v>0</v>
      </c>
      <c r="P190" s="287">
        <f t="shared" si="56"/>
        <v>0</v>
      </c>
      <c r="Q190" s="287">
        <f t="shared" si="56"/>
        <v>0</v>
      </c>
      <c r="R190" s="132"/>
      <c r="S190" s="132"/>
      <c r="T190" s="132"/>
      <c r="U190" s="132"/>
      <c r="V190" s="132"/>
      <c r="W190" s="132"/>
      <c r="X190" s="132"/>
      <c r="Y190" s="132"/>
      <c r="Z190" s="132"/>
      <c r="AJ190" s="281"/>
      <c r="AK190" s="281"/>
      <c r="AL190" s="281"/>
      <c r="AM190" s="281"/>
      <c r="AN190" s="281"/>
    </row>
    <row r="191" spans="1:40">
      <c r="A191" s="284"/>
      <c r="B191" s="289"/>
      <c r="C191" s="252"/>
      <c r="D191" s="280" t="s">
        <v>816</v>
      </c>
      <c r="E191" s="184">
        <f>E190-$D$190</f>
        <v>0</v>
      </c>
      <c r="F191" s="184">
        <f>F190-$D$190</f>
        <v>0</v>
      </c>
      <c r="G191" s="184">
        <f>G190-$D$190</f>
        <v>0</v>
      </c>
      <c r="H191" s="184">
        <f>H190-$D$190</f>
        <v>0</v>
      </c>
      <c r="I191" s="184">
        <f>I190-$D$190</f>
        <v>0</v>
      </c>
      <c r="J191" s="284"/>
      <c r="K191" s="284"/>
      <c r="L191" s="506"/>
      <c r="M191" s="287">
        <f>M190-$L$190</f>
        <v>0</v>
      </c>
      <c r="N191" s="287">
        <f t="shared" ref="N191:Q191" si="57">N190-$L$190</f>
        <v>0</v>
      </c>
      <c r="O191" s="287">
        <f t="shared" si="57"/>
        <v>0</v>
      </c>
      <c r="P191" s="287">
        <f t="shared" si="57"/>
        <v>0</v>
      </c>
      <c r="Q191" s="287">
        <f t="shared" si="57"/>
        <v>0</v>
      </c>
      <c r="V191" s="132"/>
    </row>
    <row r="192" spans="1:40">
      <c r="A192" s="284"/>
      <c r="B192" s="304"/>
      <c r="C192" s="218"/>
      <c r="D192" s="218"/>
      <c r="E192" s="218"/>
      <c r="F192" s="218"/>
      <c r="G192" s="218"/>
      <c r="H192" s="218"/>
      <c r="I192" s="218"/>
      <c r="J192" s="284"/>
      <c r="K192" s="284"/>
      <c r="L192" s="218"/>
      <c r="M192" s="218"/>
      <c r="N192" s="218"/>
      <c r="O192" s="218"/>
      <c r="P192" s="218"/>
      <c r="Q192" s="218"/>
      <c r="V192" s="132"/>
    </row>
    <row r="193" spans="1:40">
      <c r="A193" s="284"/>
      <c r="B193" s="372" t="s">
        <v>1168</v>
      </c>
      <c r="C193" s="373"/>
      <c r="D193" s="373"/>
      <c r="E193" s="373"/>
      <c r="F193" s="373"/>
      <c r="G193" s="373"/>
      <c r="H193" s="373"/>
      <c r="I193" s="217"/>
      <c r="J193" s="284"/>
      <c r="K193" s="284"/>
      <c r="L193" s="398"/>
      <c r="M193" s="398"/>
      <c r="N193" s="398"/>
      <c r="O193" s="398"/>
      <c r="P193" s="398"/>
      <c r="Q193" s="398"/>
      <c r="R193" s="132"/>
      <c r="S193" s="132"/>
      <c r="T193" s="132"/>
      <c r="U193" s="132"/>
      <c r="V193" s="132"/>
      <c r="W193" s="132"/>
      <c r="X193" s="132"/>
      <c r="Y193" s="132"/>
      <c r="Z193" s="132"/>
      <c r="AJ193" s="281"/>
      <c r="AK193" s="281"/>
      <c r="AL193" s="281"/>
      <c r="AM193" s="281"/>
      <c r="AN193" s="281"/>
    </row>
    <row r="194" spans="1:40" ht="45">
      <c r="A194" s="284"/>
      <c r="B194" s="274" t="s">
        <v>757</v>
      </c>
      <c r="C194" s="165" t="s">
        <v>833</v>
      </c>
      <c r="D194" s="392" t="s">
        <v>825</v>
      </c>
      <c r="E194" s="251" t="s">
        <v>674</v>
      </c>
      <c r="F194" s="251" t="s">
        <v>675</v>
      </c>
      <c r="G194" s="164" t="s">
        <v>792</v>
      </c>
      <c r="H194" s="164" t="s">
        <v>793</v>
      </c>
      <c r="I194" s="251" t="s">
        <v>794</v>
      </c>
      <c r="J194" s="284"/>
      <c r="K194" s="515" t="s">
        <v>845</v>
      </c>
      <c r="L194" s="392" t="s">
        <v>825</v>
      </c>
      <c r="M194" s="251" t="s">
        <v>674</v>
      </c>
      <c r="N194" s="251" t="s">
        <v>675</v>
      </c>
      <c r="O194" s="164" t="s">
        <v>792</v>
      </c>
      <c r="P194" s="164" t="s">
        <v>793</v>
      </c>
      <c r="Q194" s="251" t="s">
        <v>794</v>
      </c>
      <c r="R194" s="132"/>
      <c r="S194" s="668"/>
      <c r="T194" s="132"/>
      <c r="U194" s="132"/>
      <c r="V194" s="132"/>
      <c r="W194" s="132"/>
      <c r="X194" s="132"/>
      <c r="Y194" s="132"/>
      <c r="Z194" s="132"/>
      <c r="AJ194" s="281"/>
      <c r="AK194" s="281"/>
      <c r="AL194" s="281"/>
      <c r="AM194" s="281"/>
      <c r="AN194" s="281"/>
    </row>
    <row r="195" spans="1:40">
      <c r="A195" s="284"/>
      <c r="B195" s="326" t="s">
        <v>1143</v>
      </c>
      <c r="C195" s="758">
        <f>'Inputs and eligible population'!$F$107</f>
        <v>1</v>
      </c>
      <c r="D195" s="127">
        <f>'Financial impact (cash)'!D13*C195*'Inputs and eligible population'!$E$59</f>
        <v>0</v>
      </c>
      <c r="E195" s="127">
        <f>'Financial impact (cash)'!E13*C195*'Inputs and eligible population'!$E$59</f>
        <v>0</v>
      </c>
      <c r="F195" s="127">
        <f>'Financial impact (cash)'!F13*'Capacity (local prices)'!$C195*'Inputs and eligible population'!$E$59</f>
        <v>0</v>
      </c>
      <c r="G195" s="127">
        <f>'Financial impact (cash)'!G13*'Capacity (local prices)'!$C195*'Inputs and eligible population'!$E$59</f>
        <v>0</v>
      </c>
      <c r="H195" s="127">
        <f>'Financial impact (cash)'!H13*'Capacity (local prices)'!$C195*'Inputs and eligible population'!$E$59</f>
        <v>0</v>
      </c>
      <c r="I195" s="127">
        <f>'Financial impact (cash)'!I13*'Capacity (local prices)'!$C195*'Inputs and eligible population'!$E$59</f>
        <v>0</v>
      </c>
      <c r="J195" s="218"/>
      <c r="K195" s="528">
        <f>'Unit costs'!$N$71</f>
        <v>4.7</v>
      </c>
      <c r="L195" s="530">
        <f>$K195/1000*D195</f>
        <v>0</v>
      </c>
      <c r="M195" s="530">
        <f t="shared" ref="M195:Q219" si="58">$K195/1000*E195</f>
        <v>0</v>
      </c>
      <c r="N195" s="530">
        <f t="shared" si="58"/>
        <v>0</v>
      </c>
      <c r="O195" s="530">
        <f t="shared" si="58"/>
        <v>0</v>
      </c>
      <c r="P195" s="530">
        <f t="shared" si="58"/>
        <v>0</v>
      </c>
      <c r="Q195" s="530">
        <f t="shared" si="58"/>
        <v>0</v>
      </c>
      <c r="R195" s="132"/>
      <c r="S195" s="668"/>
      <c r="T195" s="668"/>
      <c r="U195" s="132"/>
      <c r="V195" s="132"/>
      <c r="W195" s="132"/>
      <c r="X195" s="132"/>
      <c r="Y195" s="132"/>
      <c r="Z195" s="132"/>
      <c r="AJ195" s="281"/>
      <c r="AK195" s="281"/>
      <c r="AL195" s="281"/>
      <c r="AM195" s="281"/>
      <c r="AN195" s="281"/>
    </row>
    <row r="196" spans="1:40">
      <c r="A196" s="284"/>
      <c r="B196" s="326" t="s">
        <v>1144</v>
      </c>
      <c r="C196" s="758">
        <f>'Inputs and eligible population'!$F$107</f>
        <v>1</v>
      </c>
      <c r="D196" s="127">
        <f>'Financial impact (cash)'!$D$13*'Inputs and eligible population'!$F$59*C196</f>
        <v>0</v>
      </c>
      <c r="E196" s="127">
        <f>'Financial impact (cash)'!$D$13*'Inputs and eligible population'!$F$59*C196</f>
        <v>0</v>
      </c>
      <c r="F196" s="127">
        <f>'Financial impact (cash)'!$E$13*'Inputs and eligible population'!$F$59*'Capacity (local prices)'!$C$196</f>
        <v>0</v>
      </c>
      <c r="G196" s="127">
        <f>'Financial impact (cash)'!$F$13*'Inputs and eligible population'!$F$59*'Capacity (local prices)'!$C196</f>
        <v>0</v>
      </c>
      <c r="H196" s="127">
        <f>'Financial impact (cash)'!$G$13*'Inputs and eligible population'!$F$59*'Capacity (local prices)'!$C$196</f>
        <v>0</v>
      </c>
      <c r="I196" s="127">
        <f>'Financial impact (cash)'!$H$13*'Inputs and eligible population'!$F$59*'Capacity (local prices)'!$C$37</f>
        <v>0</v>
      </c>
      <c r="J196" s="218"/>
      <c r="K196" s="528">
        <f>'Unit costs'!$N$71</f>
        <v>4.7</v>
      </c>
      <c r="L196" s="530">
        <f t="shared" ref="L196:L199" si="59">$K196/1000*D196</f>
        <v>0</v>
      </c>
      <c r="M196" s="530">
        <f t="shared" si="58"/>
        <v>0</v>
      </c>
      <c r="N196" s="530">
        <f t="shared" si="58"/>
        <v>0</v>
      </c>
      <c r="O196" s="530">
        <f t="shared" si="58"/>
        <v>0</v>
      </c>
      <c r="P196" s="530">
        <f t="shared" si="58"/>
        <v>0</v>
      </c>
      <c r="Q196" s="530">
        <f t="shared" si="58"/>
        <v>0</v>
      </c>
      <c r="R196" s="132"/>
      <c r="S196" s="668"/>
      <c r="T196" s="668"/>
      <c r="U196" s="132"/>
      <c r="V196" s="132"/>
      <c r="W196" s="132"/>
      <c r="X196" s="132"/>
      <c r="Y196" s="132"/>
      <c r="Z196" s="132"/>
      <c r="AJ196" s="281"/>
      <c r="AK196" s="281"/>
      <c r="AL196" s="281"/>
      <c r="AM196" s="281"/>
      <c r="AN196" s="281"/>
    </row>
    <row r="197" spans="1:40">
      <c r="A197" s="284"/>
      <c r="B197" s="326" t="s">
        <v>1145</v>
      </c>
      <c r="C197" s="758">
        <f>'Inputs and eligible population'!$F$107</f>
        <v>1</v>
      </c>
      <c r="D197" s="127">
        <f>'Financial impact (cash)'!$D$13*'Inputs and eligible population'!$G$59*C197</f>
        <v>0</v>
      </c>
      <c r="E197" s="127">
        <f>'Financial impact (cash)'!$D$13*'Inputs and eligible population'!$G$59*C197</f>
        <v>0</v>
      </c>
      <c r="F197" s="127">
        <f>'Financial impact (cash)'!$D$13*'Inputs and eligible population'!$G$59*'Capacity (local prices)'!$C$197</f>
        <v>0</v>
      </c>
      <c r="G197" s="127">
        <f>'Financial impact (cash)'!$E$13*'Inputs and eligible population'!$G$59*'Capacity (local prices)'!$C$197</f>
        <v>0</v>
      </c>
      <c r="H197" s="127">
        <f>'Financial impact (cash)'!$F$13*'Inputs and eligible population'!$G$59*'Capacity (local prices)'!$C$197</f>
        <v>0</v>
      </c>
      <c r="I197" s="127">
        <f>'Financial impact (cash)'!$G$13*'Inputs and eligible population'!$G$59*'Capacity (local prices)'!$C$38</f>
        <v>0</v>
      </c>
      <c r="J197" s="218"/>
      <c r="K197" s="528">
        <f>'Unit costs'!$N$71</f>
        <v>4.7</v>
      </c>
      <c r="L197" s="530">
        <f t="shared" si="59"/>
        <v>0</v>
      </c>
      <c r="M197" s="530">
        <f t="shared" si="58"/>
        <v>0</v>
      </c>
      <c r="N197" s="530">
        <f t="shared" si="58"/>
        <v>0</v>
      </c>
      <c r="O197" s="530">
        <f t="shared" si="58"/>
        <v>0</v>
      </c>
      <c r="P197" s="530">
        <f t="shared" si="58"/>
        <v>0</v>
      </c>
      <c r="Q197" s="530">
        <f t="shared" si="58"/>
        <v>0</v>
      </c>
      <c r="R197" s="132"/>
      <c r="S197" s="668"/>
      <c r="T197" s="668"/>
      <c r="U197" s="132"/>
      <c r="V197" s="132"/>
      <c r="W197" s="132"/>
      <c r="X197" s="132"/>
      <c r="Y197" s="132"/>
      <c r="Z197" s="132"/>
      <c r="AJ197" s="281"/>
      <c r="AK197" s="281"/>
      <c r="AL197" s="281"/>
      <c r="AM197" s="281"/>
      <c r="AN197" s="281"/>
    </row>
    <row r="198" spans="1:40">
      <c r="A198" s="284"/>
      <c r="B198" s="326" t="s">
        <v>1146</v>
      </c>
      <c r="C198" s="758">
        <f>'Inputs and eligible population'!$F$107</f>
        <v>1</v>
      </c>
      <c r="D198" s="127">
        <f>'Financial impact (cash)'!$D$13*'Inputs and eligible population'!$H$59*C198</f>
        <v>0</v>
      </c>
      <c r="E198" s="127">
        <f>'Financial impact (cash)'!$D$13*'Inputs and eligible population'!$H$59*C198</f>
        <v>0</v>
      </c>
      <c r="F198" s="127">
        <f>'Financial impact (cash)'!$D$13*'Inputs and eligible population'!$H$59*'Capacity (local prices)'!$C$198</f>
        <v>0</v>
      </c>
      <c r="G198" s="127">
        <f>'Financial impact (cash)'!$D$13*'Inputs and eligible population'!$H$59*'Capacity (local prices)'!$C$198</f>
        <v>0</v>
      </c>
      <c r="H198" s="127">
        <f>'Financial impact (cash)'!$E$13*'Inputs and eligible population'!$H$59*'Capacity (local prices)'!$C$198</f>
        <v>0</v>
      </c>
      <c r="I198" s="127">
        <f>'Financial impact (cash)'!$F$13*'Inputs and eligible population'!$H$59*'Capacity (local prices)'!$C$39</f>
        <v>0</v>
      </c>
      <c r="J198" s="218"/>
      <c r="K198" s="528">
        <f>'Unit costs'!$N$71</f>
        <v>4.7</v>
      </c>
      <c r="L198" s="530">
        <f t="shared" si="59"/>
        <v>0</v>
      </c>
      <c r="M198" s="530">
        <f t="shared" si="58"/>
        <v>0</v>
      </c>
      <c r="N198" s="530">
        <f t="shared" si="58"/>
        <v>0</v>
      </c>
      <c r="O198" s="530">
        <f t="shared" si="58"/>
        <v>0</v>
      </c>
      <c r="P198" s="530">
        <f t="shared" si="58"/>
        <v>0</v>
      </c>
      <c r="Q198" s="530">
        <f t="shared" si="58"/>
        <v>0</v>
      </c>
      <c r="R198" s="132"/>
      <c r="S198" s="668"/>
      <c r="T198" s="668"/>
      <c r="U198" s="132"/>
      <c r="V198" s="132"/>
      <c r="W198" s="132"/>
      <c r="X198" s="132"/>
      <c r="Y198" s="132"/>
      <c r="Z198" s="132"/>
      <c r="AJ198" s="281"/>
      <c r="AK198" s="281"/>
      <c r="AL198" s="281"/>
      <c r="AM198" s="281"/>
      <c r="AN198" s="281"/>
    </row>
    <row r="199" spans="1:40">
      <c r="A199" s="284"/>
      <c r="B199" s="326" t="s">
        <v>1147</v>
      </c>
      <c r="C199" s="758">
        <f>'Inputs and eligible population'!$F$107</f>
        <v>1</v>
      </c>
      <c r="D199" s="127">
        <f>'Financial impact (cash)'!$D$13*'Inputs and eligible population'!$H$59*C199</f>
        <v>0</v>
      </c>
      <c r="E199" s="127">
        <f>'Financial impact (cash)'!$D$13*'Inputs and eligible population'!$H$59*C199</f>
        <v>0</v>
      </c>
      <c r="F199" s="127">
        <f>'Financial impact (cash)'!$D$13*'Inputs and eligible population'!$H$59*'Capacity (local prices)'!$C$199</f>
        <v>0</v>
      </c>
      <c r="G199" s="127">
        <f>'Financial impact (cash)'!$D$13*'Inputs and eligible population'!$H$59*'Capacity (local prices)'!$C$199</f>
        <v>0</v>
      </c>
      <c r="H199" s="127">
        <f>'Financial impact (cash)'!$D$13*'Inputs and eligible population'!$H$59*'Capacity (local prices)'!$C$199</f>
        <v>0</v>
      </c>
      <c r="I199" s="127">
        <f>'Financial impact (cash)'!$E$13*'Inputs and eligible population'!$H$59*'Capacity (local prices)'!$C$199</f>
        <v>0</v>
      </c>
      <c r="J199" s="218"/>
      <c r="K199" s="528">
        <f>'Unit costs'!$N$71</f>
        <v>4.7</v>
      </c>
      <c r="L199" s="530">
        <f t="shared" si="59"/>
        <v>0</v>
      </c>
      <c r="M199" s="530">
        <f t="shared" si="58"/>
        <v>0</v>
      </c>
      <c r="N199" s="530">
        <f t="shared" si="58"/>
        <v>0</v>
      </c>
      <c r="O199" s="530">
        <f t="shared" si="58"/>
        <v>0</v>
      </c>
      <c r="P199" s="530">
        <f t="shared" si="58"/>
        <v>0</v>
      </c>
      <c r="Q199" s="530">
        <f t="shared" si="58"/>
        <v>0</v>
      </c>
      <c r="R199" s="132"/>
      <c r="S199" s="668"/>
      <c r="T199" s="668"/>
      <c r="U199" s="132"/>
      <c r="V199" s="132"/>
      <c r="W199" s="132"/>
      <c r="X199" s="132"/>
      <c r="Y199" s="132"/>
      <c r="Z199" s="132"/>
      <c r="AJ199" s="281"/>
      <c r="AK199" s="281"/>
      <c r="AL199" s="281"/>
      <c r="AM199" s="281"/>
      <c r="AN199" s="281"/>
    </row>
    <row r="200" spans="1:40">
      <c r="A200" s="284"/>
      <c r="B200" s="326" t="s">
        <v>1148</v>
      </c>
      <c r="C200" s="758">
        <f>'Inputs and eligible population'!$F$107</f>
        <v>1</v>
      </c>
      <c r="D200" s="127">
        <f>'Financial impact (cash)'!D14*C200*'Inputs and eligible population'!$E$60</f>
        <v>0</v>
      </c>
      <c r="E200" s="127">
        <f>'Financial impact (cash)'!E14*C200*'Inputs and eligible population'!$E$60</f>
        <v>0</v>
      </c>
      <c r="F200" s="127">
        <f>'Financial impact (cash)'!F14*'Capacity (local prices)'!$C200*'Inputs and eligible population'!$E$60</f>
        <v>0</v>
      </c>
      <c r="G200" s="127">
        <f>'Financial impact (cash)'!G14*'Capacity (local prices)'!$C200*'Inputs and eligible population'!$E$60</f>
        <v>0</v>
      </c>
      <c r="H200" s="127">
        <f>'Financial impact (cash)'!H14*'Capacity (local prices)'!$C200*'Inputs and eligible population'!$E$60</f>
        <v>0</v>
      </c>
      <c r="I200" s="127">
        <f>'Financial impact (cash)'!I14*'Capacity (local prices)'!$C200*'Inputs and eligible population'!$E$60</f>
        <v>0</v>
      </c>
      <c r="J200" s="218"/>
      <c r="K200" s="528">
        <f>'Unit costs'!$N$71</f>
        <v>4.7</v>
      </c>
      <c r="L200" s="530">
        <f>$K200/1000*D200</f>
        <v>0</v>
      </c>
      <c r="M200" s="530">
        <f t="shared" si="58"/>
        <v>0</v>
      </c>
      <c r="N200" s="530">
        <f t="shared" si="58"/>
        <v>0</v>
      </c>
      <c r="O200" s="530">
        <f t="shared" si="58"/>
        <v>0</v>
      </c>
      <c r="P200" s="530">
        <f t="shared" si="58"/>
        <v>0</v>
      </c>
      <c r="Q200" s="530">
        <f t="shared" si="58"/>
        <v>0</v>
      </c>
      <c r="R200" s="132"/>
      <c r="S200" s="668"/>
      <c r="T200" s="668"/>
      <c r="U200" s="132"/>
      <c r="V200" s="132"/>
      <c r="W200" s="132"/>
      <c r="X200" s="132"/>
      <c r="Y200" s="132"/>
      <c r="Z200" s="132"/>
      <c r="AJ200" s="281"/>
      <c r="AK200" s="281"/>
      <c r="AL200" s="281"/>
      <c r="AM200" s="281"/>
      <c r="AN200" s="281"/>
    </row>
    <row r="201" spans="1:40">
      <c r="A201" s="284"/>
      <c r="B201" s="326" t="s">
        <v>1149</v>
      </c>
      <c r="C201" s="758">
        <f>'Inputs and eligible population'!$F$107</f>
        <v>1</v>
      </c>
      <c r="D201" s="127">
        <f>'Financial impact (cash)'!$D$14*'Inputs and eligible population'!$F$60*C201</f>
        <v>0</v>
      </c>
      <c r="E201" s="127">
        <f>'Financial impact (cash)'!$D$14*'Inputs and eligible population'!$F$60*C201</f>
        <v>0</v>
      </c>
      <c r="F201" s="127">
        <f>'Financial impact (cash)'!$E$14*'Inputs and eligible population'!$F$60*'Capacity (local prices)'!$C$201</f>
        <v>0</v>
      </c>
      <c r="G201" s="127">
        <f>'Financial impact (cash)'!$F$14*'Inputs and eligible population'!$F$60*'Capacity (local prices)'!$C$201</f>
        <v>0</v>
      </c>
      <c r="H201" s="127">
        <f>'Financial impact (cash)'!$G$14*'Inputs and eligible population'!$F$60*'Capacity (local prices)'!$C$201</f>
        <v>0</v>
      </c>
      <c r="I201" s="127">
        <f>'Financial impact (cash)'!$H$14*'Inputs and eligible population'!$F$60*'Capacity (local prices)'!$C$42</f>
        <v>0</v>
      </c>
      <c r="J201" s="218"/>
      <c r="K201" s="528">
        <f>'Unit costs'!$N$71</f>
        <v>4.7</v>
      </c>
      <c r="L201" s="530">
        <f t="shared" ref="L201:L219" si="60">$K201/1000*D201</f>
        <v>0</v>
      </c>
      <c r="M201" s="530">
        <f t="shared" si="58"/>
        <v>0</v>
      </c>
      <c r="N201" s="530">
        <f t="shared" si="58"/>
        <v>0</v>
      </c>
      <c r="O201" s="530">
        <f t="shared" si="58"/>
        <v>0</v>
      </c>
      <c r="P201" s="530">
        <f t="shared" si="58"/>
        <v>0</v>
      </c>
      <c r="Q201" s="530">
        <f t="shared" si="58"/>
        <v>0</v>
      </c>
      <c r="R201" s="132"/>
      <c r="S201" s="668"/>
      <c r="T201" s="668"/>
      <c r="U201" s="132"/>
      <c r="V201" s="132"/>
      <c r="W201" s="132"/>
      <c r="X201" s="132"/>
      <c r="Y201" s="132"/>
      <c r="Z201" s="132"/>
      <c r="AJ201" s="281"/>
      <c r="AK201" s="281"/>
      <c r="AL201" s="281"/>
      <c r="AM201" s="281"/>
      <c r="AN201" s="281"/>
    </row>
    <row r="202" spans="1:40">
      <c r="A202" s="284"/>
      <c r="B202" s="326" t="s">
        <v>1150</v>
      </c>
      <c r="C202" s="758">
        <f>'Inputs and eligible population'!$F$107</f>
        <v>1</v>
      </c>
      <c r="D202" s="127">
        <f>'Financial impact (cash)'!$D$14*'Inputs and eligible population'!$G$60*C202</f>
        <v>0</v>
      </c>
      <c r="E202" s="127">
        <f>'Financial impact (cash)'!$D$14*'Inputs and eligible population'!$G$60*C202</f>
        <v>0</v>
      </c>
      <c r="F202" s="127">
        <f>'Financial impact (cash)'!$D$14*'Inputs and eligible population'!$G$60*'Capacity (local prices)'!$C202</f>
        <v>0</v>
      </c>
      <c r="G202" s="127">
        <f>'Financial impact (cash)'!$E$14*'Inputs and eligible population'!$G$60*'Capacity (local prices)'!$C$202</f>
        <v>0</v>
      </c>
      <c r="H202" s="127">
        <f>'Financial impact (cash)'!$F$14*'Inputs and eligible population'!$G$60*'Capacity (local prices)'!$C$202</f>
        <v>0</v>
      </c>
      <c r="I202" s="127">
        <f>'Financial impact (cash)'!$G$14*'Inputs and eligible population'!$G$60*'Capacity (local prices)'!$C$43</f>
        <v>0</v>
      </c>
      <c r="J202" s="218"/>
      <c r="K202" s="528">
        <f>'Unit costs'!$N$71</f>
        <v>4.7</v>
      </c>
      <c r="L202" s="530">
        <f t="shared" si="60"/>
        <v>0</v>
      </c>
      <c r="M202" s="530">
        <f t="shared" si="58"/>
        <v>0</v>
      </c>
      <c r="N202" s="530">
        <f t="shared" si="58"/>
        <v>0</v>
      </c>
      <c r="O202" s="530">
        <f t="shared" si="58"/>
        <v>0</v>
      </c>
      <c r="P202" s="530">
        <f t="shared" si="58"/>
        <v>0</v>
      </c>
      <c r="Q202" s="530">
        <f t="shared" si="58"/>
        <v>0</v>
      </c>
      <c r="R202" s="132"/>
      <c r="S202" s="668"/>
      <c r="T202" s="668"/>
      <c r="U202" s="132"/>
      <c r="V202" s="132"/>
      <c r="W202" s="132"/>
      <c r="X202" s="132"/>
      <c r="Y202" s="132"/>
      <c r="Z202" s="132"/>
      <c r="AJ202" s="281"/>
      <c r="AK202" s="281"/>
      <c r="AL202" s="281"/>
      <c r="AM202" s="281"/>
      <c r="AN202" s="281"/>
    </row>
    <row r="203" spans="1:40">
      <c r="A203" s="284"/>
      <c r="B203" s="326" t="s">
        <v>1151</v>
      </c>
      <c r="C203" s="758">
        <f>'Inputs and eligible population'!$F$107</f>
        <v>1</v>
      </c>
      <c r="D203" s="127">
        <f>'Financial impact (cash)'!$D$14*'Inputs and eligible population'!$H$60*C203</f>
        <v>0</v>
      </c>
      <c r="E203" s="127">
        <f>'Financial impact (cash)'!$D$14*'Inputs and eligible population'!$H$60*C203</f>
        <v>0</v>
      </c>
      <c r="F203" s="127">
        <f>'Financial impact (cash)'!$D$14*'Inputs and eligible population'!$H$60*'Capacity (local prices)'!$C$203</f>
        <v>0</v>
      </c>
      <c r="G203" s="127">
        <f>'Financial impact (cash)'!$D$14*'Inputs and eligible population'!$H$60*'Capacity (local prices)'!$C$203</f>
        <v>0</v>
      </c>
      <c r="H203" s="127">
        <f>'Financial impact (cash)'!$E$14*'Inputs and eligible population'!$H$60*'Capacity (local prices)'!$C$203</f>
        <v>0</v>
      </c>
      <c r="I203" s="127">
        <f>'Financial impact (cash)'!$F$14*'Inputs and eligible population'!$H$60*'Capacity (local prices)'!$C$203</f>
        <v>0</v>
      </c>
      <c r="J203" s="218"/>
      <c r="K203" s="528">
        <f>'Unit costs'!$N$71</f>
        <v>4.7</v>
      </c>
      <c r="L203" s="530">
        <f t="shared" si="60"/>
        <v>0</v>
      </c>
      <c r="M203" s="530">
        <f t="shared" si="58"/>
        <v>0</v>
      </c>
      <c r="N203" s="530">
        <f t="shared" si="58"/>
        <v>0</v>
      </c>
      <c r="O203" s="530">
        <f t="shared" si="58"/>
        <v>0</v>
      </c>
      <c r="P203" s="530">
        <f t="shared" si="58"/>
        <v>0</v>
      </c>
      <c r="Q203" s="530">
        <f t="shared" si="58"/>
        <v>0</v>
      </c>
      <c r="R203" s="132"/>
      <c r="S203" s="668"/>
      <c r="T203" s="668"/>
      <c r="U203" s="132"/>
      <c r="V203" s="132"/>
      <c r="W203" s="132"/>
      <c r="X203" s="132"/>
      <c r="Y203" s="132"/>
      <c r="Z203" s="132"/>
      <c r="AJ203" s="281"/>
      <c r="AK203" s="281"/>
      <c r="AL203" s="281"/>
      <c r="AM203" s="281"/>
      <c r="AN203" s="281"/>
    </row>
    <row r="204" spans="1:40">
      <c r="A204" s="284"/>
      <c r="B204" s="326" t="s">
        <v>1152</v>
      </c>
      <c r="C204" s="758">
        <f>'Inputs and eligible population'!$F$107</f>
        <v>1</v>
      </c>
      <c r="D204" s="127">
        <f>'Financial impact (cash)'!$D$14*'Inputs and eligible population'!$I$60*C204</f>
        <v>0</v>
      </c>
      <c r="E204" s="127">
        <f>'Financial impact (cash)'!$D$14*'Inputs and eligible population'!$I$60*C204</f>
        <v>0</v>
      </c>
      <c r="F204" s="127">
        <f>'Financial impact (cash)'!$D$14*'Inputs and eligible population'!$I$60*'Capacity (local prices)'!$C$204</f>
        <v>0</v>
      </c>
      <c r="G204" s="127">
        <f>'Financial impact (cash)'!$D$14*'Inputs and eligible population'!$I$60*'Capacity (local prices)'!$C$204</f>
        <v>0</v>
      </c>
      <c r="H204" s="127">
        <f>'Financial impact (cash)'!$D$14*'Inputs and eligible population'!$I$60*'Capacity (local prices)'!$C$204</f>
        <v>0</v>
      </c>
      <c r="I204" s="127">
        <f>'Financial impact (cash)'!$E$14*'Inputs and eligible population'!$I$60*'Capacity (local prices)'!$C$45</f>
        <v>0</v>
      </c>
      <c r="J204" s="218"/>
      <c r="K204" s="528">
        <f>'Unit costs'!$N$71</f>
        <v>4.7</v>
      </c>
      <c r="L204" s="530">
        <f t="shared" si="60"/>
        <v>0</v>
      </c>
      <c r="M204" s="530">
        <f t="shared" si="58"/>
        <v>0</v>
      </c>
      <c r="N204" s="530">
        <f t="shared" si="58"/>
        <v>0</v>
      </c>
      <c r="O204" s="530">
        <f t="shared" si="58"/>
        <v>0</v>
      </c>
      <c r="P204" s="530">
        <f t="shared" si="58"/>
        <v>0</v>
      </c>
      <c r="Q204" s="530">
        <f t="shared" si="58"/>
        <v>0</v>
      </c>
      <c r="R204" s="132"/>
      <c r="S204" s="668"/>
      <c r="T204" s="668"/>
      <c r="U204" s="132"/>
      <c r="V204" s="132"/>
      <c r="W204" s="132"/>
      <c r="X204" s="132"/>
      <c r="Y204" s="132"/>
      <c r="Z204" s="132"/>
      <c r="AJ204" s="281"/>
      <c r="AK204" s="281"/>
      <c r="AL204" s="281"/>
      <c r="AM204" s="281"/>
      <c r="AN204" s="281"/>
    </row>
    <row r="205" spans="1:40">
      <c r="A205" s="284"/>
      <c r="B205" s="326" t="s">
        <v>1153</v>
      </c>
      <c r="C205" s="758">
        <f>'Inputs and eligible population'!$G$107</f>
        <v>1</v>
      </c>
      <c r="D205" s="127">
        <f>'Financial impact (cash)'!D15*C205*'Inputs and eligible population'!$E$61</f>
        <v>0</v>
      </c>
      <c r="E205" s="127">
        <f>'Financial impact (cash)'!E15*C205*'Inputs and eligible population'!$E$61</f>
        <v>0</v>
      </c>
      <c r="F205" s="127">
        <f>'Financial impact (cash)'!F15*'Capacity (local prices)'!$C205*'Inputs and eligible population'!$E$61</f>
        <v>0</v>
      </c>
      <c r="G205" s="127">
        <f>'Financial impact (cash)'!G15*'Capacity (local prices)'!$C205*'Inputs and eligible population'!$E$61</f>
        <v>0</v>
      </c>
      <c r="H205" s="127">
        <f>'Financial impact (cash)'!H15*'Capacity (local prices)'!$C205*'Inputs and eligible population'!$E$61</f>
        <v>0</v>
      </c>
      <c r="I205" s="127">
        <f>'Financial impact (cash)'!I15*'Capacity (local prices)'!$C205*'Inputs and eligible population'!$E$61</f>
        <v>0</v>
      </c>
      <c r="J205" s="218"/>
      <c r="K205" s="528">
        <f>'Unit costs'!$N$71</f>
        <v>4.7</v>
      </c>
      <c r="L205" s="530">
        <f t="shared" si="60"/>
        <v>0</v>
      </c>
      <c r="M205" s="530">
        <f t="shared" si="58"/>
        <v>0</v>
      </c>
      <c r="N205" s="530">
        <f t="shared" si="58"/>
        <v>0</v>
      </c>
      <c r="O205" s="530">
        <f t="shared" si="58"/>
        <v>0</v>
      </c>
      <c r="P205" s="530">
        <f t="shared" si="58"/>
        <v>0</v>
      </c>
      <c r="Q205" s="530">
        <f t="shared" si="58"/>
        <v>0</v>
      </c>
      <c r="R205" s="132"/>
      <c r="S205" s="668"/>
      <c r="T205" s="668"/>
      <c r="U205" s="132"/>
      <c r="V205" s="132"/>
      <c r="W205" s="132"/>
      <c r="X205" s="132"/>
      <c r="Y205" s="132"/>
      <c r="Z205" s="132"/>
      <c r="AJ205" s="281"/>
      <c r="AK205" s="281"/>
      <c r="AL205" s="281"/>
      <c r="AM205" s="281"/>
      <c r="AN205" s="281"/>
    </row>
    <row r="206" spans="1:40">
      <c r="A206" s="284"/>
      <c r="B206" s="326" t="s">
        <v>1154</v>
      </c>
      <c r="C206" s="758">
        <f>'Inputs and eligible population'!$G$107</f>
        <v>1</v>
      </c>
      <c r="D206" s="127">
        <f>'Financial impact (cash)'!$D$15*'Inputs and eligible population'!$F$61*C206</f>
        <v>0</v>
      </c>
      <c r="E206" s="127">
        <f>'Financial impact (cash)'!$D$15*'Inputs and eligible population'!$F$61*C206</f>
        <v>0</v>
      </c>
      <c r="F206" s="127">
        <f>'Financial impact (cash)'!$E$15*'Inputs and eligible population'!$F$61*'Capacity (local prices)'!$C$206</f>
        <v>0</v>
      </c>
      <c r="G206" s="127">
        <f>'Financial impact (cash)'!$F$15*'Inputs and eligible population'!$F$61*'Capacity (local prices)'!$C$206</f>
        <v>0</v>
      </c>
      <c r="H206" s="127">
        <f>'Financial impact (cash)'!$G$15*'Inputs and eligible population'!$F$61*'Capacity (local prices)'!$C206</f>
        <v>0</v>
      </c>
      <c r="I206" s="127">
        <f>'Financial impact (cash)'!$H$15*'Inputs and eligible population'!$F$61*'Capacity (local prices)'!$C$47</f>
        <v>0</v>
      </c>
      <c r="J206" s="218"/>
      <c r="K206" s="528">
        <f>'Unit costs'!$N$71</f>
        <v>4.7</v>
      </c>
      <c r="L206" s="530">
        <f t="shared" si="60"/>
        <v>0</v>
      </c>
      <c r="M206" s="530">
        <f t="shared" si="58"/>
        <v>0</v>
      </c>
      <c r="N206" s="530">
        <f t="shared" si="58"/>
        <v>0</v>
      </c>
      <c r="O206" s="530">
        <f t="shared" si="58"/>
        <v>0</v>
      </c>
      <c r="P206" s="530">
        <f t="shared" si="58"/>
        <v>0</v>
      </c>
      <c r="Q206" s="530">
        <f t="shared" si="58"/>
        <v>0</v>
      </c>
      <c r="R206" s="132"/>
      <c r="S206" s="668"/>
      <c r="T206" s="668"/>
      <c r="U206" s="132"/>
      <c r="V206" s="132"/>
      <c r="W206" s="132"/>
      <c r="X206" s="132"/>
      <c r="Y206" s="132"/>
      <c r="Z206" s="132"/>
      <c r="AJ206" s="281"/>
      <c r="AK206" s="281"/>
      <c r="AL206" s="281"/>
      <c r="AM206" s="281"/>
      <c r="AN206" s="281"/>
    </row>
    <row r="207" spans="1:40">
      <c r="A207" s="284"/>
      <c r="B207" s="326" t="s">
        <v>1155</v>
      </c>
      <c r="C207" s="758">
        <f>'Inputs and eligible population'!$G$107</f>
        <v>1</v>
      </c>
      <c r="D207" s="127">
        <f>'Financial impact (cash)'!$D$15*'Inputs and eligible population'!$G$61*C207</f>
        <v>0</v>
      </c>
      <c r="E207" s="127">
        <f>'Financial impact (cash)'!$D$15*'Inputs and eligible population'!$G$61*C207</f>
        <v>0</v>
      </c>
      <c r="F207" s="127">
        <f>'Financial impact (cash)'!$D$15*'Inputs and eligible population'!$G$61*'Capacity (local prices)'!$C$207</f>
        <v>0</v>
      </c>
      <c r="G207" s="127">
        <f>'Financial impact (cash)'!$E$15*'Inputs and eligible population'!$G$61*'Capacity (local prices)'!$C$207</f>
        <v>0</v>
      </c>
      <c r="H207" s="127">
        <f>'Financial impact (cash)'!$F$15*'Inputs and eligible population'!$G$61*'Capacity (local prices)'!$C$207</f>
        <v>0</v>
      </c>
      <c r="I207" s="127">
        <f>'Financial impact (cash)'!$G$15*'Inputs and eligible population'!$G$61*'Capacity (local prices)'!$C$48</f>
        <v>0</v>
      </c>
      <c r="J207" s="218"/>
      <c r="K207" s="528">
        <f>'Unit costs'!$N$71</f>
        <v>4.7</v>
      </c>
      <c r="L207" s="530">
        <f t="shared" si="60"/>
        <v>0</v>
      </c>
      <c r="M207" s="530">
        <f t="shared" si="58"/>
        <v>0</v>
      </c>
      <c r="N207" s="530">
        <f t="shared" si="58"/>
        <v>0</v>
      </c>
      <c r="O207" s="530">
        <f t="shared" si="58"/>
        <v>0</v>
      </c>
      <c r="P207" s="530">
        <f t="shared" si="58"/>
        <v>0</v>
      </c>
      <c r="Q207" s="530">
        <f t="shared" si="58"/>
        <v>0</v>
      </c>
      <c r="R207" s="132"/>
      <c r="S207" s="668"/>
      <c r="T207" s="668"/>
      <c r="U207" s="132"/>
      <c r="V207" s="132"/>
      <c r="W207" s="132"/>
      <c r="X207" s="132"/>
      <c r="Y207" s="132"/>
      <c r="Z207" s="132"/>
      <c r="AJ207" s="281"/>
      <c r="AK207" s="281"/>
      <c r="AL207" s="281"/>
      <c r="AM207" s="281"/>
      <c r="AN207" s="281"/>
    </row>
    <row r="208" spans="1:40">
      <c r="A208" s="284"/>
      <c r="B208" s="326" t="s">
        <v>1156</v>
      </c>
      <c r="C208" s="758">
        <f>'Inputs and eligible population'!$G$107</f>
        <v>1</v>
      </c>
      <c r="D208" s="127">
        <f>'Financial impact (cash)'!$D$15*'Inputs and eligible population'!$H$61*C208</f>
        <v>0</v>
      </c>
      <c r="E208" s="127">
        <f>'Financial impact (cash)'!$D$15*'Inputs and eligible population'!$H$61*C208</f>
        <v>0</v>
      </c>
      <c r="F208" s="127">
        <f>'Financial impact (cash)'!$D$15*'Inputs and eligible population'!$H$61*'Capacity (local prices)'!$C$208</f>
        <v>0</v>
      </c>
      <c r="G208" s="127">
        <f>'Financial impact (cash)'!$D$15*'Inputs and eligible population'!$H$61*'Capacity (local prices)'!$C$208</f>
        <v>0</v>
      </c>
      <c r="H208" s="127">
        <f>'Financial impact (cash)'!$E$15*'Inputs and eligible population'!$H$61*'Capacity (local prices)'!$C$208</f>
        <v>0</v>
      </c>
      <c r="I208" s="127">
        <f>'Financial impact (cash)'!$F$15*'Inputs and eligible population'!$H$61*'Capacity (local prices)'!$C$49</f>
        <v>0</v>
      </c>
      <c r="J208" s="218"/>
      <c r="K208" s="528">
        <f>'Unit costs'!$N$71</f>
        <v>4.7</v>
      </c>
      <c r="L208" s="530">
        <f t="shared" si="60"/>
        <v>0</v>
      </c>
      <c r="M208" s="530">
        <f t="shared" si="58"/>
        <v>0</v>
      </c>
      <c r="N208" s="530">
        <f t="shared" si="58"/>
        <v>0</v>
      </c>
      <c r="O208" s="530">
        <f t="shared" si="58"/>
        <v>0</v>
      </c>
      <c r="P208" s="530">
        <f t="shared" si="58"/>
        <v>0</v>
      </c>
      <c r="Q208" s="530">
        <f t="shared" si="58"/>
        <v>0</v>
      </c>
      <c r="R208" s="132"/>
      <c r="S208" s="668"/>
      <c r="T208" s="668"/>
      <c r="U208" s="132"/>
      <c r="V208" s="132"/>
      <c r="W208" s="132"/>
      <c r="X208" s="132"/>
      <c r="Y208" s="132"/>
      <c r="Z208" s="132"/>
      <c r="AJ208" s="281"/>
      <c r="AK208" s="281"/>
      <c r="AL208" s="281"/>
      <c r="AM208" s="281"/>
      <c r="AN208" s="281"/>
    </row>
    <row r="209" spans="1:40">
      <c r="A209" s="284"/>
      <c r="B209" s="326" t="s">
        <v>1157</v>
      </c>
      <c r="C209" s="758">
        <f>'Inputs and eligible population'!$G$107</f>
        <v>1</v>
      </c>
      <c r="D209" s="127">
        <f>'Financial impact (cash)'!$D$15*'Inputs and eligible population'!$I$61*C209</f>
        <v>0</v>
      </c>
      <c r="E209" s="127">
        <f>'Financial impact (cash)'!$D$15*'Inputs and eligible population'!$I$61*C209</f>
        <v>0</v>
      </c>
      <c r="F209" s="127">
        <f>'Financial impact (cash)'!$D$15*'Inputs and eligible population'!$I$61*'Capacity (local prices)'!$C$209</f>
        <v>0</v>
      </c>
      <c r="G209" s="127">
        <f>'Financial impact (cash)'!$D$15*'Inputs and eligible population'!$I$61*'Capacity (local prices)'!$C$209</f>
        <v>0</v>
      </c>
      <c r="H209" s="127">
        <f>'Financial impact (cash)'!$D$15*'Inputs and eligible population'!$I$61*'Capacity (local prices)'!$C$209</f>
        <v>0</v>
      </c>
      <c r="I209" s="127">
        <f>'Financial impact (cash)'!$E$15*'Inputs and eligible population'!$I$61*'Capacity (local prices)'!$C$209</f>
        <v>0</v>
      </c>
      <c r="J209" s="218"/>
      <c r="K209" s="528">
        <f>'Unit costs'!$N$71</f>
        <v>4.7</v>
      </c>
      <c r="L209" s="530">
        <f t="shared" si="60"/>
        <v>0</v>
      </c>
      <c r="M209" s="530">
        <f t="shared" si="58"/>
        <v>0</v>
      </c>
      <c r="N209" s="530">
        <f t="shared" si="58"/>
        <v>0</v>
      </c>
      <c r="O209" s="530">
        <f t="shared" si="58"/>
        <v>0</v>
      </c>
      <c r="P209" s="530">
        <f t="shared" si="58"/>
        <v>0</v>
      </c>
      <c r="Q209" s="530">
        <f t="shared" si="58"/>
        <v>0</v>
      </c>
      <c r="R209" s="132"/>
      <c r="S209" s="668"/>
      <c r="T209" s="668"/>
      <c r="U209" s="132"/>
      <c r="V209" s="132"/>
      <c r="W209" s="132"/>
      <c r="X209" s="132"/>
      <c r="Y209" s="132"/>
      <c r="Z209" s="132"/>
      <c r="AJ209" s="281"/>
      <c r="AK209" s="281"/>
      <c r="AL209" s="281"/>
      <c r="AM209" s="281"/>
      <c r="AN209" s="281"/>
    </row>
    <row r="210" spans="1:40">
      <c r="A210" s="284"/>
      <c r="B210" s="326" t="s">
        <v>1158</v>
      </c>
      <c r="C210" s="758">
        <f>'Inputs and eligible population'!$H$107</f>
        <v>1</v>
      </c>
      <c r="D210" s="127">
        <f>'Financial impact (cash)'!D16*C210*'Inputs and eligible population'!$E$62</f>
        <v>0</v>
      </c>
      <c r="E210" s="127">
        <f>'Financial impact (cash)'!E16*C210*'Inputs and eligible population'!$E$62</f>
        <v>0</v>
      </c>
      <c r="F210" s="127">
        <f>'Financial impact (cash)'!F16*'Capacity (local prices)'!$C210*'Inputs and eligible population'!$E$62</f>
        <v>0</v>
      </c>
      <c r="G210" s="127">
        <f>'Financial impact (cash)'!G16*'Capacity (local prices)'!$C210*'Inputs and eligible population'!$E$62</f>
        <v>0</v>
      </c>
      <c r="H210" s="127">
        <f>'Financial impact (cash)'!H16*'Capacity (local prices)'!$C210*'Inputs and eligible population'!$E$62</f>
        <v>0</v>
      </c>
      <c r="I210" s="127">
        <f>'Financial impact (cash)'!I16*'Capacity (local prices)'!$C210*'Inputs and eligible population'!$E$62</f>
        <v>0</v>
      </c>
      <c r="J210" s="218"/>
      <c r="K210" s="528">
        <f>'Unit costs'!$N$71</f>
        <v>4.7</v>
      </c>
      <c r="L210" s="530">
        <f t="shared" si="60"/>
        <v>0</v>
      </c>
      <c r="M210" s="530">
        <f t="shared" si="58"/>
        <v>0</v>
      </c>
      <c r="N210" s="530">
        <f t="shared" si="58"/>
        <v>0</v>
      </c>
      <c r="O210" s="530">
        <f t="shared" si="58"/>
        <v>0</v>
      </c>
      <c r="P210" s="530">
        <f t="shared" si="58"/>
        <v>0</v>
      </c>
      <c r="Q210" s="530">
        <f t="shared" si="58"/>
        <v>0</v>
      </c>
      <c r="R210" s="132"/>
      <c r="S210" s="668"/>
      <c r="T210" s="668"/>
      <c r="U210" s="132"/>
      <c r="V210" s="132"/>
      <c r="W210" s="132"/>
      <c r="X210" s="132"/>
      <c r="Y210" s="132"/>
      <c r="Z210" s="132"/>
      <c r="AJ210" s="281"/>
      <c r="AK210" s="281"/>
      <c r="AL210" s="281"/>
      <c r="AM210" s="281"/>
      <c r="AN210" s="281"/>
    </row>
    <row r="211" spans="1:40">
      <c r="A211" s="284"/>
      <c r="B211" s="326" t="s">
        <v>1159</v>
      </c>
      <c r="C211" s="758">
        <f>'Inputs and eligible population'!$H$107</f>
        <v>1</v>
      </c>
      <c r="D211" s="127">
        <f>'Financial impact (cash)'!$D$16*'Inputs and eligible population'!$F$62*C211</f>
        <v>0</v>
      </c>
      <c r="E211" s="127">
        <f>'Financial impact (cash)'!$D$16*'Inputs and eligible population'!$F$62*C211</f>
        <v>0</v>
      </c>
      <c r="F211" s="127">
        <f>'Financial impact (cash)'!$E$16*'Inputs and eligible population'!$F$62*'Capacity (local prices)'!$C$211</f>
        <v>0</v>
      </c>
      <c r="G211" s="127">
        <f>'Financial impact (cash)'!$F$16*'Inputs and eligible population'!$F$62*'Capacity (local prices)'!$C$211</f>
        <v>0</v>
      </c>
      <c r="H211" s="127">
        <f>'Financial impact (cash)'!$G$16*'Inputs and eligible population'!$F$62*'Capacity (local prices)'!$C$211</f>
        <v>0</v>
      </c>
      <c r="I211" s="127">
        <f>'Financial impact (cash)'!$H$16*'Inputs and eligible population'!$F$62*'Capacity (local prices)'!$C$211</f>
        <v>0</v>
      </c>
      <c r="J211" s="218"/>
      <c r="K211" s="528">
        <f>'Unit costs'!$N$71</f>
        <v>4.7</v>
      </c>
      <c r="L211" s="530">
        <f t="shared" si="60"/>
        <v>0</v>
      </c>
      <c r="M211" s="530">
        <f t="shared" si="58"/>
        <v>0</v>
      </c>
      <c r="N211" s="530">
        <f t="shared" si="58"/>
        <v>0</v>
      </c>
      <c r="O211" s="530">
        <f t="shared" si="58"/>
        <v>0</v>
      </c>
      <c r="P211" s="530">
        <f t="shared" si="58"/>
        <v>0</v>
      </c>
      <c r="Q211" s="530">
        <f t="shared" si="58"/>
        <v>0</v>
      </c>
      <c r="R211" s="132"/>
      <c r="S211" s="668"/>
      <c r="T211" s="668"/>
      <c r="U211" s="132"/>
      <c r="V211" s="132"/>
      <c r="W211" s="132"/>
      <c r="X211" s="132"/>
      <c r="Y211" s="132"/>
      <c r="Z211" s="132"/>
      <c r="AJ211" s="281"/>
      <c r="AK211" s="281"/>
      <c r="AL211" s="281"/>
      <c r="AM211" s="281"/>
      <c r="AN211" s="281"/>
    </row>
    <row r="212" spans="1:40">
      <c r="A212" s="284"/>
      <c r="B212" s="326" t="s">
        <v>1160</v>
      </c>
      <c r="C212" s="758">
        <f>'Inputs and eligible population'!$H$107</f>
        <v>1</v>
      </c>
      <c r="D212" s="127">
        <f>'Financial impact (cash)'!$D$16*'Inputs and eligible population'!$G$62*C212</f>
        <v>0</v>
      </c>
      <c r="E212" s="127">
        <f>'Financial impact (cash)'!$D$16*'Inputs and eligible population'!$G$62*C212</f>
        <v>0</v>
      </c>
      <c r="F212" s="127">
        <f>'Financial impact (cash)'!$D$16*'Inputs and eligible population'!$G$62*'Capacity (local prices)'!$C$212</f>
        <v>0</v>
      </c>
      <c r="G212" s="127">
        <f>'Financial impact (cash)'!$E$16*'Inputs and eligible population'!$G$62*'Capacity (local prices)'!$C$213</f>
        <v>0</v>
      </c>
      <c r="H212" s="127">
        <f>'Financial impact (cash)'!$F$16*'Inputs and eligible population'!$G$62*'Capacity (local prices)'!$C$212</f>
        <v>0</v>
      </c>
      <c r="I212" s="127">
        <f>'Financial impact (cash)'!$G$16*'Inputs and eligible population'!$G$62*'Capacity (local prices)'!$C$212</f>
        <v>0</v>
      </c>
      <c r="J212" s="218"/>
      <c r="K212" s="528">
        <f>'Unit costs'!$N$71</f>
        <v>4.7</v>
      </c>
      <c r="L212" s="530">
        <f t="shared" si="60"/>
        <v>0</v>
      </c>
      <c r="M212" s="530">
        <f t="shared" si="58"/>
        <v>0</v>
      </c>
      <c r="N212" s="530">
        <f t="shared" si="58"/>
        <v>0</v>
      </c>
      <c r="O212" s="530">
        <f t="shared" si="58"/>
        <v>0</v>
      </c>
      <c r="P212" s="530">
        <f t="shared" si="58"/>
        <v>0</v>
      </c>
      <c r="Q212" s="530">
        <f t="shared" si="58"/>
        <v>0</v>
      </c>
      <c r="R212" s="132"/>
      <c r="S212" s="668"/>
      <c r="T212" s="668"/>
      <c r="U212" s="132"/>
      <c r="V212" s="132"/>
      <c r="W212" s="132"/>
      <c r="X212" s="132"/>
      <c r="Y212" s="132"/>
      <c r="Z212" s="132"/>
      <c r="AJ212" s="281"/>
      <c r="AK212" s="281"/>
      <c r="AL212" s="281"/>
      <c r="AM212" s="281"/>
      <c r="AN212" s="281"/>
    </row>
    <row r="213" spans="1:40">
      <c r="A213" s="284"/>
      <c r="B213" s="326" t="s">
        <v>1161</v>
      </c>
      <c r="C213" s="758">
        <f>'Inputs and eligible population'!$H$107</f>
        <v>1</v>
      </c>
      <c r="D213" s="127">
        <f>'Financial impact (cash)'!$D$16*'Inputs and eligible population'!$H$62*C213</f>
        <v>0</v>
      </c>
      <c r="E213" s="127">
        <f>'Financial impact (cash)'!$D$16*'Inputs and eligible population'!$H$62*'Capacity (local prices)'!$C$213</f>
        <v>0</v>
      </c>
      <c r="F213" s="127">
        <f>'Financial impact (cash)'!$D$16*'Inputs and eligible population'!$H$62*'Capacity (local prices)'!$C$213</f>
        <v>0</v>
      </c>
      <c r="G213" s="127">
        <f>'Financial impact (cash)'!$D$16*'Inputs and eligible population'!$H$62*'Capacity (local prices)'!$C$213</f>
        <v>0</v>
      </c>
      <c r="H213" s="127">
        <f>'Financial impact (cash)'!$E$16*'Inputs and eligible population'!$H$62*'Capacity (local prices)'!$C$213</f>
        <v>0</v>
      </c>
      <c r="I213" s="127">
        <f>'Financial impact (cash)'!$F$16*'Inputs and eligible population'!$H$62*'Capacity (local prices)'!$C$213</f>
        <v>0</v>
      </c>
      <c r="J213" s="218"/>
      <c r="K213" s="528">
        <f>'Unit costs'!$N$71</f>
        <v>4.7</v>
      </c>
      <c r="L213" s="530">
        <f t="shared" si="60"/>
        <v>0</v>
      </c>
      <c r="M213" s="530">
        <f t="shared" si="58"/>
        <v>0</v>
      </c>
      <c r="N213" s="530">
        <f t="shared" si="58"/>
        <v>0</v>
      </c>
      <c r="O213" s="530">
        <f t="shared" si="58"/>
        <v>0</v>
      </c>
      <c r="P213" s="530">
        <f t="shared" si="58"/>
        <v>0</v>
      </c>
      <c r="Q213" s="530">
        <f t="shared" si="58"/>
        <v>0</v>
      </c>
      <c r="R213" s="132"/>
      <c r="S213" s="668"/>
      <c r="T213" s="668"/>
      <c r="U213" s="132"/>
      <c r="V213" s="132"/>
      <c r="W213" s="132"/>
      <c r="X213" s="132"/>
      <c r="Y213" s="132"/>
      <c r="Z213" s="132"/>
      <c r="AJ213" s="281"/>
      <c r="AK213" s="281"/>
      <c r="AL213" s="281"/>
      <c r="AM213" s="281"/>
      <c r="AN213" s="281"/>
    </row>
    <row r="214" spans="1:40">
      <c r="A214" s="284"/>
      <c r="B214" s="326" t="s">
        <v>1162</v>
      </c>
      <c r="C214" s="758">
        <f>'Inputs and eligible population'!$H$107</f>
        <v>1</v>
      </c>
      <c r="D214" s="127">
        <f>'Financial impact (cash)'!$D$16*'Inputs and eligible population'!$I$62*C214</f>
        <v>0</v>
      </c>
      <c r="E214" s="127">
        <f>'Financial impact (cash)'!$D$16*'Inputs and eligible population'!$I$62*'Capacity (local prices)'!$C$214</f>
        <v>0</v>
      </c>
      <c r="F214" s="127">
        <f>'Financial impact (cash)'!$D$16*'Inputs and eligible population'!$I$62*'Capacity (local prices)'!$C$214</f>
        <v>0</v>
      </c>
      <c r="G214" s="127">
        <f>'Financial impact (cash)'!$D$16*'Inputs and eligible population'!$I$62*'Capacity (local prices)'!$C$214</f>
        <v>0</v>
      </c>
      <c r="H214" s="127">
        <f>'Financial impact (cash)'!$D$16*'Inputs and eligible population'!$I$62*'Capacity (local prices)'!$C$214</f>
        <v>0</v>
      </c>
      <c r="I214" s="127">
        <f>'Financial impact (cash)'!$E$16*'Inputs and eligible population'!$I$62*'Capacity (local prices)'!$C$214</f>
        <v>0</v>
      </c>
      <c r="J214" s="218"/>
      <c r="K214" s="528">
        <f>'Unit costs'!$N$71</f>
        <v>4.7</v>
      </c>
      <c r="L214" s="530">
        <f t="shared" si="60"/>
        <v>0</v>
      </c>
      <c r="M214" s="530">
        <f t="shared" si="58"/>
        <v>0</v>
      </c>
      <c r="N214" s="530">
        <f t="shared" si="58"/>
        <v>0</v>
      </c>
      <c r="O214" s="530">
        <f t="shared" si="58"/>
        <v>0</v>
      </c>
      <c r="P214" s="530">
        <f t="shared" si="58"/>
        <v>0</v>
      </c>
      <c r="Q214" s="530">
        <f t="shared" si="58"/>
        <v>0</v>
      </c>
      <c r="R214" s="132"/>
      <c r="S214" s="668"/>
      <c r="T214" s="668"/>
      <c r="U214" s="132"/>
      <c r="V214" s="132"/>
      <c r="W214" s="132"/>
      <c r="X214" s="132"/>
      <c r="Y214" s="132"/>
      <c r="Z214" s="132"/>
      <c r="AJ214" s="281"/>
      <c r="AK214" s="281"/>
      <c r="AL214" s="281"/>
      <c r="AM214" s="281"/>
      <c r="AN214" s="281"/>
    </row>
    <row r="215" spans="1:40">
      <c r="A215" s="284"/>
      <c r="B215" s="326" t="s">
        <v>1163</v>
      </c>
      <c r="C215" s="758">
        <f>'Inputs and eligible population'!$I$107</f>
        <v>1</v>
      </c>
      <c r="D215" s="127">
        <f>'Financial impact (cash)'!D17*C215*'Inputs and eligible population'!$E$63</f>
        <v>0</v>
      </c>
      <c r="E215" s="127">
        <f>'Financial impact (cash)'!E17*'Capacity (local prices)'!$C215*'Inputs and eligible population'!$E$63</f>
        <v>0</v>
      </c>
      <c r="F215" s="127">
        <f>'Financial impact (cash)'!F17*'Capacity (local prices)'!$C215*'Inputs and eligible population'!$E$63</f>
        <v>0</v>
      </c>
      <c r="G215" s="127">
        <f>'Financial impact (cash)'!G17*'Capacity (local prices)'!$C215*'Inputs and eligible population'!$E$63</f>
        <v>0</v>
      </c>
      <c r="H215" s="127">
        <f>'Financial impact (cash)'!H17*'Capacity (local prices)'!$C215*'Inputs and eligible population'!$E$63</f>
        <v>0</v>
      </c>
      <c r="I215" s="127">
        <f>'Financial impact (cash)'!I17*'Capacity (local prices)'!$C215*'Inputs and eligible population'!$E$63</f>
        <v>0</v>
      </c>
      <c r="J215" s="218"/>
      <c r="K215" s="528">
        <f>'Unit costs'!$N$71</f>
        <v>4.7</v>
      </c>
      <c r="L215" s="530">
        <f t="shared" si="60"/>
        <v>0</v>
      </c>
      <c r="M215" s="530">
        <f t="shared" si="58"/>
        <v>0</v>
      </c>
      <c r="N215" s="530">
        <f t="shared" si="58"/>
        <v>0</v>
      </c>
      <c r="O215" s="530">
        <f t="shared" si="58"/>
        <v>0</v>
      </c>
      <c r="P215" s="530">
        <f t="shared" si="58"/>
        <v>0</v>
      </c>
      <c r="Q215" s="530">
        <f t="shared" si="58"/>
        <v>0</v>
      </c>
      <c r="R215" s="132"/>
      <c r="S215" s="668"/>
      <c r="T215" s="668"/>
      <c r="U215" s="132"/>
      <c r="V215" s="132"/>
      <c r="W215" s="132"/>
      <c r="X215" s="132"/>
      <c r="Y215" s="132"/>
      <c r="Z215" s="132"/>
      <c r="AJ215" s="281"/>
      <c r="AK215" s="281"/>
      <c r="AL215" s="281"/>
      <c r="AM215" s="281"/>
      <c r="AN215" s="281"/>
    </row>
    <row r="216" spans="1:40">
      <c r="A216" s="284"/>
      <c r="B216" s="326" t="s">
        <v>1164</v>
      </c>
      <c r="C216" s="758">
        <f>'Inputs and eligible population'!$I$107</f>
        <v>1</v>
      </c>
      <c r="D216" s="127">
        <f>'Financial impact (cash)'!$D$17*'Inputs and eligible population'!$F$63*C216</f>
        <v>0</v>
      </c>
      <c r="E216" s="127">
        <f>'Financial impact (cash)'!$D$17*'Inputs and eligible population'!$F$63*'Capacity (local prices)'!$C$216</f>
        <v>0</v>
      </c>
      <c r="F216" s="127">
        <f>'Financial impact (cash)'!$E$17*'Inputs and eligible population'!$F$63*'Capacity (local prices)'!$C$216</f>
        <v>0</v>
      </c>
      <c r="G216" s="127">
        <f>'Financial impact (cash)'!$F$17*'Inputs and eligible population'!$F$63*'Capacity (local prices)'!$C$216</f>
        <v>0</v>
      </c>
      <c r="H216" s="127">
        <f>'Financial impact (cash)'!$G$17*'Inputs and eligible population'!$F$63*'Capacity (local prices)'!$C$216</f>
        <v>0</v>
      </c>
      <c r="I216" s="127">
        <f>'Financial impact (cash)'!$H$17*'Inputs and eligible population'!$F$63*'Capacity (local prices)'!$C$216</f>
        <v>0</v>
      </c>
      <c r="J216" s="218"/>
      <c r="K216" s="528">
        <f>'Unit costs'!$N$71</f>
        <v>4.7</v>
      </c>
      <c r="L216" s="530">
        <f t="shared" si="60"/>
        <v>0</v>
      </c>
      <c r="M216" s="530">
        <f t="shared" si="58"/>
        <v>0</v>
      </c>
      <c r="N216" s="530">
        <f t="shared" si="58"/>
        <v>0</v>
      </c>
      <c r="O216" s="530">
        <f t="shared" si="58"/>
        <v>0</v>
      </c>
      <c r="P216" s="530">
        <f t="shared" si="58"/>
        <v>0</v>
      </c>
      <c r="Q216" s="530">
        <f t="shared" si="58"/>
        <v>0</v>
      </c>
      <c r="R216" s="132"/>
      <c r="S216" s="668"/>
      <c r="T216" s="668"/>
      <c r="U216" s="132"/>
      <c r="V216" s="132"/>
      <c r="W216" s="132"/>
      <c r="X216" s="132"/>
      <c r="Y216" s="132"/>
      <c r="Z216" s="132"/>
      <c r="AJ216" s="281"/>
      <c r="AK216" s="281"/>
      <c r="AL216" s="281"/>
      <c r="AM216" s="281"/>
      <c r="AN216" s="281"/>
    </row>
    <row r="217" spans="1:40">
      <c r="A217" s="284"/>
      <c r="B217" s="326" t="s">
        <v>1165</v>
      </c>
      <c r="C217" s="758">
        <f>'Inputs and eligible population'!$I$107</f>
        <v>1</v>
      </c>
      <c r="D217" s="127">
        <f>'Financial impact (cash)'!$D$17*'Inputs and eligible population'!$G$63*C217</f>
        <v>0</v>
      </c>
      <c r="E217" s="127">
        <f>'Financial impact (cash)'!$D$17*'Inputs and eligible population'!$G$63*'Capacity (local prices)'!$C$217</f>
        <v>0</v>
      </c>
      <c r="F217" s="127">
        <f>'Financial impact (cash)'!$D$17*'Inputs and eligible population'!$G$63*'Capacity (local prices)'!$C$217</f>
        <v>0</v>
      </c>
      <c r="G217" s="127">
        <f>'Financial impact (cash)'!$E$17*'Inputs and eligible population'!$G$63*'Capacity (local prices)'!$C$217</f>
        <v>0</v>
      </c>
      <c r="H217" s="127">
        <f>'Financial impact (cash)'!$F$17*'Inputs and eligible population'!$G$63*'Capacity (local prices)'!$C$217</f>
        <v>0</v>
      </c>
      <c r="I217" s="127">
        <f>'Financial impact (cash)'!$G$17*'Inputs and eligible population'!$G$63*'Capacity (local prices)'!$C$217</f>
        <v>0</v>
      </c>
      <c r="J217" s="218"/>
      <c r="K217" s="528">
        <f>'Unit costs'!$N$71</f>
        <v>4.7</v>
      </c>
      <c r="L217" s="530">
        <f t="shared" si="60"/>
        <v>0</v>
      </c>
      <c r="M217" s="530">
        <f t="shared" si="58"/>
        <v>0</v>
      </c>
      <c r="N217" s="530">
        <f t="shared" si="58"/>
        <v>0</v>
      </c>
      <c r="O217" s="530">
        <f t="shared" si="58"/>
        <v>0</v>
      </c>
      <c r="P217" s="530">
        <f t="shared" si="58"/>
        <v>0</v>
      </c>
      <c r="Q217" s="530">
        <f t="shared" si="58"/>
        <v>0</v>
      </c>
      <c r="R217" s="132"/>
      <c r="S217" s="668"/>
      <c r="T217" s="668"/>
      <c r="U217" s="132"/>
      <c r="V217" s="132"/>
      <c r="W217" s="132"/>
      <c r="X217" s="132"/>
      <c r="Y217" s="132"/>
      <c r="Z217" s="132"/>
      <c r="AJ217" s="281"/>
      <c r="AK217" s="281"/>
      <c r="AL217" s="281"/>
      <c r="AM217" s="281"/>
      <c r="AN217" s="281"/>
    </row>
    <row r="218" spans="1:40">
      <c r="A218" s="284"/>
      <c r="B218" s="326" t="s">
        <v>1166</v>
      </c>
      <c r="C218" s="758">
        <f>'Inputs and eligible population'!$I$107</f>
        <v>1</v>
      </c>
      <c r="D218" s="127">
        <f>'Financial impact (cash)'!$D$17*'Inputs and eligible population'!$H$63*C218</f>
        <v>0</v>
      </c>
      <c r="E218" s="127">
        <f>'Financial impact (cash)'!$D$17*'Inputs and eligible population'!$H$63*'Capacity (local prices)'!$C$218</f>
        <v>0</v>
      </c>
      <c r="F218" s="127">
        <f>'Financial impact (cash)'!$D$17*'Inputs and eligible population'!$H$63*'Capacity (local prices)'!$C$218</f>
        <v>0</v>
      </c>
      <c r="G218" s="127">
        <f>'Financial impact (cash)'!$D$17*'Inputs and eligible population'!$H$63*'Capacity (local prices)'!$C$218</f>
        <v>0</v>
      </c>
      <c r="H218" s="127">
        <f>'Financial impact (cash)'!$E$17*'Inputs and eligible population'!$H$63*'Capacity (local prices)'!$C$218</f>
        <v>0</v>
      </c>
      <c r="I218" s="127">
        <f>'Financial impact (cash)'!$F$17*'Inputs and eligible population'!$H$63*'Capacity (local prices)'!$C$218</f>
        <v>0</v>
      </c>
      <c r="J218" s="218"/>
      <c r="K218" s="528">
        <f>'Unit costs'!$N$71</f>
        <v>4.7</v>
      </c>
      <c r="L218" s="530">
        <f t="shared" si="60"/>
        <v>0</v>
      </c>
      <c r="M218" s="530">
        <f t="shared" si="58"/>
        <v>0</v>
      </c>
      <c r="N218" s="530">
        <f t="shared" si="58"/>
        <v>0</v>
      </c>
      <c r="O218" s="530">
        <f t="shared" si="58"/>
        <v>0</v>
      </c>
      <c r="P218" s="530">
        <f t="shared" si="58"/>
        <v>0</v>
      </c>
      <c r="Q218" s="530">
        <f t="shared" si="58"/>
        <v>0</v>
      </c>
      <c r="R218" s="132"/>
      <c r="S218" s="668"/>
      <c r="T218" s="668"/>
      <c r="U218" s="132"/>
      <c r="V218" s="132"/>
      <c r="W218" s="132"/>
      <c r="X218" s="132"/>
      <c r="Y218" s="132"/>
      <c r="Z218" s="132"/>
      <c r="AJ218" s="281"/>
      <c r="AK218" s="281"/>
      <c r="AL218" s="281"/>
      <c r="AM218" s="281"/>
      <c r="AN218" s="281"/>
    </row>
    <row r="219" spans="1:40">
      <c r="A219" s="284"/>
      <c r="B219" s="326" t="s">
        <v>1167</v>
      </c>
      <c r="C219" s="758">
        <f>'Inputs and eligible population'!$I$107</f>
        <v>1</v>
      </c>
      <c r="D219" s="127">
        <f>'Financial impact (cash)'!$D$17*'Inputs and eligible population'!$I$63*C219</f>
        <v>0</v>
      </c>
      <c r="E219" s="127">
        <f>'Financial impact (cash)'!$D$17*'Inputs and eligible population'!$I$63*'Capacity (local prices)'!$C$219</f>
        <v>0</v>
      </c>
      <c r="F219" s="127">
        <f>'Financial impact (cash)'!$D$17*'Inputs and eligible population'!$I$63*'Capacity (local prices)'!$C$219</f>
        <v>0</v>
      </c>
      <c r="G219" s="127">
        <f>'Financial impact (cash)'!$D$17*'Inputs and eligible population'!$I$63*'Capacity (local prices)'!$C$219</f>
        <v>0</v>
      </c>
      <c r="H219" s="127">
        <f>'Financial impact (cash)'!$D$17*'Inputs and eligible population'!$I$63*'Capacity (local prices)'!$C$219</f>
        <v>0</v>
      </c>
      <c r="I219" s="127">
        <f>'Financial impact (cash)'!$E$17*'Inputs and eligible population'!$I$63*'Capacity (local prices)'!$C$219</f>
        <v>0</v>
      </c>
      <c r="J219" s="218"/>
      <c r="K219" s="528">
        <f>'Unit costs'!$N$71</f>
        <v>4.7</v>
      </c>
      <c r="L219" s="530">
        <f t="shared" si="60"/>
        <v>0</v>
      </c>
      <c r="M219" s="530">
        <f t="shared" si="58"/>
        <v>0</v>
      </c>
      <c r="N219" s="530">
        <f t="shared" si="58"/>
        <v>0</v>
      </c>
      <c r="O219" s="530">
        <f t="shared" si="58"/>
        <v>0</v>
      </c>
      <c r="P219" s="530">
        <f t="shared" si="58"/>
        <v>0</v>
      </c>
      <c r="Q219" s="530">
        <f t="shared" si="58"/>
        <v>0</v>
      </c>
      <c r="R219" s="132"/>
      <c r="S219" s="668"/>
      <c r="T219" s="668"/>
      <c r="U219" s="132"/>
      <c r="V219" s="132"/>
      <c r="W219" s="132"/>
      <c r="X219" s="132"/>
      <c r="Y219" s="132"/>
      <c r="Z219" s="132"/>
      <c r="AJ219" s="281"/>
      <c r="AK219" s="281"/>
      <c r="AL219" s="281"/>
      <c r="AM219" s="281"/>
      <c r="AN219" s="281"/>
    </row>
    <row r="220" spans="1:40">
      <c r="A220" s="837"/>
      <c r="B220" s="205"/>
      <c r="C220" s="184"/>
      <c r="D220" s="184">
        <f>SUM(D195:D219)</f>
        <v>0</v>
      </c>
      <c r="E220" s="184">
        <f t="shared" ref="E220:I220" si="61">SUM(E195:E219)</f>
        <v>0</v>
      </c>
      <c r="F220" s="184">
        <f t="shared" si="61"/>
        <v>0</v>
      </c>
      <c r="G220" s="184">
        <f t="shared" si="61"/>
        <v>0</v>
      </c>
      <c r="H220" s="184">
        <f t="shared" si="61"/>
        <v>0</v>
      </c>
      <c r="I220" s="184">
        <f t="shared" si="61"/>
        <v>0</v>
      </c>
      <c r="J220" s="284"/>
      <c r="K220" s="284"/>
      <c r="L220" s="838">
        <f t="shared" ref="L220:Q220" si="62">SUM(L195:L219)</f>
        <v>0</v>
      </c>
      <c r="M220" s="838">
        <f t="shared" si="62"/>
        <v>0</v>
      </c>
      <c r="N220" s="838">
        <f t="shared" si="62"/>
        <v>0</v>
      </c>
      <c r="O220" s="838">
        <f t="shared" si="62"/>
        <v>0</v>
      </c>
      <c r="P220" s="838">
        <f t="shared" si="62"/>
        <v>0</v>
      </c>
      <c r="Q220" s="838">
        <f t="shared" si="62"/>
        <v>0</v>
      </c>
      <c r="R220" s="132"/>
      <c r="S220" s="668"/>
      <c r="T220" s="132"/>
      <c r="U220" s="132"/>
      <c r="V220" s="132"/>
      <c r="W220" s="132"/>
      <c r="X220" s="132"/>
      <c r="Y220" s="132"/>
      <c r="Z220" s="132"/>
      <c r="AJ220" s="281"/>
      <c r="AK220" s="281"/>
      <c r="AL220" s="281"/>
      <c r="AM220" s="281"/>
      <c r="AN220" s="281"/>
    </row>
    <row r="221" spans="1:40">
      <c r="A221" s="284"/>
      <c r="B221" s="289"/>
      <c r="C221" s="252"/>
      <c r="D221" s="280" t="s">
        <v>817</v>
      </c>
      <c r="E221" s="184">
        <f>E220-$D$220</f>
        <v>0</v>
      </c>
      <c r="F221" s="184">
        <f t="shared" ref="F221:I221" si="63">F220-$D$220</f>
        <v>0</v>
      </c>
      <c r="G221" s="184">
        <f t="shared" si="63"/>
        <v>0</v>
      </c>
      <c r="H221" s="184">
        <f t="shared" si="63"/>
        <v>0</v>
      </c>
      <c r="I221" s="184">
        <f t="shared" si="63"/>
        <v>0</v>
      </c>
      <c r="J221" s="284"/>
      <c r="K221" s="284"/>
      <c r="L221" s="506"/>
      <c r="M221" s="287">
        <f>M220-$L$220</f>
        <v>0</v>
      </c>
      <c r="N221" s="287">
        <f t="shared" ref="N221:Q221" si="64">N220-$L$220</f>
        <v>0</v>
      </c>
      <c r="O221" s="287">
        <f t="shared" si="64"/>
        <v>0</v>
      </c>
      <c r="P221" s="287">
        <f t="shared" si="64"/>
        <v>0</v>
      </c>
      <c r="Q221" s="287">
        <f t="shared" si="64"/>
        <v>0</v>
      </c>
      <c r="S221" s="668"/>
      <c r="V221" s="132"/>
    </row>
    <row r="222" spans="1:40">
      <c r="A222" s="284"/>
      <c r="B222" s="304"/>
      <c r="C222" s="218"/>
      <c r="D222" s="218"/>
      <c r="E222" s="218"/>
      <c r="F222" s="218"/>
      <c r="G222" s="218"/>
      <c r="H222" s="218"/>
      <c r="I222" s="218"/>
      <c r="J222" s="284"/>
      <c r="K222" s="284"/>
      <c r="L222" s="218"/>
      <c r="M222" s="218"/>
      <c r="N222" s="218"/>
      <c r="O222" s="218"/>
      <c r="P222" s="218"/>
      <c r="Q222" s="218"/>
      <c r="V222" s="132"/>
    </row>
    <row r="223" spans="1:40">
      <c r="A223" s="284"/>
      <c r="B223" s="372" t="s">
        <v>1016</v>
      </c>
      <c r="C223" s="373"/>
      <c r="D223" s="373"/>
      <c r="E223" s="373"/>
      <c r="F223" s="373"/>
      <c r="G223" s="373"/>
      <c r="H223" s="373"/>
      <c r="I223" s="217"/>
      <c r="J223" s="284"/>
      <c r="K223" s="284"/>
      <c r="L223" s="398"/>
      <c r="M223" s="398"/>
      <c r="N223" s="398"/>
      <c r="O223" s="398"/>
      <c r="P223" s="398"/>
      <c r="Q223" s="398"/>
      <c r="R223" s="132"/>
      <c r="S223" s="132"/>
      <c r="T223" s="132"/>
      <c r="U223" s="132"/>
      <c r="V223" s="132"/>
      <c r="W223" s="132"/>
      <c r="X223" s="132"/>
      <c r="Y223" s="132"/>
      <c r="Z223" s="132"/>
      <c r="AJ223" s="281"/>
      <c r="AK223" s="281"/>
      <c r="AL223" s="281"/>
      <c r="AM223" s="281"/>
      <c r="AN223" s="281"/>
    </row>
    <row r="224" spans="1:40" ht="45">
      <c r="A224" s="284"/>
      <c r="B224" s="274" t="s">
        <v>757</v>
      </c>
      <c r="C224" s="165" t="s">
        <v>833</v>
      </c>
      <c r="D224" s="392" t="s">
        <v>825</v>
      </c>
      <c r="E224" s="251" t="s">
        <v>674</v>
      </c>
      <c r="F224" s="251" t="s">
        <v>675</v>
      </c>
      <c r="G224" s="164" t="s">
        <v>792</v>
      </c>
      <c r="H224" s="164" t="s">
        <v>793</v>
      </c>
      <c r="I224" s="251" t="s">
        <v>794</v>
      </c>
      <c r="J224" s="284"/>
      <c r="K224" s="515" t="s">
        <v>845</v>
      </c>
      <c r="L224" s="392" t="s">
        <v>825</v>
      </c>
      <c r="M224" s="251" t="s">
        <v>674</v>
      </c>
      <c r="N224" s="251" t="s">
        <v>675</v>
      </c>
      <c r="O224" s="164" t="s">
        <v>792</v>
      </c>
      <c r="P224" s="164" t="s">
        <v>793</v>
      </c>
      <c r="Q224" s="251" t="s">
        <v>794</v>
      </c>
      <c r="R224" s="132"/>
      <c r="S224" s="132"/>
      <c r="T224" s="132"/>
      <c r="U224" s="132"/>
      <c r="V224" s="132"/>
      <c r="W224" s="132"/>
      <c r="X224" s="132"/>
      <c r="Y224" s="132"/>
      <c r="Z224" s="132"/>
      <c r="AJ224" s="281"/>
      <c r="AK224" s="281"/>
      <c r="AL224" s="281"/>
      <c r="AM224" s="281"/>
      <c r="AN224" s="281"/>
    </row>
    <row r="225" spans="1:40">
      <c r="A225" s="284"/>
      <c r="B225" s="326" t="s">
        <v>1143</v>
      </c>
      <c r="C225" s="758">
        <f>'Inputs and eligible population'!F$109</f>
        <v>4</v>
      </c>
      <c r="D225" s="127">
        <f>('Financial impact (cash)'!$D$13*'Inputs and eligible population'!$E$59/(365/'Inputs and eligible population'!$D$59))*$C225</f>
        <v>0</v>
      </c>
      <c r="E225" s="127">
        <f>(('Financial impact (cash)'!E$13)*'Inputs and eligible population'!$E$59/(365/'Inputs and eligible population'!$D$59))*'Capacity (local prices)'!$C225</f>
        <v>0</v>
      </c>
      <c r="F225" s="127">
        <f>(('Financial impact (cash)'!F$13)*'Inputs and eligible population'!$E$59/(365/'Inputs and eligible population'!$D$59))*'Capacity (local prices)'!$C225</f>
        <v>0</v>
      </c>
      <c r="G225" s="127">
        <f>(('Financial impact (cash)'!G$13)*'Inputs and eligible population'!$E$59/(365/'Inputs and eligible population'!$D$59))*'Capacity (local prices)'!$C225</f>
        <v>0</v>
      </c>
      <c r="H225" s="127">
        <f>(('Financial impact (cash)'!H$13)*'Inputs and eligible population'!$E$59/(365/'Inputs and eligible population'!$D$59))*'Capacity (local prices)'!$C225</f>
        <v>0</v>
      </c>
      <c r="I225" s="127">
        <f>(('Financial impact (cash)'!I$13)*'Inputs and eligible population'!$E$59/(365/'Inputs and eligible population'!$D$59))*'Capacity (local prices)'!$C225</f>
        <v>0</v>
      </c>
      <c r="J225" s="218"/>
      <c r="K225" s="528">
        <f>'Unit costs'!$N$67</f>
        <v>99</v>
      </c>
      <c r="L225" s="530">
        <f>$K225/1000*D225</f>
        <v>0</v>
      </c>
      <c r="M225" s="530">
        <f t="shared" ref="M225:Q249" si="65">$K225/1000*E225</f>
        <v>0</v>
      </c>
      <c r="N225" s="530">
        <f t="shared" si="65"/>
        <v>0</v>
      </c>
      <c r="O225" s="530">
        <f t="shared" si="65"/>
        <v>0</v>
      </c>
      <c r="P225" s="530">
        <f t="shared" si="65"/>
        <v>0</v>
      </c>
      <c r="Q225" s="530">
        <f t="shared" si="65"/>
        <v>0</v>
      </c>
      <c r="R225" s="132"/>
      <c r="S225" s="132"/>
      <c r="T225" s="132"/>
      <c r="U225" s="132"/>
      <c r="V225" s="132"/>
      <c r="W225" s="132"/>
      <c r="X225" s="132"/>
      <c r="Y225" s="132"/>
      <c r="Z225" s="132"/>
      <c r="AJ225" s="281"/>
      <c r="AK225" s="281"/>
      <c r="AL225" s="281"/>
      <c r="AM225" s="281"/>
      <c r="AN225" s="281"/>
    </row>
    <row r="226" spans="1:40">
      <c r="A226" s="284"/>
      <c r="B226" s="326" t="s">
        <v>1144</v>
      </c>
      <c r="C226" s="758">
        <f>'Inputs and eligible population'!F$109</f>
        <v>4</v>
      </c>
      <c r="D226" s="127">
        <f>(('Financial impact (cash)'!$D$13)*'Inputs and eligible population'!$F$59/(365/'Inputs and eligible population'!$D$59))*'Capacity (local prices)'!$C226</f>
        <v>0</v>
      </c>
      <c r="E226" s="127">
        <f>(('Financial impact (cash)'!D$13)*'Inputs and eligible population'!$F$59/(365/'Inputs and eligible population'!$D$59))*'Capacity (local prices)'!$C226</f>
        <v>0</v>
      </c>
      <c r="F226" s="127">
        <f>(('Financial impact (cash)'!E$13)*'Inputs and eligible population'!$F$59/(365/'Inputs and eligible population'!$D$59))*'Capacity (local prices)'!$C226</f>
        <v>0</v>
      </c>
      <c r="G226" s="127">
        <f>(('Financial impact (cash)'!F$13)*'Inputs and eligible population'!$F$59/(365/'Inputs and eligible population'!$D$59))*'Capacity (local prices)'!$C226</f>
        <v>0</v>
      </c>
      <c r="H226" s="127">
        <f>(('Financial impact (cash)'!G$13)*'Inputs and eligible population'!$F$59/(365/'Inputs and eligible population'!$D$59))*'Capacity (local prices)'!$C226</f>
        <v>0</v>
      </c>
      <c r="I226" s="127">
        <f>(('Financial impact (cash)'!H$13)*'Inputs and eligible population'!$F$59/(365/'Inputs and eligible population'!$D$59))*'Capacity (local prices)'!$C226</f>
        <v>0</v>
      </c>
      <c r="J226" s="218"/>
      <c r="K226" s="528">
        <f>'Unit costs'!$N$67</f>
        <v>99</v>
      </c>
      <c r="L226" s="530">
        <f t="shared" ref="L226:L229" si="66">$K226/1000*D226</f>
        <v>0</v>
      </c>
      <c r="M226" s="530">
        <f t="shared" si="65"/>
        <v>0</v>
      </c>
      <c r="N226" s="530">
        <f t="shared" si="65"/>
        <v>0</v>
      </c>
      <c r="O226" s="530">
        <f t="shared" si="65"/>
        <v>0</v>
      </c>
      <c r="P226" s="530">
        <f t="shared" si="65"/>
        <v>0</v>
      </c>
      <c r="Q226" s="530">
        <f t="shared" si="65"/>
        <v>0</v>
      </c>
      <c r="R226" s="132"/>
      <c r="S226" s="132"/>
      <c r="T226" s="132"/>
      <c r="U226" s="132"/>
      <c r="V226" s="132"/>
      <c r="W226" s="132"/>
      <c r="X226" s="132"/>
      <c r="Y226" s="132"/>
      <c r="Z226" s="132"/>
      <c r="AJ226" s="281"/>
      <c r="AK226" s="281"/>
      <c r="AL226" s="281"/>
      <c r="AM226" s="281"/>
      <c r="AN226" s="281"/>
    </row>
    <row r="227" spans="1:40">
      <c r="A227" s="284"/>
      <c r="B227" s="326" t="s">
        <v>1145</v>
      </c>
      <c r="C227" s="758">
        <f>'Inputs and eligible population'!F$109</f>
        <v>4</v>
      </c>
      <c r="D227" s="127">
        <f>(('Financial impact (cash)'!$D$13)*'Inputs and eligible population'!$G$59/(365/'Inputs and eligible population'!$D$59))*'Capacity (local prices)'!$C227</f>
        <v>0</v>
      </c>
      <c r="E227" s="127">
        <f>(('Financial impact (cash)'!D$13)*'Inputs and eligible population'!$G$59/(365/'Inputs and eligible population'!$D$59))*'Capacity (local prices)'!$C227</f>
        <v>0</v>
      </c>
      <c r="F227" s="127">
        <f>(('Financial impact (cash)'!D$13)*'Inputs and eligible population'!$G$59/(365/'Inputs and eligible population'!$D$59))*'Capacity (local prices)'!$C227</f>
        <v>0</v>
      </c>
      <c r="G227" s="127">
        <f>(('Financial impact (cash)'!E$13)*'Inputs and eligible population'!$G$59/(365/'Inputs and eligible population'!$D$59))*'Capacity (local prices)'!$C227</f>
        <v>0</v>
      </c>
      <c r="H227" s="127">
        <f>(('Financial impact (cash)'!F$13)*'Inputs and eligible population'!$G$59/(365/'Inputs and eligible population'!$D$59))*'Capacity (local prices)'!$C227</f>
        <v>0</v>
      </c>
      <c r="I227" s="127">
        <f>(('Financial impact (cash)'!G$13)*'Inputs and eligible population'!$G$59/(365/'Inputs and eligible population'!$D$59))*'Capacity (local prices)'!$C227</f>
        <v>0</v>
      </c>
      <c r="J227" s="218"/>
      <c r="K227" s="528">
        <f>'Unit costs'!$N$67</f>
        <v>99</v>
      </c>
      <c r="L227" s="530">
        <f t="shared" si="66"/>
        <v>0</v>
      </c>
      <c r="M227" s="530">
        <f t="shared" si="65"/>
        <v>0</v>
      </c>
      <c r="N227" s="530">
        <f t="shared" si="65"/>
        <v>0</v>
      </c>
      <c r="O227" s="530">
        <f t="shared" si="65"/>
        <v>0</v>
      </c>
      <c r="P227" s="530">
        <f t="shared" si="65"/>
        <v>0</v>
      </c>
      <c r="Q227" s="530">
        <f t="shared" si="65"/>
        <v>0</v>
      </c>
      <c r="R227" s="132"/>
      <c r="S227" s="132"/>
      <c r="T227" s="132"/>
      <c r="U227" s="132"/>
      <c r="V227" s="132"/>
      <c r="W227" s="132"/>
      <c r="X227" s="132"/>
      <c r="Y227" s="132"/>
      <c r="Z227" s="132"/>
      <c r="AJ227" s="281"/>
      <c r="AK227" s="281"/>
      <c r="AL227" s="281"/>
      <c r="AM227" s="281"/>
      <c r="AN227" s="281"/>
    </row>
    <row r="228" spans="1:40">
      <c r="A228" s="284"/>
      <c r="B228" s="326" t="s">
        <v>1146</v>
      </c>
      <c r="C228" s="758">
        <f>'Inputs and eligible population'!F$109</f>
        <v>4</v>
      </c>
      <c r="D228" s="127">
        <f>(('Financial impact (cash)'!$D$13)*'Inputs and eligible population'!$H$59/(365/'Inputs and eligible population'!$D$59))*'Capacity (local prices)'!$C228</f>
        <v>0</v>
      </c>
      <c r="E228" s="127">
        <f>(('Financial impact (cash)'!D$13)*'Inputs and eligible population'!$H$59/(365/'Inputs and eligible population'!$D$59))*'Capacity (local prices)'!$C228</f>
        <v>0</v>
      </c>
      <c r="F228" s="127">
        <f>(('Financial impact (cash)'!D$13)*'Inputs and eligible population'!$H$59/(365/'Inputs and eligible population'!$D$59))*'Capacity (local prices)'!$C228</f>
        <v>0</v>
      </c>
      <c r="G228" s="127">
        <f>(('Financial impact (cash)'!D$13)*'Inputs and eligible population'!$H$59/(365/'Inputs and eligible population'!$D$59))*'Capacity (local prices)'!$C228</f>
        <v>0</v>
      </c>
      <c r="H228" s="127">
        <f>(('Financial impact (cash)'!E$13)*'Inputs and eligible population'!$H$59/(365/'Inputs and eligible population'!$D$59))*'Capacity (local prices)'!$C228</f>
        <v>0</v>
      </c>
      <c r="I228" s="127">
        <f>(('Financial impact (cash)'!F$13)*'Inputs and eligible population'!$H$59/(365/'Inputs and eligible population'!$D$59))*'Capacity (local prices)'!$C228</f>
        <v>0</v>
      </c>
      <c r="J228" s="218"/>
      <c r="K228" s="528">
        <f>'Unit costs'!$N$67</f>
        <v>99</v>
      </c>
      <c r="L228" s="530">
        <f t="shared" si="66"/>
        <v>0</v>
      </c>
      <c r="M228" s="530">
        <f t="shared" si="65"/>
        <v>0</v>
      </c>
      <c r="N228" s="530">
        <f t="shared" si="65"/>
        <v>0</v>
      </c>
      <c r="O228" s="530">
        <f t="shared" si="65"/>
        <v>0</v>
      </c>
      <c r="P228" s="530">
        <f t="shared" si="65"/>
        <v>0</v>
      </c>
      <c r="Q228" s="530">
        <f t="shared" si="65"/>
        <v>0</v>
      </c>
      <c r="R228" s="132"/>
      <c r="S228" s="132"/>
      <c r="T228" s="132"/>
      <c r="U228" s="132"/>
      <c r="V228" s="132"/>
      <c r="W228" s="132"/>
      <c r="X228" s="132"/>
      <c r="Y228" s="132"/>
      <c r="Z228" s="132"/>
      <c r="AJ228" s="281"/>
      <c r="AK228" s="281"/>
      <c r="AL228" s="281"/>
      <c r="AM228" s="281"/>
      <c r="AN228" s="281"/>
    </row>
    <row r="229" spans="1:40">
      <c r="A229" s="284"/>
      <c r="B229" s="326" t="s">
        <v>1147</v>
      </c>
      <c r="C229" s="758">
        <f>'Inputs and eligible population'!F$109</f>
        <v>4</v>
      </c>
      <c r="D229" s="127">
        <f>(('Financial impact (cash)'!$D$13)*'Inputs and eligible population'!$I$59/(365/'Inputs and eligible population'!$D$59))*'Capacity (local prices)'!$C229</f>
        <v>0</v>
      </c>
      <c r="E229" s="127">
        <f>(('Financial impact (cash)'!D$13)*'Inputs and eligible population'!$I$59/(365/'Inputs and eligible population'!$D$59))*'Capacity (local prices)'!$C229</f>
        <v>0</v>
      </c>
      <c r="F229" s="127">
        <f>(('Financial impact (cash)'!D$13)*'Inputs and eligible population'!$I$59/(365/'Inputs and eligible population'!$D$59))*'Capacity (local prices)'!$C229</f>
        <v>0</v>
      </c>
      <c r="G229" s="127">
        <f>(('Financial impact (cash)'!D$13)*'Inputs and eligible population'!$I$59/(365/'Inputs and eligible population'!$D$59))*'Capacity (local prices)'!$C229</f>
        <v>0</v>
      </c>
      <c r="H229" s="127">
        <f>(('Financial impact (cash)'!D$13)*'Inputs and eligible population'!$I$59/(365/'Inputs and eligible population'!$D$59))*'Capacity (local prices)'!$C229</f>
        <v>0</v>
      </c>
      <c r="I229" s="127">
        <f>(('Financial impact (cash)'!E$13)*'Inputs and eligible population'!$I$59/(365/'Inputs and eligible population'!$D$59))*'Capacity (local prices)'!$C229</f>
        <v>0</v>
      </c>
      <c r="J229" s="218"/>
      <c r="K229" s="528">
        <f>'Unit costs'!$N$67</f>
        <v>99</v>
      </c>
      <c r="L229" s="530">
        <f t="shared" si="66"/>
        <v>0</v>
      </c>
      <c r="M229" s="530">
        <f t="shared" si="65"/>
        <v>0</v>
      </c>
      <c r="N229" s="530">
        <f t="shared" si="65"/>
        <v>0</v>
      </c>
      <c r="O229" s="530">
        <f t="shared" si="65"/>
        <v>0</v>
      </c>
      <c r="P229" s="530">
        <f t="shared" si="65"/>
        <v>0</v>
      </c>
      <c r="Q229" s="530">
        <f t="shared" si="65"/>
        <v>0</v>
      </c>
      <c r="R229" s="132"/>
      <c r="S229" s="132"/>
      <c r="T229" s="132"/>
      <c r="U229" s="132"/>
      <c r="V229" s="132"/>
      <c r="W229" s="132"/>
      <c r="X229" s="132"/>
      <c r="Y229" s="132"/>
      <c r="Z229" s="132"/>
      <c r="AJ229" s="281"/>
      <c r="AK229" s="281"/>
      <c r="AL229" s="281"/>
      <c r="AM229" s="281"/>
      <c r="AN229" s="281"/>
    </row>
    <row r="230" spans="1:40">
      <c r="A230" s="284"/>
      <c r="B230" s="326" t="s">
        <v>1148</v>
      </c>
      <c r="C230" s="758">
        <f>'Inputs and eligible population'!F$109</f>
        <v>4</v>
      </c>
      <c r="D230" s="127">
        <f>('Financial impact (cash)'!$D$14*'Inputs and eligible population'!$E60/(365/'Inputs and eligible population'!D60))*$C230</f>
        <v>0</v>
      </c>
      <c r="E230" s="127">
        <f>(('Financial impact (cash)'!E$14)*'Inputs and eligible population'!$E$60/(365/'Inputs and eligible population'!$D$60))*'Capacity (local prices)'!$C230</f>
        <v>0</v>
      </c>
      <c r="F230" s="127">
        <f>(('Financial impact (cash)'!F$14)*'Inputs and eligible population'!$E$60/(365/'Inputs and eligible population'!$D$60))*'Capacity (local prices)'!$C230</f>
        <v>0</v>
      </c>
      <c r="G230" s="127">
        <f>(('Financial impact (cash)'!G$14)*'Inputs and eligible population'!$E$60/(365/'Inputs and eligible population'!$D$60))*'Capacity (local prices)'!$C230</f>
        <v>0</v>
      </c>
      <c r="H230" s="127">
        <f>(('Financial impact (cash)'!H$14)*'Inputs and eligible population'!$E$60/(365/'Inputs and eligible population'!$D$60))*'Capacity (local prices)'!$C230</f>
        <v>0</v>
      </c>
      <c r="I230" s="127">
        <f>(('Financial impact (cash)'!I14)*'Inputs and eligible population'!$E$60/(365/'Inputs and eligible population'!$D$60))*'Capacity (local prices)'!$C230</f>
        <v>0</v>
      </c>
      <c r="J230" s="218"/>
      <c r="K230" s="528">
        <f>'Unit costs'!$N$67</f>
        <v>99</v>
      </c>
      <c r="L230" s="530">
        <f>$K230/1000*D230</f>
        <v>0</v>
      </c>
      <c r="M230" s="530">
        <f t="shared" si="65"/>
        <v>0</v>
      </c>
      <c r="N230" s="530">
        <f t="shared" si="65"/>
        <v>0</v>
      </c>
      <c r="O230" s="530">
        <f t="shared" si="65"/>
        <v>0</v>
      </c>
      <c r="P230" s="530">
        <f t="shared" si="65"/>
        <v>0</v>
      </c>
      <c r="Q230" s="530">
        <f t="shared" si="65"/>
        <v>0</v>
      </c>
      <c r="R230" s="132"/>
      <c r="S230" s="132"/>
      <c r="T230" s="132"/>
      <c r="U230" s="132"/>
      <c r="V230" s="132"/>
      <c r="W230" s="132"/>
      <c r="X230" s="132"/>
      <c r="Y230" s="132"/>
      <c r="Z230" s="132"/>
      <c r="AJ230" s="281"/>
      <c r="AK230" s="281"/>
      <c r="AL230" s="281"/>
      <c r="AM230" s="281"/>
      <c r="AN230" s="281"/>
    </row>
    <row r="231" spans="1:40">
      <c r="A231" s="284"/>
      <c r="B231" s="326" t="s">
        <v>1149</v>
      </c>
      <c r="C231" s="758">
        <f>'Inputs and eligible population'!F$109</f>
        <v>4</v>
      </c>
      <c r="D231" s="127">
        <f>(('Financial impact (cash)'!$D$14)*'Inputs and eligible population'!$F$60/(365/'Inputs and eligible population'!$D$60))*'Capacity (local prices)'!$C231</f>
        <v>0</v>
      </c>
      <c r="E231" s="127">
        <f>(('Financial impact (cash)'!D$14)*'Inputs and eligible population'!$F$60/(365/'Inputs and eligible population'!$D$60))*'Capacity (local prices)'!$C231</f>
        <v>0</v>
      </c>
      <c r="F231" s="127">
        <f>(('Financial impact (cash)'!E$14)*'Inputs and eligible population'!$F$60/(365/'Inputs and eligible population'!$D$60))*'Capacity (local prices)'!$C231</f>
        <v>0</v>
      </c>
      <c r="G231" s="127">
        <f>(('Financial impact (cash)'!F$14)*'Inputs and eligible population'!$F$60/(365/'Inputs and eligible population'!$D$60))*'Capacity (local prices)'!$C231</f>
        <v>0</v>
      </c>
      <c r="H231" s="127">
        <f>(('Financial impact (cash)'!G$14)*'Inputs and eligible population'!$F$60/(365/'Inputs and eligible population'!$D$60))*'Capacity (local prices)'!$C231</f>
        <v>0</v>
      </c>
      <c r="I231" s="127">
        <f>(('Financial impact (cash)'!H$14)*'Inputs and eligible population'!$F$60/(365/'Inputs and eligible population'!$D$60))*'Capacity (local prices)'!$C231</f>
        <v>0</v>
      </c>
      <c r="J231" s="218"/>
      <c r="K231" s="528">
        <f>'Unit costs'!$N$67</f>
        <v>99</v>
      </c>
      <c r="L231" s="530">
        <f t="shared" ref="L231:L249" si="67">$K231/1000*D231</f>
        <v>0</v>
      </c>
      <c r="M231" s="530">
        <f t="shared" si="65"/>
        <v>0</v>
      </c>
      <c r="N231" s="530">
        <f t="shared" si="65"/>
        <v>0</v>
      </c>
      <c r="O231" s="530">
        <f t="shared" si="65"/>
        <v>0</v>
      </c>
      <c r="P231" s="530">
        <f t="shared" si="65"/>
        <v>0</v>
      </c>
      <c r="Q231" s="530">
        <f t="shared" si="65"/>
        <v>0</v>
      </c>
      <c r="R231" s="132"/>
      <c r="S231" s="132"/>
      <c r="T231" s="132"/>
      <c r="U231" s="132"/>
      <c r="V231" s="132"/>
      <c r="W231" s="132"/>
      <c r="X231" s="132"/>
      <c r="Y231" s="132"/>
      <c r="Z231" s="132"/>
      <c r="AJ231" s="281"/>
      <c r="AK231" s="281"/>
      <c r="AL231" s="281"/>
      <c r="AM231" s="281"/>
      <c r="AN231" s="281"/>
    </row>
    <row r="232" spans="1:40">
      <c r="A232" s="284"/>
      <c r="B232" s="326" t="s">
        <v>1150</v>
      </c>
      <c r="C232" s="758">
        <f>'Inputs and eligible population'!F$109</f>
        <v>4</v>
      </c>
      <c r="D232" s="127">
        <f>(('Financial impact (cash)'!$D$14)*'Inputs and eligible population'!$G$60/(365/'Inputs and eligible population'!$D$60))*'Capacity (local prices)'!$C232</f>
        <v>0</v>
      </c>
      <c r="E232" s="127">
        <f>(('Financial impact (cash)'!D$14)*'Inputs and eligible population'!$G$60/(365/'Inputs and eligible population'!$D$60))*'Capacity (local prices)'!$C232</f>
        <v>0</v>
      </c>
      <c r="F232" s="127">
        <f>(('Financial impact (cash)'!D$14)*'Inputs and eligible population'!$G$60/(365/'Inputs and eligible population'!$D$60))*'Capacity (local prices)'!$C232</f>
        <v>0</v>
      </c>
      <c r="G232" s="127">
        <f>(('Financial impact (cash)'!E$14)*'Inputs and eligible population'!$G$60/(365/'Inputs and eligible population'!$D$60))*'Capacity (local prices)'!$C232</f>
        <v>0</v>
      </c>
      <c r="H232" s="127">
        <f>(('Financial impact (cash)'!F$14)*'Inputs and eligible population'!$G$60/(365/'Inputs and eligible population'!$D$60))*'Capacity (local prices)'!$C232</f>
        <v>0</v>
      </c>
      <c r="I232" s="127">
        <f>(('Financial impact (cash)'!G$14)*'Inputs and eligible population'!$G$60/(365/'Inputs and eligible population'!$D$60))*'Capacity (local prices)'!$C232</f>
        <v>0</v>
      </c>
      <c r="J232" s="218"/>
      <c r="K232" s="528">
        <f>'Unit costs'!$N$67</f>
        <v>99</v>
      </c>
      <c r="L232" s="530">
        <f t="shared" si="67"/>
        <v>0</v>
      </c>
      <c r="M232" s="530">
        <f t="shared" si="65"/>
        <v>0</v>
      </c>
      <c r="N232" s="530">
        <f t="shared" si="65"/>
        <v>0</v>
      </c>
      <c r="O232" s="530">
        <f t="shared" si="65"/>
        <v>0</v>
      </c>
      <c r="P232" s="530">
        <f t="shared" si="65"/>
        <v>0</v>
      </c>
      <c r="Q232" s="530">
        <f t="shared" si="65"/>
        <v>0</v>
      </c>
      <c r="R232" s="132"/>
      <c r="S232" s="132"/>
      <c r="T232" s="132"/>
      <c r="U232" s="132"/>
      <c r="V232" s="132"/>
      <c r="W232" s="132"/>
      <c r="X232" s="132"/>
      <c r="Y232" s="132"/>
      <c r="Z232" s="132"/>
      <c r="AJ232" s="281"/>
      <c r="AK232" s="281"/>
      <c r="AL232" s="281"/>
      <c r="AM232" s="281"/>
      <c r="AN232" s="281"/>
    </row>
    <row r="233" spans="1:40">
      <c r="A233" s="284"/>
      <c r="B233" s="326" t="s">
        <v>1151</v>
      </c>
      <c r="C233" s="758">
        <f>'Inputs and eligible population'!F$109</f>
        <v>4</v>
      </c>
      <c r="D233" s="127">
        <f>(('Financial impact (cash)'!$D$14)*'Inputs and eligible population'!$H$60/(365/'Inputs and eligible population'!$D$60))*'Capacity (local prices)'!$C233</f>
        <v>0</v>
      </c>
      <c r="E233" s="127">
        <f>(('Financial impact (cash)'!D$14)*'Inputs and eligible population'!$H$60/(365/'Inputs and eligible population'!$D$60))*'Capacity (local prices)'!$C233</f>
        <v>0</v>
      </c>
      <c r="F233" s="127">
        <f>(('Financial impact (cash)'!D$14)*'Inputs and eligible population'!$H$60/(365/'Inputs and eligible population'!$D$60))*'Capacity (local prices)'!$C233</f>
        <v>0</v>
      </c>
      <c r="G233" s="127">
        <f>(('Financial impact (cash)'!D$14)*'Inputs and eligible population'!$H$60/(365/'Inputs and eligible population'!$D$60))*'Capacity (local prices)'!$C233</f>
        <v>0</v>
      </c>
      <c r="H233" s="127">
        <f>(('Financial impact (cash)'!E$14)*'Inputs and eligible population'!$H$60/(365/'Inputs and eligible population'!$D$60))*'Capacity (local prices)'!$C233</f>
        <v>0</v>
      </c>
      <c r="I233" s="127">
        <f>(('Financial impact (cash)'!F$14)*'Inputs and eligible population'!$H$60/(365/'Inputs and eligible population'!$D$60))*'Capacity (local prices)'!$C233</f>
        <v>0</v>
      </c>
      <c r="J233" s="218"/>
      <c r="K233" s="528">
        <f>'Unit costs'!$N$67</f>
        <v>99</v>
      </c>
      <c r="L233" s="530">
        <f t="shared" si="67"/>
        <v>0</v>
      </c>
      <c r="M233" s="530">
        <f t="shared" si="65"/>
        <v>0</v>
      </c>
      <c r="N233" s="530">
        <f t="shared" si="65"/>
        <v>0</v>
      </c>
      <c r="O233" s="530">
        <f t="shared" si="65"/>
        <v>0</v>
      </c>
      <c r="P233" s="530">
        <f t="shared" si="65"/>
        <v>0</v>
      </c>
      <c r="Q233" s="530">
        <f t="shared" si="65"/>
        <v>0</v>
      </c>
      <c r="R233" s="132"/>
      <c r="S233" s="132"/>
      <c r="T233" s="132"/>
      <c r="U233" s="132"/>
      <c r="V233" s="132"/>
      <c r="W233" s="132"/>
      <c r="X233" s="132"/>
      <c r="Y233" s="132"/>
      <c r="Z233" s="132"/>
      <c r="AJ233" s="281"/>
      <c r="AK233" s="281"/>
      <c r="AL233" s="281"/>
      <c r="AM233" s="281"/>
      <c r="AN233" s="281"/>
    </row>
    <row r="234" spans="1:40">
      <c r="A234" s="284"/>
      <c r="B234" s="326" t="s">
        <v>1152</v>
      </c>
      <c r="C234" s="758">
        <f>'Inputs and eligible population'!F$109</f>
        <v>4</v>
      </c>
      <c r="D234" s="127">
        <f>(('Financial impact (cash)'!$D$14)*'Inputs and eligible population'!$I$60/(365/'Inputs and eligible population'!$D$60))*'Capacity (local prices)'!$C234</f>
        <v>0</v>
      </c>
      <c r="E234" s="127">
        <f>(('Financial impact (cash)'!D$14)*'Inputs and eligible population'!$I$60/(365/'Inputs and eligible population'!$D$60))*'Capacity (local prices)'!$C234</f>
        <v>0</v>
      </c>
      <c r="F234" s="127">
        <f>(('Financial impact (cash)'!D$14)*'Inputs and eligible population'!$I$60/(365/'Inputs and eligible population'!$D$60))*'Capacity (local prices)'!$C234</f>
        <v>0</v>
      </c>
      <c r="G234" s="127">
        <f>(('Financial impact (cash)'!D$14)*'Inputs and eligible population'!$I$60/(365/'Inputs and eligible population'!$D$60))*'Capacity (local prices)'!$C234</f>
        <v>0</v>
      </c>
      <c r="H234" s="127">
        <f>(('Financial impact (cash)'!D$14)*'Inputs and eligible population'!$I$60/(365/'Inputs and eligible population'!$D$60))*'Capacity (local prices)'!$C234</f>
        <v>0</v>
      </c>
      <c r="I234" s="127">
        <f>(('Financial impact (cash)'!E$14)*'Inputs and eligible population'!$I$60/(365/'Inputs and eligible population'!$D$60))*'Capacity (local prices)'!$C234</f>
        <v>0</v>
      </c>
      <c r="J234" s="218"/>
      <c r="K234" s="528">
        <f>'Unit costs'!$N$67</f>
        <v>99</v>
      </c>
      <c r="L234" s="530">
        <f t="shared" si="67"/>
        <v>0</v>
      </c>
      <c r="M234" s="530">
        <f t="shared" si="65"/>
        <v>0</v>
      </c>
      <c r="N234" s="530">
        <f t="shared" si="65"/>
        <v>0</v>
      </c>
      <c r="O234" s="530">
        <f t="shared" si="65"/>
        <v>0</v>
      </c>
      <c r="P234" s="530">
        <f t="shared" si="65"/>
        <v>0</v>
      </c>
      <c r="Q234" s="530">
        <f t="shared" si="65"/>
        <v>0</v>
      </c>
      <c r="R234" s="132"/>
      <c r="S234" s="132"/>
      <c r="T234" s="132"/>
      <c r="U234" s="132"/>
      <c r="V234" s="132"/>
      <c r="W234" s="132"/>
      <c r="X234" s="132"/>
      <c r="Y234" s="132"/>
      <c r="Z234" s="132"/>
      <c r="AJ234" s="281"/>
      <c r="AK234" s="281"/>
      <c r="AL234" s="281"/>
      <c r="AM234" s="281"/>
      <c r="AN234" s="281"/>
    </row>
    <row r="235" spans="1:40">
      <c r="A235" s="284"/>
      <c r="B235" s="326" t="s">
        <v>1153</v>
      </c>
      <c r="C235" s="758">
        <f>'Inputs and eligible population'!$G$109</f>
        <v>4</v>
      </c>
      <c r="D235" s="127">
        <f>('Financial impact (cash)'!$D$15*'Inputs and eligible population'!$E$61/(365/'Inputs and eligible population'!D$61))*$C235</f>
        <v>0</v>
      </c>
      <c r="E235" s="127">
        <f>(('Financial impact (cash)'!E$15)*'Inputs and eligible population'!$E$61/(365/'Inputs and eligible population'!$D$61))*'Capacity (local prices)'!$C235</f>
        <v>0</v>
      </c>
      <c r="F235" s="127">
        <f>(('Financial impact (cash)'!F$15)*'Inputs and eligible population'!$E$61/(365/'Inputs and eligible population'!$D$61))*'Capacity (local prices)'!$C235</f>
        <v>0</v>
      </c>
      <c r="G235" s="127">
        <f>(('Financial impact (cash)'!G$15)*'Inputs and eligible population'!$E$61/(365/'Inputs and eligible population'!$D$61))*'Capacity (local prices)'!$C235</f>
        <v>0</v>
      </c>
      <c r="H235" s="127">
        <f>(('Financial impact (cash)'!H$15)*'Inputs and eligible population'!$E$61/(365/'Inputs and eligible population'!$D$61))*'Capacity (local prices)'!$C235</f>
        <v>0</v>
      </c>
      <c r="I235" s="127">
        <f>(('Financial impact (cash)'!I$15)*'Inputs and eligible population'!$E$61/(365/'Inputs and eligible population'!$D$61))*'Capacity (local prices)'!$C235</f>
        <v>0</v>
      </c>
      <c r="J235" s="218"/>
      <c r="K235" s="528">
        <f>'Unit costs'!$N$67</f>
        <v>99</v>
      </c>
      <c r="L235" s="530">
        <f t="shared" si="67"/>
        <v>0</v>
      </c>
      <c r="M235" s="530">
        <f t="shared" si="65"/>
        <v>0</v>
      </c>
      <c r="N235" s="530">
        <f t="shared" si="65"/>
        <v>0</v>
      </c>
      <c r="O235" s="530">
        <f t="shared" si="65"/>
        <v>0</v>
      </c>
      <c r="P235" s="530">
        <f t="shared" si="65"/>
        <v>0</v>
      </c>
      <c r="Q235" s="530">
        <f t="shared" si="65"/>
        <v>0</v>
      </c>
      <c r="R235" s="132"/>
      <c r="S235" s="132"/>
      <c r="T235" s="132"/>
      <c r="U235" s="132"/>
      <c r="V235" s="132"/>
      <c r="W235" s="132"/>
      <c r="X235" s="132"/>
      <c r="Y235" s="132"/>
      <c r="Z235" s="132"/>
      <c r="AJ235" s="281"/>
      <c r="AK235" s="281"/>
      <c r="AL235" s="281"/>
      <c r="AM235" s="281"/>
      <c r="AN235" s="281"/>
    </row>
    <row r="236" spans="1:40">
      <c r="A236" s="284"/>
      <c r="B236" s="326" t="s">
        <v>1154</v>
      </c>
      <c r="C236" s="758">
        <f>'Inputs and eligible population'!$G$109</f>
        <v>4</v>
      </c>
      <c r="D236" s="127">
        <f>(('Financial impact (cash)'!D$15)*'Inputs and eligible population'!$F$61/(365/'Inputs and eligible population'!$D$61))*'Capacity (local prices)'!$C236</f>
        <v>0</v>
      </c>
      <c r="E236" s="127">
        <f>(('Financial impact (cash)'!D$15)*'Inputs and eligible population'!$F$61/(365/'Inputs and eligible population'!$D$61))*'Capacity (local prices)'!$C236</f>
        <v>0</v>
      </c>
      <c r="F236" s="127">
        <f>(('Financial impact (cash)'!E$15)*'Inputs and eligible population'!$F$61/(365/'Inputs and eligible population'!$D$61))*'Capacity (local prices)'!$C236</f>
        <v>0</v>
      </c>
      <c r="G236" s="127">
        <f>(('Financial impact (cash)'!F$15)*'Inputs and eligible population'!$F$61/(365/'Inputs and eligible population'!$D$61))*'Capacity (local prices)'!$C236</f>
        <v>0</v>
      </c>
      <c r="H236" s="127">
        <f>(('Financial impact (cash)'!G$15)*'Inputs and eligible population'!$F$61/(365/'Inputs and eligible population'!$D$61))*'Capacity (local prices)'!$C236</f>
        <v>0</v>
      </c>
      <c r="I236" s="127">
        <f>(('Financial impact (cash)'!H$15)*'Inputs and eligible population'!$F$61/(365/'Inputs and eligible population'!$D$61))*'Capacity (local prices)'!$C236</f>
        <v>0</v>
      </c>
      <c r="J236" s="218"/>
      <c r="K236" s="528">
        <f>'Unit costs'!$N$67</f>
        <v>99</v>
      </c>
      <c r="L236" s="530">
        <f t="shared" si="67"/>
        <v>0</v>
      </c>
      <c r="M236" s="530">
        <f t="shared" si="65"/>
        <v>0</v>
      </c>
      <c r="N236" s="530">
        <f t="shared" si="65"/>
        <v>0</v>
      </c>
      <c r="O236" s="530">
        <f t="shared" si="65"/>
        <v>0</v>
      </c>
      <c r="P236" s="530">
        <f t="shared" si="65"/>
        <v>0</v>
      </c>
      <c r="Q236" s="530">
        <f t="shared" si="65"/>
        <v>0</v>
      </c>
      <c r="R236" s="132"/>
      <c r="S236" s="132"/>
      <c r="T236" s="132"/>
      <c r="U236" s="132"/>
      <c r="V236" s="132"/>
      <c r="W236" s="132"/>
      <c r="X236" s="132"/>
      <c r="Y236" s="132"/>
      <c r="Z236" s="132"/>
      <c r="AJ236" s="281"/>
      <c r="AK236" s="281"/>
      <c r="AL236" s="281"/>
      <c r="AM236" s="281"/>
      <c r="AN236" s="281"/>
    </row>
    <row r="237" spans="1:40">
      <c r="A237" s="284"/>
      <c r="B237" s="326" t="s">
        <v>1155</v>
      </c>
      <c r="C237" s="758">
        <f>'Inputs and eligible population'!$G$109</f>
        <v>4</v>
      </c>
      <c r="D237" s="127">
        <f>(('Financial impact (cash)'!D$15)*'Inputs and eligible population'!$G$61/(365/'Inputs and eligible population'!$D$61))*'Capacity (local prices)'!$C237</f>
        <v>0</v>
      </c>
      <c r="E237" s="127">
        <f>(('Financial impact (cash)'!D$15)*'Inputs and eligible population'!$G$61/(365/'Inputs and eligible population'!$D$61))*'Capacity (local prices)'!$C237</f>
        <v>0</v>
      </c>
      <c r="F237" s="127">
        <f>(('Financial impact (cash)'!D$15)*'Inputs and eligible population'!$G$61/(365/'Inputs and eligible population'!$D$61))*'Capacity (local prices)'!$C237</f>
        <v>0</v>
      </c>
      <c r="G237" s="127">
        <f>(('Financial impact (cash)'!E$15)*'Inputs and eligible population'!$G$61/(365/'Inputs and eligible population'!$D$61))*'Capacity (local prices)'!$C237</f>
        <v>0</v>
      </c>
      <c r="H237" s="127">
        <f>(('Financial impact (cash)'!F$15)*'Inputs and eligible population'!$G$61/(365/'Inputs and eligible population'!$D$61))*'Capacity (local prices)'!$C237</f>
        <v>0</v>
      </c>
      <c r="I237" s="127">
        <f>(('Financial impact (cash)'!G$15)*'Inputs and eligible population'!$G$61/(365/'Inputs and eligible population'!$D$61))*'Capacity (local prices)'!$C237</f>
        <v>0</v>
      </c>
      <c r="J237" s="218"/>
      <c r="K237" s="528">
        <f>'Unit costs'!$N$67</f>
        <v>99</v>
      </c>
      <c r="L237" s="530">
        <f t="shared" si="67"/>
        <v>0</v>
      </c>
      <c r="M237" s="530">
        <f t="shared" si="65"/>
        <v>0</v>
      </c>
      <c r="N237" s="530">
        <f t="shared" si="65"/>
        <v>0</v>
      </c>
      <c r="O237" s="530">
        <f t="shared" si="65"/>
        <v>0</v>
      </c>
      <c r="P237" s="530">
        <f t="shared" si="65"/>
        <v>0</v>
      </c>
      <c r="Q237" s="530">
        <f t="shared" si="65"/>
        <v>0</v>
      </c>
      <c r="R237" s="132"/>
      <c r="S237" s="132"/>
      <c r="T237" s="132"/>
      <c r="U237" s="132"/>
      <c r="V237" s="132"/>
      <c r="W237" s="132"/>
      <c r="X237" s="132"/>
      <c r="Y237" s="132"/>
      <c r="Z237" s="132"/>
      <c r="AJ237" s="281"/>
      <c r="AK237" s="281"/>
      <c r="AL237" s="281"/>
      <c r="AM237" s="281"/>
      <c r="AN237" s="281"/>
    </row>
    <row r="238" spans="1:40">
      <c r="A238" s="284"/>
      <c r="B238" s="326" t="s">
        <v>1156</v>
      </c>
      <c r="C238" s="758">
        <f>'Inputs and eligible population'!$G$109</f>
        <v>4</v>
      </c>
      <c r="D238" s="127">
        <f>(('Financial impact (cash)'!D$15)*'Inputs and eligible population'!$H$61/(365/'Inputs and eligible population'!$D$61))*'Capacity (local prices)'!$C238</f>
        <v>0</v>
      </c>
      <c r="E238" s="127">
        <f>(('Financial impact (cash)'!D$15)*'Inputs and eligible population'!$H$61/(365/'Inputs and eligible population'!$D$61))*'Capacity (local prices)'!$C238</f>
        <v>0</v>
      </c>
      <c r="F238" s="127">
        <f>(('Financial impact (cash)'!D$15)*'Inputs and eligible population'!$H$61/(365/'Inputs and eligible population'!$D$61))*'Capacity (local prices)'!$C238</f>
        <v>0</v>
      </c>
      <c r="G238" s="127">
        <f>(('Financial impact (cash)'!D$15)*'Inputs and eligible population'!$H$61/(365/'Inputs and eligible population'!$D$61))*'Capacity (local prices)'!$C238</f>
        <v>0</v>
      </c>
      <c r="H238" s="127">
        <f>(('Financial impact (cash)'!E$15)*'Inputs and eligible population'!$H$61/(365/'Inputs and eligible population'!$D$61))*'Capacity (local prices)'!$C238</f>
        <v>0</v>
      </c>
      <c r="I238" s="127">
        <f>(('Financial impact (cash)'!F$15)*'Inputs and eligible population'!$H$61/(365/'Inputs and eligible population'!$D$61))*'Capacity (local prices)'!$C238</f>
        <v>0</v>
      </c>
      <c r="J238" s="218"/>
      <c r="K238" s="528">
        <f>'Unit costs'!$N$67</f>
        <v>99</v>
      </c>
      <c r="L238" s="530">
        <f t="shared" si="67"/>
        <v>0</v>
      </c>
      <c r="M238" s="530">
        <f t="shared" si="65"/>
        <v>0</v>
      </c>
      <c r="N238" s="530">
        <f t="shared" si="65"/>
        <v>0</v>
      </c>
      <c r="O238" s="530">
        <f t="shared" si="65"/>
        <v>0</v>
      </c>
      <c r="P238" s="530">
        <f t="shared" si="65"/>
        <v>0</v>
      </c>
      <c r="Q238" s="530">
        <f t="shared" si="65"/>
        <v>0</v>
      </c>
      <c r="R238" s="132"/>
      <c r="S238" s="132"/>
      <c r="T238" s="132"/>
      <c r="U238" s="132"/>
      <c r="V238" s="132"/>
      <c r="W238" s="132"/>
      <c r="X238" s="132"/>
      <c r="Y238" s="132"/>
      <c r="Z238" s="132"/>
      <c r="AJ238" s="281"/>
      <c r="AK238" s="281"/>
      <c r="AL238" s="281"/>
      <c r="AM238" s="281"/>
      <c r="AN238" s="281"/>
    </row>
    <row r="239" spans="1:40">
      <c r="A239" s="284"/>
      <c r="B239" s="326" t="s">
        <v>1157</v>
      </c>
      <c r="C239" s="758">
        <f>'Inputs and eligible population'!$G$109</f>
        <v>4</v>
      </c>
      <c r="D239" s="127">
        <f>(('Financial impact (cash)'!D$15)*'Inputs and eligible population'!$I$61/(365/'Inputs and eligible population'!$D$61))*'Capacity (local prices)'!$C239</f>
        <v>0</v>
      </c>
      <c r="E239" s="127">
        <f>(('Financial impact (cash)'!D$15)*'Inputs and eligible population'!$I$61/(365/'Inputs and eligible population'!$D$61))*'Capacity (local prices)'!$C239</f>
        <v>0</v>
      </c>
      <c r="F239" s="127">
        <f>(('Financial impact (cash)'!D$15)*'Inputs and eligible population'!$I$61/(365/'Inputs and eligible population'!$D$61))*'Capacity (local prices)'!$C239</f>
        <v>0</v>
      </c>
      <c r="G239" s="127">
        <f>(('Financial impact (cash)'!D$15)*'Inputs and eligible population'!$I$61/(365/'Inputs and eligible population'!$D$61))*'Capacity (local prices)'!$C239</f>
        <v>0</v>
      </c>
      <c r="H239" s="127">
        <f>(('Financial impact (cash)'!D$15)*'Inputs and eligible population'!$I$61/(365/'Inputs and eligible population'!$D$61))*'Capacity (local prices)'!$C239</f>
        <v>0</v>
      </c>
      <c r="I239" s="127">
        <f>(('Financial impact (cash)'!E$15)*'Inputs and eligible population'!$I$61/(365/'Inputs and eligible population'!$D$61))*'Capacity (local prices)'!$C239</f>
        <v>0</v>
      </c>
      <c r="J239" s="218"/>
      <c r="K239" s="528">
        <f>'Unit costs'!$N$67</f>
        <v>99</v>
      </c>
      <c r="L239" s="530">
        <f t="shared" si="67"/>
        <v>0</v>
      </c>
      <c r="M239" s="530">
        <f t="shared" si="65"/>
        <v>0</v>
      </c>
      <c r="N239" s="530">
        <f t="shared" si="65"/>
        <v>0</v>
      </c>
      <c r="O239" s="530">
        <f t="shared" si="65"/>
        <v>0</v>
      </c>
      <c r="P239" s="530">
        <f t="shared" si="65"/>
        <v>0</v>
      </c>
      <c r="Q239" s="530">
        <f t="shared" si="65"/>
        <v>0</v>
      </c>
      <c r="R239" s="132"/>
      <c r="S239" s="132"/>
      <c r="T239" s="132"/>
      <c r="U239" s="132"/>
      <c r="V239" s="132"/>
      <c r="W239" s="132"/>
      <c r="X239" s="132"/>
      <c r="Y239" s="132"/>
      <c r="Z239" s="132"/>
      <c r="AJ239" s="281"/>
      <c r="AK239" s="281"/>
      <c r="AL239" s="281"/>
      <c r="AM239" s="281"/>
      <c r="AN239" s="281"/>
    </row>
    <row r="240" spans="1:40">
      <c r="A240" s="284"/>
      <c r="B240" s="326" t="s">
        <v>1158</v>
      </c>
      <c r="C240" s="758">
        <f>'Inputs and eligible population'!$H$109</f>
        <v>4</v>
      </c>
      <c r="D240" s="127">
        <f>('Financial impact (cash)'!D$16*'Inputs and eligible population'!$E$62/(365/'Inputs and eligible population'!D$62))*$C240</f>
        <v>0</v>
      </c>
      <c r="E240" s="127">
        <f>(('Financial impact (cash)'!E$16)*'Inputs and eligible population'!$E$62/(365/'Inputs and eligible population'!$D$62))*'Capacity (local prices)'!$C240</f>
        <v>0</v>
      </c>
      <c r="F240" s="127">
        <f>(('Financial impact (cash)'!F$16)*'Inputs and eligible population'!$E$62/(365/'Inputs and eligible population'!$D$62))*'Capacity (local prices)'!$C240</f>
        <v>0</v>
      </c>
      <c r="G240" s="127">
        <f>(('Financial impact (cash)'!G$16)*'Inputs and eligible population'!$E$62/(365/'Inputs and eligible population'!$D$62))*'Capacity (local prices)'!$C240</f>
        <v>0</v>
      </c>
      <c r="H240" s="127">
        <f>(('Financial impact (cash)'!H$16)*'Inputs and eligible population'!$E$62/(365/'Inputs and eligible population'!$D$62))*'Capacity (local prices)'!$C240</f>
        <v>0</v>
      </c>
      <c r="I240" s="127">
        <f>(('Financial impact (cash)'!I$16)*'Inputs and eligible population'!$E$62/(365/'Inputs and eligible population'!$D$62))*'Capacity (local prices)'!$C240</f>
        <v>0</v>
      </c>
      <c r="J240" s="218"/>
      <c r="K240" s="528">
        <f>'Unit costs'!$N$67</f>
        <v>99</v>
      </c>
      <c r="L240" s="530">
        <f t="shared" si="67"/>
        <v>0</v>
      </c>
      <c r="M240" s="530">
        <f t="shared" si="65"/>
        <v>0</v>
      </c>
      <c r="N240" s="530">
        <f t="shared" si="65"/>
        <v>0</v>
      </c>
      <c r="O240" s="530">
        <f t="shared" si="65"/>
        <v>0</v>
      </c>
      <c r="P240" s="530">
        <f t="shared" si="65"/>
        <v>0</v>
      </c>
      <c r="Q240" s="530">
        <f t="shared" si="65"/>
        <v>0</v>
      </c>
      <c r="R240" s="132"/>
      <c r="S240" s="132"/>
      <c r="T240" s="132"/>
      <c r="U240" s="132"/>
      <c r="V240" s="132"/>
      <c r="W240" s="132"/>
      <c r="X240" s="132"/>
      <c r="Y240" s="132"/>
      <c r="Z240" s="132"/>
      <c r="AJ240" s="281"/>
      <c r="AK240" s="281"/>
      <c r="AL240" s="281"/>
      <c r="AM240" s="281"/>
      <c r="AN240" s="281"/>
    </row>
    <row r="241" spans="1:40">
      <c r="A241" s="284"/>
      <c r="B241" s="326" t="s">
        <v>1159</v>
      </c>
      <c r="C241" s="758">
        <f>'Inputs and eligible population'!$H$109</f>
        <v>4</v>
      </c>
      <c r="D241" s="127">
        <f>(('Financial impact (cash)'!D$16)*'Inputs and eligible population'!$F$62/(365/'Inputs and eligible population'!$D$62))*'Capacity (local prices)'!$C241</f>
        <v>0</v>
      </c>
      <c r="E241" s="127">
        <f>(('Financial impact (cash)'!D$16)*'Inputs and eligible population'!$F$62/(365/'Inputs and eligible population'!$D$62))*'Capacity (local prices)'!$C241</f>
        <v>0</v>
      </c>
      <c r="F241" s="127">
        <f>(('Financial impact (cash)'!E$16)*'Inputs and eligible population'!$F$62/(365/'Inputs and eligible population'!$D$62))*'Capacity (local prices)'!$C241</f>
        <v>0</v>
      </c>
      <c r="G241" s="127">
        <f>(('Financial impact (cash)'!F$16)*'Inputs and eligible population'!$F$62/(365/'Inputs and eligible population'!$D$62))*'Capacity (local prices)'!$C241</f>
        <v>0</v>
      </c>
      <c r="H241" s="127">
        <f>(('Financial impact (cash)'!G$16)*'Inputs and eligible population'!$F$62/(365/'Inputs and eligible population'!$D$62))*'Capacity (local prices)'!$C241</f>
        <v>0</v>
      </c>
      <c r="I241" s="127">
        <f>(('Financial impact (cash)'!H$16)*'Inputs and eligible population'!$F$62/(365/'Inputs and eligible population'!$D$62))*'Capacity (local prices)'!$C241</f>
        <v>0</v>
      </c>
      <c r="J241" s="218"/>
      <c r="K241" s="528">
        <f>'Unit costs'!$N$67</f>
        <v>99</v>
      </c>
      <c r="L241" s="530">
        <f t="shared" si="67"/>
        <v>0</v>
      </c>
      <c r="M241" s="530">
        <f t="shared" si="65"/>
        <v>0</v>
      </c>
      <c r="N241" s="530">
        <f t="shared" si="65"/>
        <v>0</v>
      </c>
      <c r="O241" s="530">
        <f t="shared" si="65"/>
        <v>0</v>
      </c>
      <c r="P241" s="530">
        <f t="shared" si="65"/>
        <v>0</v>
      </c>
      <c r="Q241" s="530">
        <f t="shared" si="65"/>
        <v>0</v>
      </c>
      <c r="R241" s="132"/>
      <c r="S241" s="132"/>
      <c r="T241" s="132"/>
      <c r="U241" s="132"/>
      <c r="V241" s="132"/>
      <c r="W241" s="132"/>
      <c r="X241" s="132"/>
      <c r="Y241" s="132"/>
      <c r="Z241" s="132"/>
      <c r="AJ241" s="281"/>
      <c r="AK241" s="281"/>
      <c r="AL241" s="281"/>
      <c r="AM241" s="281"/>
      <c r="AN241" s="281"/>
    </row>
    <row r="242" spans="1:40">
      <c r="A242" s="284"/>
      <c r="B242" s="326" t="s">
        <v>1160</v>
      </c>
      <c r="C242" s="758">
        <f>'Inputs and eligible population'!$H$109</f>
        <v>4</v>
      </c>
      <c r="D242" s="127">
        <f>(('Financial impact (cash)'!D$16)*'Inputs and eligible population'!$G$62/(365/'Inputs and eligible population'!$D$62))*'Capacity (local prices)'!$C242</f>
        <v>0</v>
      </c>
      <c r="E242" s="127">
        <f>(('Financial impact (cash)'!D$16)*'Inputs and eligible population'!$G$62/(365/'Inputs and eligible population'!$D$62))*'Capacity (local prices)'!$C242</f>
        <v>0</v>
      </c>
      <c r="F242" s="127">
        <f>(('Financial impact (cash)'!D$16)*'Inputs and eligible population'!$G$62/(365/'Inputs and eligible population'!$D$62))*'Capacity (local prices)'!$C242</f>
        <v>0</v>
      </c>
      <c r="G242" s="127">
        <f>(('Financial impact (cash)'!E$16)*'Inputs and eligible population'!$G$62/(365/'Inputs and eligible population'!$D$62))*'Capacity (local prices)'!$C242</f>
        <v>0</v>
      </c>
      <c r="H242" s="127">
        <f>(('Financial impact (cash)'!F$16)*'Inputs and eligible population'!$G$62/(365/'Inputs and eligible population'!$D$62))*'Capacity (local prices)'!$C242</f>
        <v>0</v>
      </c>
      <c r="I242" s="127">
        <f>(('Financial impact (cash)'!G$16)*'Inputs and eligible population'!$G$62/(365/'Inputs and eligible population'!$D$62))*'Capacity (local prices)'!$C242</f>
        <v>0</v>
      </c>
      <c r="J242" s="218"/>
      <c r="K242" s="528">
        <f>'Unit costs'!$N$67</f>
        <v>99</v>
      </c>
      <c r="L242" s="530">
        <f t="shared" si="67"/>
        <v>0</v>
      </c>
      <c r="M242" s="530">
        <f t="shared" si="65"/>
        <v>0</v>
      </c>
      <c r="N242" s="530">
        <f t="shared" si="65"/>
        <v>0</v>
      </c>
      <c r="O242" s="530">
        <f t="shared" si="65"/>
        <v>0</v>
      </c>
      <c r="P242" s="530">
        <f t="shared" si="65"/>
        <v>0</v>
      </c>
      <c r="Q242" s="530">
        <f t="shared" si="65"/>
        <v>0</v>
      </c>
      <c r="R242" s="132"/>
      <c r="S242" s="132"/>
      <c r="T242" s="132"/>
      <c r="U242" s="132"/>
      <c r="V242" s="132"/>
      <c r="W242" s="132"/>
      <c r="X242" s="132"/>
      <c r="Y242" s="132"/>
      <c r="Z242" s="132"/>
      <c r="AJ242" s="281"/>
      <c r="AK242" s="281"/>
      <c r="AL242" s="281"/>
      <c r="AM242" s="281"/>
      <c r="AN242" s="281"/>
    </row>
    <row r="243" spans="1:40">
      <c r="A243" s="284"/>
      <c r="B243" s="326" t="s">
        <v>1161</v>
      </c>
      <c r="C243" s="758">
        <f>'Inputs and eligible population'!$H$109</f>
        <v>4</v>
      </c>
      <c r="D243" s="127">
        <f>(('Financial impact (cash)'!D$16)*'Inputs and eligible population'!$H$62/(365/'Inputs and eligible population'!$D$62))*'Capacity (local prices)'!$C243</f>
        <v>0</v>
      </c>
      <c r="E243" s="127">
        <f>(('Financial impact (cash)'!D$16)*'Inputs and eligible population'!$H$62/(365/'Inputs and eligible population'!$D$62))*'Capacity (local prices)'!$C243</f>
        <v>0</v>
      </c>
      <c r="F243" s="127">
        <f>(('Financial impact (cash)'!D$16)*'Inputs and eligible population'!$H$62/(365/'Inputs and eligible population'!$D$62))*'Capacity (local prices)'!$C243</f>
        <v>0</v>
      </c>
      <c r="G243" s="127">
        <f>(('Financial impact (cash)'!D$16)*'Inputs and eligible population'!$H$62/(365/'Inputs and eligible population'!$D$62))*'Capacity (local prices)'!$C243</f>
        <v>0</v>
      </c>
      <c r="H243" s="127">
        <f>(('Financial impact (cash)'!E$16)*'Inputs and eligible population'!$H$62/(365/'Inputs and eligible population'!$D$62))*'Capacity (local prices)'!$C243</f>
        <v>0</v>
      </c>
      <c r="I243" s="127">
        <f>(('Financial impact (cash)'!F$16)*'Inputs and eligible population'!$H$62/(365/'Inputs and eligible population'!$D$62))*'Capacity (local prices)'!$C243</f>
        <v>0</v>
      </c>
      <c r="J243" s="218"/>
      <c r="K243" s="528">
        <f>'Unit costs'!$N$67</f>
        <v>99</v>
      </c>
      <c r="L243" s="530">
        <f t="shared" si="67"/>
        <v>0</v>
      </c>
      <c r="M243" s="530">
        <f t="shared" si="65"/>
        <v>0</v>
      </c>
      <c r="N243" s="530">
        <f t="shared" si="65"/>
        <v>0</v>
      </c>
      <c r="O243" s="530">
        <f t="shared" si="65"/>
        <v>0</v>
      </c>
      <c r="P243" s="530">
        <f t="shared" si="65"/>
        <v>0</v>
      </c>
      <c r="Q243" s="530">
        <f t="shared" si="65"/>
        <v>0</v>
      </c>
      <c r="R243" s="132"/>
      <c r="S243" s="132"/>
      <c r="T243" s="132"/>
      <c r="U243" s="132"/>
      <c r="V243" s="132"/>
      <c r="W243" s="132"/>
      <c r="X243" s="132"/>
      <c r="Y243" s="132"/>
      <c r="Z243" s="132"/>
      <c r="AJ243" s="281"/>
      <c r="AK243" s="281"/>
      <c r="AL243" s="281"/>
      <c r="AM243" s="281"/>
      <c r="AN243" s="281"/>
    </row>
    <row r="244" spans="1:40">
      <c r="A244" s="284"/>
      <c r="B244" s="326" t="s">
        <v>1162</v>
      </c>
      <c r="C244" s="758">
        <f>'Inputs and eligible population'!$H$109</f>
        <v>4</v>
      </c>
      <c r="D244" s="127">
        <f>(('Financial impact (cash)'!D$16)*'Inputs and eligible population'!$I$62/(365/'Inputs and eligible population'!$D$62))*'Capacity (local prices)'!$C244</f>
        <v>0</v>
      </c>
      <c r="E244" s="127">
        <f>(('Financial impact (cash)'!D$16)*'Inputs and eligible population'!$I$62/(365/'Inputs and eligible population'!$D$62))*'Capacity (local prices)'!$C244</f>
        <v>0</v>
      </c>
      <c r="F244" s="127">
        <f>(('Financial impact (cash)'!D$16)*'Inputs and eligible population'!$I$62/(365/'Inputs and eligible population'!$D$62))*'Capacity (local prices)'!$C244</f>
        <v>0</v>
      </c>
      <c r="G244" s="127">
        <f>(('Financial impact (cash)'!D$16)*'Inputs and eligible population'!$I$62/(365/'Inputs and eligible population'!$D$62))*'Capacity (local prices)'!$C244</f>
        <v>0</v>
      </c>
      <c r="H244" s="127">
        <f>(('Financial impact (cash)'!D$16)*'Inputs and eligible population'!$I$62/(365/'Inputs and eligible population'!$D$62))*'Capacity (local prices)'!$C244</f>
        <v>0</v>
      </c>
      <c r="I244" s="127">
        <f>(('Financial impact (cash)'!E$16)*'Inputs and eligible population'!$I$62/(365/'Inputs and eligible population'!$D$62))*'Capacity (local prices)'!$C244</f>
        <v>0</v>
      </c>
      <c r="J244" s="218"/>
      <c r="K244" s="528">
        <f>'Unit costs'!$N$67</f>
        <v>99</v>
      </c>
      <c r="L244" s="530">
        <f t="shared" si="67"/>
        <v>0</v>
      </c>
      <c r="M244" s="530">
        <f t="shared" si="65"/>
        <v>0</v>
      </c>
      <c r="N244" s="530">
        <f t="shared" si="65"/>
        <v>0</v>
      </c>
      <c r="O244" s="530">
        <f t="shared" si="65"/>
        <v>0</v>
      </c>
      <c r="P244" s="530">
        <f t="shared" si="65"/>
        <v>0</v>
      </c>
      <c r="Q244" s="530">
        <f t="shared" si="65"/>
        <v>0</v>
      </c>
      <c r="R244" s="132"/>
      <c r="S244" s="132"/>
      <c r="T244" s="132"/>
      <c r="U244" s="132"/>
      <c r="V244" s="132"/>
      <c r="W244" s="132"/>
      <c r="X244" s="132"/>
      <c r="Y244" s="132"/>
      <c r="Z244" s="132"/>
      <c r="AJ244" s="281"/>
      <c r="AK244" s="281"/>
      <c r="AL244" s="281"/>
      <c r="AM244" s="281"/>
      <c r="AN244" s="281"/>
    </row>
    <row r="245" spans="1:40">
      <c r="A245" s="284"/>
      <c r="B245" s="326" t="s">
        <v>1163</v>
      </c>
      <c r="C245" s="758">
        <f>'Inputs and eligible population'!$I$109</f>
        <v>4</v>
      </c>
      <c r="D245" s="127">
        <f>('Financial impact (cash)'!D$17*'Inputs and eligible population'!$E$63/(365/'Inputs and eligible population'!D$63))*$C245</f>
        <v>0</v>
      </c>
      <c r="E245" s="127">
        <f>(('Financial impact (cash)'!E$17)*'Inputs and eligible population'!$E$63/(365/'Inputs and eligible population'!$D$63))*'Capacity (local prices)'!$C245</f>
        <v>0</v>
      </c>
      <c r="F245" s="127">
        <f>(('Financial impact (cash)'!F$17)*'Inputs and eligible population'!$E$63/(365/'Inputs and eligible population'!$D$63))*'Capacity (local prices)'!$C245</f>
        <v>0</v>
      </c>
      <c r="G245" s="127">
        <f>(('Financial impact (cash)'!G$17)*'Inputs and eligible population'!$E$63/(365/'Inputs and eligible population'!$D$63))*'Capacity (local prices)'!$C245</f>
        <v>0</v>
      </c>
      <c r="H245" s="127">
        <f>(('Financial impact (cash)'!H$17)*'Inputs and eligible population'!$E$63/(365/'Inputs and eligible population'!$D$63))*'Capacity (local prices)'!$C245</f>
        <v>0</v>
      </c>
      <c r="I245" s="127">
        <f>(('Financial impact (cash)'!I$17)*'Inputs and eligible population'!$E$63/(365/'Inputs and eligible population'!$D$63))*'Capacity (local prices)'!$C245</f>
        <v>0</v>
      </c>
      <c r="J245" s="218"/>
      <c r="K245" s="528">
        <f>'Unit costs'!$N$67</f>
        <v>99</v>
      </c>
      <c r="L245" s="530">
        <f t="shared" si="67"/>
        <v>0</v>
      </c>
      <c r="M245" s="530">
        <f t="shared" si="65"/>
        <v>0</v>
      </c>
      <c r="N245" s="530">
        <f t="shared" si="65"/>
        <v>0</v>
      </c>
      <c r="O245" s="530">
        <f t="shared" si="65"/>
        <v>0</v>
      </c>
      <c r="P245" s="530">
        <f t="shared" si="65"/>
        <v>0</v>
      </c>
      <c r="Q245" s="530">
        <f t="shared" si="65"/>
        <v>0</v>
      </c>
      <c r="R245" s="132"/>
      <c r="S245" s="132"/>
      <c r="T245" s="132"/>
      <c r="U245" s="132"/>
      <c r="V245" s="132"/>
      <c r="W245" s="132"/>
      <c r="X245" s="132"/>
      <c r="Y245" s="132"/>
      <c r="Z245" s="132"/>
      <c r="AJ245" s="281"/>
      <c r="AK245" s="281"/>
      <c r="AL245" s="281"/>
      <c r="AM245" s="281"/>
      <c r="AN245" s="281"/>
    </row>
    <row r="246" spans="1:40">
      <c r="A246" s="284"/>
      <c r="B246" s="326" t="s">
        <v>1164</v>
      </c>
      <c r="C246" s="758">
        <f>'Inputs and eligible population'!$I$109</f>
        <v>4</v>
      </c>
      <c r="D246" s="127">
        <f>(('Financial impact (cash)'!D$17)*'Inputs and eligible population'!$F$63/(365/'Inputs and eligible population'!$D$63))*'Capacity (local prices)'!$C246</f>
        <v>0</v>
      </c>
      <c r="E246" s="127">
        <f>(('Financial impact (cash)'!D$17)*'Inputs and eligible population'!$F$63/(365/'Inputs and eligible population'!$D$63))*'Capacity (local prices)'!$C246</f>
        <v>0</v>
      </c>
      <c r="F246" s="127">
        <f>(('Financial impact (cash)'!E$17)*'Inputs and eligible population'!$F$63/(365/'Inputs and eligible population'!$D$63))*'Capacity (local prices)'!$C246</f>
        <v>0</v>
      </c>
      <c r="G246" s="127">
        <f>(('Financial impact (cash)'!F$17)*'Inputs and eligible population'!$F$63/(365/'Inputs and eligible population'!$D$63))*'Capacity (local prices)'!$C246</f>
        <v>0</v>
      </c>
      <c r="H246" s="127">
        <f>(('Financial impact (cash)'!G$17)*'Inputs and eligible population'!$F$63/(365/'Inputs and eligible population'!$D$63))*'Capacity (local prices)'!$C246</f>
        <v>0</v>
      </c>
      <c r="I246" s="127">
        <f>(('Financial impact (cash)'!H$17)*'Inputs and eligible population'!$F$63/(365/'Inputs and eligible population'!$D$63))*'Capacity (local prices)'!$C246</f>
        <v>0</v>
      </c>
      <c r="J246" s="218"/>
      <c r="K246" s="528">
        <f>'Unit costs'!$N$67</f>
        <v>99</v>
      </c>
      <c r="L246" s="530">
        <f t="shared" si="67"/>
        <v>0</v>
      </c>
      <c r="M246" s="530">
        <f t="shared" si="65"/>
        <v>0</v>
      </c>
      <c r="N246" s="530">
        <f t="shared" si="65"/>
        <v>0</v>
      </c>
      <c r="O246" s="530">
        <f t="shared" si="65"/>
        <v>0</v>
      </c>
      <c r="P246" s="530">
        <f t="shared" si="65"/>
        <v>0</v>
      </c>
      <c r="Q246" s="530">
        <f t="shared" si="65"/>
        <v>0</v>
      </c>
      <c r="R246" s="132"/>
      <c r="S246" s="132"/>
      <c r="T246" s="132"/>
      <c r="U246" s="132"/>
      <c r="V246" s="132"/>
      <c r="W246" s="132"/>
      <c r="X246" s="132"/>
      <c r="Y246" s="132"/>
      <c r="Z246" s="132"/>
      <c r="AJ246" s="281"/>
      <c r="AK246" s="281"/>
      <c r="AL246" s="281"/>
      <c r="AM246" s="281"/>
      <c r="AN246" s="281"/>
    </row>
    <row r="247" spans="1:40">
      <c r="A247" s="284"/>
      <c r="B247" s="326" t="s">
        <v>1165</v>
      </c>
      <c r="C247" s="758">
        <f>'Inputs and eligible population'!$I$109</f>
        <v>4</v>
      </c>
      <c r="D247" s="127">
        <f>(('Financial impact (cash)'!D$17)*'Inputs and eligible population'!$G$63/(365/'Inputs and eligible population'!$D$63))*'Capacity (local prices)'!$C247</f>
        <v>0</v>
      </c>
      <c r="E247" s="127">
        <f>(('Financial impact (cash)'!D$17)*'Inputs and eligible population'!$G$63/(365/'Inputs and eligible population'!$D$63))*'Capacity (local prices)'!$C247</f>
        <v>0</v>
      </c>
      <c r="F247" s="127">
        <f>(('Financial impact (cash)'!D$17)*'Inputs and eligible population'!$G$63/(365/'Inputs and eligible population'!$D$63))*'Capacity (local prices)'!$C247</f>
        <v>0</v>
      </c>
      <c r="G247" s="127">
        <f>(('Financial impact (cash)'!E$17)*'Inputs and eligible population'!$G$63/(365/'Inputs and eligible population'!$D$63))*'Capacity (local prices)'!$C247</f>
        <v>0</v>
      </c>
      <c r="H247" s="127">
        <f>(('Financial impact (cash)'!F$17)*'Inputs and eligible population'!$G$63/(365/'Inputs and eligible population'!$D$63))*'Capacity (local prices)'!$C247</f>
        <v>0</v>
      </c>
      <c r="I247" s="127">
        <f>(('Financial impact (cash)'!G$17)*'Inputs and eligible population'!$G$63/(365/'Inputs and eligible population'!$D$63))*'Capacity (local prices)'!$C247</f>
        <v>0</v>
      </c>
      <c r="J247" s="218"/>
      <c r="K247" s="528">
        <f>'Unit costs'!$N$67</f>
        <v>99</v>
      </c>
      <c r="L247" s="530">
        <f t="shared" si="67"/>
        <v>0</v>
      </c>
      <c r="M247" s="530">
        <f t="shared" si="65"/>
        <v>0</v>
      </c>
      <c r="N247" s="530">
        <f t="shared" si="65"/>
        <v>0</v>
      </c>
      <c r="O247" s="530">
        <f t="shared" si="65"/>
        <v>0</v>
      </c>
      <c r="P247" s="530">
        <f t="shared" si="65"/>
        <v>0</v>
      </c>
      <c r="Q247" s="530">
        <f t="shared" si="65"/>
        <v>0</v>
      </c>
      <c r="R247" s="132"/>
      <c r="S247" s="132"/>
      <c r="T247" s="132"/>
      <c r="U247" s="132"/>
      <c r="V247" s="132"/>
      <c r="W247" s="132"/>
      <c r="X247" s="132"/>
      <c r="Y247" s="132"/>
      <c r="Z247" s="132"/>
      <c r="AJ247" s="281"/>
      <c r="AK247" s="281"/>
      <c r="AL247" s="281"/>
      <c r="AM247" s="281"/>
      <c r="AN247" s="281"/>
    </row>
    <row r="248" spans="1:40">
      <c r="A248" s="284"/>
      <c r="B248" s="326" t="s">
        <v>1166</v>
      </c>
      <c r="C248" s="758">
        <f>'Inputs and eligible population'!$I$109</f>
        <v>4</v>
      </c>
      <c r="D248" s="127">
        <f>(('Financial impact (cash)'!D$17)*'Inputs and eligible population'!$H$63/(365/'Inputs and eligible population'!$D$63))*'Capacity (local prices)'!$C248</f>
        <v>0</v>
      </c>
      <c r="E248" s="127">
        <f>(('Financial impact (cash)'!D$17)*'Inputs and eligible population'!$H$63/(365/'Inputs and eligible population'!$D$63))*'Capacity (local prices)'!$C248</f>
        <v>0</v>
      </c>
      <c r="F248" s="127">
        <f>(('Financial impact (cash)'!D$17)*'Inputs and eligible population'!$H$63/(365/'Inputs and eligible population'!$D$63))*'Capacity (local prices)'!$C248</f>
        <v>0</v>
      </c>
      <c r="G248" s="127">
        <f>(('Financial impact (cash)'!D$17)*'Inputs and eligible population'!$H$63/(365/'Inputs and eligible population'!$D$63))*'Capacity (local prices)'!$C248</f>
        <v>0</v>
      </c>
      <c r="H248" s="127">
        <f>(('Financial impact (cash)'!E$17)*'Inputs and eligible population'!$H$63/(365/'Inputs and eligible population'!$D$63))*'Capacity (local prices)'!$C248</f>
        <v>0</v>
      </c>
      <c r="I248" s="127">
        <f>(('Financial impact (cash)'!F$17)*'Inputs and eligible population'!$H$63/(365/'Inputs and eligible population'!$D$63))*'Capacity (local prices)'!$C248</f>
        <v>0</v>
      </c>
      <c r="J248" s="218"/>
      <c r="K248" s="528">
        <f>'Unit costs'!$N$67</f>
        <v>99</v>
      </c>
      <c r="L248" s="530">
        <f t="shared" si="67"/>
        <v>0</v>
      </c>
      <c r="M248" s="530">
        <f t="shared" si="65"/>
        <v>0</v>
      </c>
      <c r="N248" s="530">
        <f t="shared" si="65"/>
        <v>0</v>
      </c>
      <c r="O248" s="530">
        <f t="shared" si="65"/>
        <v>0</v>
      </c>
      <c r="P248" s="530">
        <f t="shared" si="65"/>
        <v>0</v>
      </c>
      <c r="Q248" s="530">
        <f t="shared" si="65"/>
        <v>0</v>
      </c>
      <c r="R248" s="132"/>
      <c r="S248" s="132"/>
      <c r="T248" s="132"/>
      <c r="U248" s="132"/>
      <c r="V248" s="132"/>
      <c r="W248" s="132"/>
      <c r="X248" s="132"/>
      <c r="Y248" s="132"/>
      <c r="Z248" s="132"/>
      <c r="AJ248" s="281"/>
      <c r="AK248" s="281"/>
      <c r="AL248" s="281"/>
      <c r="AM248" s="281"/>
      <c r="AN248" s="281"/>
    </row>
    <row r="249" spans="1:40">
      <c r="A249" s="284"/>
      <c r="B249" s="326" t="s">
        <v>1167</v>
      </c>
      <c r="C249" s="758">
        <f>'Inputs and eligible population'!$I$109</f>
        <v>4</v>
      </c>
      <c r="D249" s="127">
        <f>(('Financial impact (cash)'!D$17)*'Inputs and eligible population'!$I$63/(365/'Inputs and eligible population'!$D$63))*'Capacity (local prices)'!$C249</f>
        <v>0</v>
      </c>
      <c r="E249" s="127">
        <f>(('Financial impact (cash)'!D$17)*'Inputs and eligible population'!$I$63/(365/'Inputs and eligible population'!$D$63))*'Capacity (local prices)'!$C249</f>
        <v>0</v>
      </c>
      <c r="F249" s="127">
        <f>(('Financial impact (cash)'!D$17)*'Inputs and eligible population'!$I$63/(365/'Inputs and eligible population'!$D$63))*'Capacity (local prices)'!$C249</f>
        <v>0</v>
      </c>
      <c r="G249" s="127">
        <f>(('Financial impact (cash)'!D$17)*'Inputs and eligible population'!$I$63/(365/'Inputs and eligible population'!$D$63))*'Capacity (local prices)'!$C249</f>
        <v>0</v>
      </c>
      <c r="H249" s="127">
        <f>(('Financial impact (cash)'!D$17)*'Inputs and eligible population'!$I$63/(365/'Inputs and eligible population'!$D$63))*'Capacity (local prices)'!$C249</f>
        <v>0</v>
      </c>
      <c r="I249" s="127">
        <f>(('Financial impact (cash)'!E$17)*'Inputs and eligible population'!$I$63/(365/'Inputs and eligible population'!$D$63))*'Capacity (local prices)'!$C249</f>
        <v>0</v>
      </c>
      <c r="J249" s="218"/>
      <c r="K249" s="528">
        <f>'Unit costs'!$N$67</f>
        <v>99</v>
      </c>
      <c r="L249" s="530">
        <f t="shared" si="67"/>
        <v>0</v>
      </c>
      <c r="M249" s="530">
        <f t="shared" si="65"/>
        <v>0</v>
      </c>
      <c r="N249" s="530">
        <f t="shared" si="65"/>
        <v>0</v>
      </c>
      <c r="O249" s="530">
        <f t="shared" si="65"/>
        <v>0</v>
      </c>
      <c r="P249" s="530">
        <f t="shared" si="65"/>
        <v>0</v>
      </c>
      <c r="Q249" s="530">
        <f t="shared" si="65"/>
        <v>0</v>
      </c>
      <c r="R249" s="132"/>
      <c r="S249" s="132"/>
      <c r="T249" s="132"/>
      <c r="U249" s="132"/>
      <c r="V249" s="132"/>
      <c r="W249" s="132"/>
      <c r="X249" s="132"/>
      <c r="Y249" s="132"/>
      <c r="Z249" s="132"/>
      <c r="AJ249" s="281"/>
      <c r="AK249" s="281"/>
      <c r="AL249" s="281"/>
      <c r="AM249" s="281"/>
      <c r="AN249" s="281"/>
    </row>
    <row r="250" spans="1:40">
      <c r="A250" s="837"/>
      <c r="B250" s="205"/>
      <c r="C250" s="184"/>
      <c r="D250" s="184">
        <f>SUM(D225:D249)</f>
        <v>0</v>
      </c>
      <c r="E250" s="184">
        <f t="shared" ref="E250:I250" si="68">SUM(E225:E249)</f>
        <v>0</v>
      </c>
      <c r="F250" s="184">
        <f t="shared" si="68"/>
        <v>0</v>
      </c>
      <c r="G250" s="184">
        <f t="shared" si="68"/>
        <v>0</v>
      </c>
      <c r="H250" s="184">
        <f t="shared" si="68"/>
        <v>0</v>
      </c>
      <c r="I250" s="184">
        <f t="shared" si="68"/>
        <v>0</v>
      </c>
      <c r="J250" s="284"/>
      <c r="K250" s="284"/>
      <c r="L250" s="838">
        <f t="shared" ref="L250:Q250" si="69">SUM(L225:L249)</f>
        <v>0</v>
      </c>
      <c r="M250" s="838">
        <f t="shared" si="69"/>
        <v>0</v>
      </c>
      <c r="N250" s="838">
        <f t="shared" si="69"/>
        <v>0</v>
      </c>
      <c r="O250" s="838">
        <f t="shared" si="69"/>
        <v>0</v>
      </c>
      <c r="P250" s="838">
        <f t="shared" si="69"/>
        <v>0</v>
      </c>
      <c r="Q250" s="838">
        <f t="shared" si="69"/>
        <v>0</v>
      </c>
      <c r="R250" s="132"/>
      <c r="S250" s="132"/>
      <c r="T250" s="132"/>
      <c r="U250" s="132"/>
      <c r="V250" s="132"/>
      <c r="W250" s="132"/>
      <c r="X250" s="132"/>
      <c r="Y250" s="132"/>
      <c r="Z250" s="132"/>
      <c r="AJ250" s="281"/>
      <c r="AK250" s="281"/>
      <c r="AL250" s="281"/>
      <c r="AM250" s="281"/>
      <c r="AN250" s="281"/>
    </row>
    <row r="251" spans="1:40">
      <c r="A251" s="284"/>
      <c r="B251" s="289"/>
      <c r="C251" s="252"/>
      <c r="D251" s="280" t="s">
        <v>817</v>
      </c>
      <c r="E251" s="184">
        <f>E250-$D$250</f>
        <v>0</v>
      </c>
      <c r="F251" s="184">
        <f t="shared" ref="F251:I251" si="70">F250-$D$250</f>
        <v>0</v>
      </c>
      <c r="G251" s="184">
        <f t="shared" si="70"/>
        <v>0</v>
      </c>
      <c r="H251" s="184">
        <f t="shared" si="70"/>
        <v>0</v>
      </c>
      <c r="I251" s="184">
        <f t="shared" si="70"/>
        <v>0</v>
      </c>
      <c r="J251" s="284"/>
      <c r="K251" s="284"/>
      <c r="L251" s="506"/>
      <c r="M251" s="287">
        <f>M250-$L$250</f>
        <v>0</v>
      </c>
      <c r="N251" s="287">
        <f>N250-$L$250</f>
        <v>0</v>
      </c>
      <c r="O251" s="287">
        <f>O250-$L$250</f>
        <v>0</v>
      </c>
      <c r="P251" s="287">
        <f>P250-$L$250</f>
        <v>0</v>
      </c>
      <c r="Q251" s="287">
        <f>Q250-$L$250</f>
        <v>0</v>
      </c>
      <c r="V251" s="132"/>
    </row>
    <row r="252" spans="1:40">
      <c r="A252" s="284"/>
      <c r="B252" s="304"/>
      <c r="C252" s="218"/>
      <c r="D252" s="218"/>
      <c r="E252" s="218"/>
      <c r="F252" s="218"/>
      <c r="G252" s="218"/>
      <c r="H252" s="218"/>
      <c r="I252" s="218"/>
      <c r="J252" s="218"/>
      <c r="K252" s="218"/>
      <c r="L252" s="218"/>
      <c r="M252" s="218"/>
      <c r="N252" s="218"/>
      <c r="O252" s="218"/>
      <c r="P252" s="218"/>
      <c r="Q252" s="218"/>
      <c r="V252" s="132"/>
    </row>
    <row r="253" spans="1:40">
      <c r="A253" s="284"/>
      <c r="B253" s="372" t="s">
        <v>1076</v>
      </c>
      <c r="C253" s="373"/>
      <c r="D253" s="373"/>
      <c r="E253" s="373"/>
      <c r="F253" s="373"/>
      <c r="G253" s="373"/>
      <c r="H253" s="373"/>
      <c r="I253" s="217"/>
      <c r="J253" s="218"/>
      <c r="K253" s="218"/>
      <c r="L253" s="218"/>
      <c r="M253" s="218"/>
      <c r="N253" s="218"/>
      <c r="O253" s="218"/>
      <c r="P253" s="218"/>
      <c r="Q253" s="218"/>
      <c r="R253" s="132"/>
      <c r="S253" s="132"/>
      <c r="T253" s="132"/>
      <c r="U253" s="132"/>
      <c r="V253" s="132"/>
      <c r="W253" s="132"/>
      <c r="X253" s="132"/>
      <c r="Y253" s="132"/>
      <c r="Z253" s="132"/>
      <c r="AJ253" s="281"/>
      <c r="AK253" s="281"/>
      <c r="AL253" s="281"/>
      <c r="AM253" s="281"/>
      <c r="AN253" s="281"/>
    </row>
    <row r="254" spans="1:40" ht="45">
      <c r="A254" s="284"/>
      <c r="B254" s="274" t="s">
        <v>757</v>
      </c>
      <c r="C254" s="165" t="s">
        <v>841</v>
      </c>
      <c r="D254" s="392" t="s">
        <v>825</v>
      </c>
      <c r="E254" s="251" t="s">
        <v>674</v>
      </c>
      <c r="F254" s="251" t="s">
        <v>675</v>
      </c>
      <c r="G254" s="164" t="s">
        <v>792</v>
      </c>
      <c r="H254" s="164" t="s">
        <v>793</v>
      </c>
      <c r="I254" s="251" t="s">
        <v>794</v>
      </c>
      <c r="J254" s="284"/>
      <c r="K254" s="515" t="s">
        <v>845</v>
      </c>
      <c r="L254" s="392" t="s">
        <v>825</v>
      </c>
      <c r="M254" s="251" t="s">
        <v>674</v>
      </c>
      <c r="N254" s="251" t="s">
        <v>675</v>
      </c>
      <c r="O254" s="164" t="s">
        <v>792</v>
      </c>
      <c r="P254" s="164" t="s">
        <v>793</v>
      </c>
      <c r="Q254" s="251" t="s">
        <v>794</v>
      </c>
      <c r="R254" s="132"/>
      <c r="S254" s="132"/>
      <c r="T254" s="132"/>
      <c r="U254" s="132"/>
      <c r="V254" s="132"/>
      <c r="W254" s="132"/>
      <c r="X254" s="132"/>
      <c r="Y254" s="132"/>
      <c r="Z254" s="132"/>
      <c r="AJ254" s="281"/>
      <c r="AK254" s="281"/>
      <c r="AL254" s="281"/>
      <c r="AM254" s="281"/>
      <c r="AN254" s="281"/>
    </row>
    <row r="255" spans="1:40">
      <c r="A255" s="284"/>
      <c r="B255" s="326" t="s">
        <v>927</v>
      </c>
      <c r="C255" s="148">
        <f>'Inputs and eligible population'!F111</f>
        <v>0</v>
      </c>
      <c r="D255" s="127">
        <f>('Financial impact (cash)'!D13+'Financial impact (cash)'!D14)*C255</f>
        <v>0</v>
      </c>
      <c r="E255" s="127">
        <f>('Financial impact (cash)'!E13+'Financial impact (cash)'!E14)*C255</f>
        <v>0</v>
      </c>
      <c r="F255" s="127">
        <f>('Financial impact (cash)'!F13+'Financial impact (cash)'!F14)*C255</f>
        <v>0</v>
      </c>
      <c r="G255" s="127">
        <f>('Financial impact (cash)'!G13+'Financial impact (cash)'!G14)*C255</f>
        <v>0</v>
      </c>
      <c r="H255" s="127">
        <f>('Financial impact (cash)'!H13+'Financial impact (cash)'!H14)*C255</f>
        <v>0</v>
      </c>
      <c r="I255" s="127">
        <f>('Financial impact (cash)'!I13+'Financial impact (cash)'!I14)*C255</f>
        <v>0</v>
      </c>
      <c r="J255" s="284"/>
      <c r="K255" s="531">
        <f>'Unit costs'!$C$80</f>
        <v>34</v>
      </c>
      <c r="L255" s="286">
        <f>D255*$K255</f>
        <v>0</v>
      </c>
      <c r="M255" s="286">
        <f t="shared" ref="M255:M258" si="71">E255*$K255</f>
        <v>0</v>
      </c>
      <c r="N255" s="286">
        <f t="shared" ref="N255:N258" si="72">F255*$K255</f>
        <v>0</v>
      </c>
      <c r="O255" s="286">
        <f t="shared" ref="O255:O258" si="73">G255*$K255</f>
        <v>0</v>
      </c>
      <c r="P255" s="286">
        <f t="shared" ref="P255:P258" si="74">H255*$K255</f>
        <v>0</v>
      </c>
      <c r="Q255" s="286">
        <f t="shared" ref="Q255:Q258" si="75">I255*$K255</f>
        <v>0</v>
      </c>
      <c r="R255" s="132"/>
      <c r="S255" s="132"/>
      <c r="T255" s="132"/>
      <c r="U255" s="132"/>
      <c r="V255" s="132"/>
      <c r="W255" s="132"/>
      <c r="X255" s="132"/>
      <c r="Y255" s="132"/>
      <c r="Z255" s="132"/>
      <c r="AJ255" s="281"/>
      <c r="AK255" s="281"/>
      <c r="AL255" s="281"/>
      <c r="AM255" s="281"/>
      <c r="AN255" s="281"/>
    </row>
    <row r="256" spans="1:40">
      <c r="A256" s="284"/>
      <c r="B256" s="326" t="s">
        <v>958</v>
      </c>
      <c r="C256" s="148">
        <f>'Inputs and eligible population'!G111</f>
        <v>0</v>
      </c>
      <c r="D256" s="127">
        <f>'Financial impact (cash)'!D15*C256</f>
        <v>0</v>
      </c>
      <c r="E256" s="127">
        <f>'Financial impact (cash)'!E15*C256</f>
        <v>0</v>
      </c>
      <c r="F256" s="127">
        <f>'Financial impact (cash)'!F15*C256</f>
        <v>0</v>
      </c>
      <c r="G256" s="127">
        <f>'Financial impact (cash)'!G15*C256</f>
        <v>0</v>
      </c>
      <c r="H256" s="127">
        <f>'Financial impact (cash)'!H15*C256</f>
        <v>0</v>
      </c>
      <c r="I256" s="127">
        <f>'Financial impact (cash)'!I15*C256</f>
        <v>0</v>
      </c>
      <c r="J256" s="284"/>
      <c r="K256" s="531">
        <f>'Unit costs'!$C$80</f>
        <v>34</v>
      </c>
      <c r="L256" s="286">
        <f t="shared" ref="L256:L258" si="76">D256*$K256</f>
        <v>0</v>
      </c>
      <c r="M256" s="286">
        <f t="shared" si="71"/>
        <v>0</v>
      </c>
      <c r="N256" s="286">
        <f t="shared" si="72"/>
        <v>0</v>
      </c>
      <c r="O256" s="286">
        <f t="shared" si="73"/>
        <v>0</v>
      </c>
      <c r="P256" s="286">
        <f t="shared" si="74"/>
        <v>0</v>
      </c>
      <c r="Q256" s="286">
        <f t="shared" si="75"/>
        <v>0</v>
      </c>
      <c r="R256" s="132"/>
      <c r="S256" s="132"/>
      <c r="T256" s="132"/>
      <c r="U256" s="132"/>
      <c r="V256" s="132"/>
      <c r="W256" s="132"/>
      <c r="X256" s="132"/>
      <c r="Y256" s="132"/>
      <c r="Z256" s="132"/>
      <c r="AJ256" s="281"/>
      <c r="AK256" s="281"/>
      <c r="AL256" s="281"/>
      <c r="AM256" s="281"/>
      <c r="AN256" s="281"/>
    </row>
    <row r="257" spans="1:40">
      <c r="A257" s="284"/>
      <c r="B257" s="326" t="s">
        <v>934</v>
      </c>
      <c r="C257" s="148">
        <f>'Inputs and eligible population'!H111</f>
        <v>0</v>
      </c>
      <c r="D257" s="127">
        <f>'Financial impact (cash)'!D16*C257</f>
        <v>0</v>
      </c>
      <c r="E257" s="127">
        <f>'Financial impact (cash)'!E16*C257</f>
        <v>0</v>
      </c>
      <c r="F257" s="127">
        <f>'Financial impact (cash)'!F16*C257</f>
        <v>0</v>
      </c>
      <c r="G257" s="127">
        <f>'Financial impact (cash)'!G16*C257</f>
        <v>0</v>
      </c>
      <c r="H257" s="127">
        <f>'Financial impact (cash)'!H16*C257</f>
        <v>0</v>
      </c>
      <c r="I257" s="127">
        <f>'Financial impact (cash)'!I16*C257</f>
        <v>0</v>
      </c>
      <c r="J257" s="284"/>
      <c r="K257" s="531">
        <f>'Unit costs'!$C$80</f>
        <v>34</v>
      </c>
      <c r="L257" s="286">
        <f t="shared" si="76"/>
        <v>0</v>
      </c>
      <c r="M257" s="286">
        <f t="shared" si="71"/>
        <v>0</v>
      </c>
      <c r="N257" s="286">
        <f t="shared" si="72"/>
        <v>0</v>
      </c>
      <c r="O257" s="286">
        <f t="shared" si="73"/>
        <v>0</v>
      </c>
      <c r="P257" s="286">
        <f t="shared" si="74"/>
        <v>0</v>
      </c>
      <c r="Q257" s="286">
        <f t="shared" si="75"/>
        <v>0</v>
      </c>
      <c r="R257" s="132"/>
      <c r="S257" s="132"/>
      <c r="T257" s="132"/>
      <c r="U257" s="132"/>
      <c r="V257" s="132"/>
      <c r="W257" s="132"/>
      <c r="X257" s="132"/>
      <c r="Y257" s="132"/>
      <c r="Z257" s="132"/>
      <c r="AJ257" s="281"/>
      <c r="AK257" s="281"/>
      <c r="AL257" s="281"/>
      <c r="AM257" s="281"/>
      <c r="AN257" s="281"/>
    </row>
    <row r="258" spans="1:40">
      <c r="A258" s="284"/>
      <c r="B258" s="326" t="s">
        <v>935</v>
      </c>
      <c r="C258" s="148">
        <f>'Inputs and eligible population'!I111</f>
        <v>0</v>
      </c>
      <c r="D258" s="127">
        <f>'Financial impact (cash)'!D17*C258</f>
        <v>0</v>
      </c>
      <c r="E258" s="127">
        <f>'Financial impact (cash)'!E17*C258</f>
        <v>0</v>
      </c>
      <c r="F258" s="127">
        <f>'Financial impact (cash)'!F17*C258</f>
        <v>0</v>
      </c>
      <c r="G258" s="127">
        <f>'Financial impact (cash)'!G17*C258</f>
        <v>0</v>
      </c>
      <c r="H258" s="127">
        <f>'Financial impact (cash)'!H17*C258</f>
        <v>0</v>
      </c>
      <c r="I258" s="127">
        <f>'Financial impact (cash)'!I17*C258</f>
        <v>0</v>
      </c>
      <c r="J258" s="284"/>
      <c r="K258" s="531">
        <f>'Unit costs'!$C$80</f>
        <v>34</v>
      </c>
      <c r="L258" s="286">
        <f t="shared" si="76"/>
        <v>0</v>
      </c>
      <c r="M258" s="286">
        <f t="shared" si="71"/>
        <v>0</v>
      </c>
      <c r="N258" s="286">
        <f t="shared" si="72"/>
        <v>0</v>
      </c>
      <c r="O258" s="286">
        <f t="shared" si="73"/>
        <v>0</v>
      </c>
      <c r="P258" s="286">
        <f t="shared" si="74"/>
        <v>0</v>
      </c>
      <c r="Q258" s="286">
        <f t="shared" si="75"/>
        <v>0</v>
      </c>
      <c r="R258" s="132"/>
      <c r="S258" s="132"/>
      <c r="T258" s="132"/>
      <c r="U258" s="132"/>
      <c r="V258" s="132"/>
      <c r="W258" s="132"/>
      <c r="X258" s="132"/>
      <c r="Y258" s="132"/>
      <c r="Z258" s="132"/>
      <c r="AJ258" s="281"/>
      <c r="AK258" s="281"/>
      <c r="AL258" s="281"/>
      <c r="AM258" s="281"/>
      <c r="AN258" s="281"/>
    </row>
    <row r="259" spans="1:40">
      <c r="A259" s="284"/>
      <c r="B259" s="278"/>
      <c r="C259" s="205"/>
      <c r="D259" s="184">
        <f t="shared" ref="D259:I259" si="77">SUM(D255:D258)</f>
        <v>0</v>
      </c>
      <c r="E259" s="184">
        <f t="shared" si="77"/>
        <v>0</v>
      </c>
      <c r="F259" s="184">
        <f t="shared" si="77"/>
        <v>0</v>
      </c>
      <c r="G259" s="184">
        <f t="shared" si="77"/>
        <v>0</v>
      </c>
      <c r="H259" s="184">
        <f t="shared" si="77"/>
        <v>0</v>
      </c>
      <c r="I259" s="184">
        <f t="shared" si="77"/>
        <v>0</v>
      </c>
      <c r="J259" s="284"/>
      <c r="K259" s="284"/>
      <c r="L259" s="287">
        <f>SUM(L255:L258)</f>
        <v>0</v>
      </c>
      <c r="M259" s="287">
        <f t="shared" ref="M259:Q259" si="78">SUM(M255:M258)</f>
        <v>0</v>
      </c>
      <c r="N259" s="287">
        <f t="shared" si="78"/>
        <v>0</v>
      </c>
      <c r="O259" s="287">
        <f t="shared" si="78"/>
        <v>0</v>
      </c>
      <c r="P259" s="287">
        <f t="shared" si="78"/>
        <v>0</v>
      </c>
      <c r="Q259" s="287">
        <f t="shared" si="78"/>
        <v>0</v>
      </c>
      <c r="R259" s="132"/>
      <c r="S259" s="132"/>
      <c r="T259" s="132"/>
      <c r="U259" s="132"/>
      <c r="V259" s="132"/>
      <c r="W259" s="132"/>
      <c r="X259" s="132"/>
      <c r="Y259" s="132"/>
      <c r="Z259" s="132"/>
      <c r="AJ259" s="281"/>
      <c r="AK259" s="281"/>
      <c r="AL259" s="281"/>
      <c r="AM259" s="281"/>
      <c r="AN259" s="281"/>
    </row>
    <row r="260" spans="1:40">
      <c r="A260" s="284"/>
      <c r="B260" s="289"/>
      <c r="C260" s="252"/>
      <c r="D260" s="280" t="s">
        <v>818</v>
      </c>
      <c r="E260" s="184">
        <f>E259-$D$259</f>
        <v>0</v>
      </c>
      <c r="F260" s="184">
        <f>F259-$D$259</f>
        <v>0</v>
      </c>
      <c r="G260" s="184">
        <f>G259-$D$259</f>
        <v>0</v>
      </c>
      <c r="H260" s="184">
        <f>H259-$D$259</f>
        <v>0</v>
      </c>
      <c r="I260" s="184">
        <f>I259-$D$259</f>
        <v>0</v>
      </c>
      <c r="J260" s="284"/>
      <c r="K260" s="284"/>
      <c r="L260" s="506"/>
      <c r="M260" s="287">
        <f>M259-$L$260</f>
        <v>0</v>
      </c>
      <c r="N260" s="287">
        <f t="shared" ref="N260:Q260" si="79">N259-$L$260</f>
        <v>0</v>
      </c>
      <c r="O260" s="287">
        <f t="shared" si="79"/>
        <v>0</v>
      </c>
      <c r="P260" s="287">
        <f t="shared" si="79"/>
        <v>0</v>
      </c>
      <c r="Q260" s="287">
        <f t="shared" si="79"/>
        <v>0</v>
      </c>
      <c r="V260" s="132"/>
    </row>
    <row r="261" spans="1:40">
      <c r="A261" s="284"/>
      <c r="B261" s="284"/>
      <c r="C261" s="218"/>
      <c r="D261" s="284"/>
      <c r="E261" s="284"/>
      <c r="F261" s="284"/>
      <c r="G261" s="284"/>
      <c r="H261" s="284"/>
      <c r="I261" s="218"/>
      <c r="J261" s="218"/>
      <c r="K261" s="218"/>
      <c r="L261" s="218"/>
      <c r="M261" s="218"/>
      <c r="N261" s="218"/>
      <c r="O261" s="218"/>
      <c r="P261" s="218"/>
      <c r="Q261" s="218"/>
      <c r="V261" s="132"/>
    </row>
    <row r="262" spans="1:40">
      <c r="A262" s="284"/>
      <c r="B262" s="372" t="s">
        <v>842</v>
      </c>
      <c r="C262" s="373"/>
      <c r="D262" s="373"/>
      <c r="E262" s="373"/>
      <c r="F262" s="373"/>
      <c r="G262" s="373"/>
      <c r="H262" s="373"/>
      <c r="I262" s="217"/>
      <c r="J262" s="218"/>
      <c r="K262" s="218"/>
      <c r="L262" s="218"/>
      <c r="M262" s="218"/>
      <c r="N262" s="218"/>
      <c r="O262" s="218"/>
      <c r="P262" s="218"/>
      <c r="Q262" s="218"/>
      <c r="V262" s="132"/>
    </row>
    <row r="263" spans="1:40" ht="75">
      <c r="A263" s="284"/>
      <c r="B263" s="274" t="s">
        <v>757</v>
      </c>
      <c r="C263" s="165" t="s">
        <v>843</v>
      </c>
      <c r="D263" s="392" t="s">
        <v>825</v>
      </c>
      <c r="E263" s="251" t="s">
        <v>674</v>
      </c>
      <c r="F263" s="251" t="s">
        <v>675</v>
      </c>
      <c r="G263" s="164" t="s">
        <v>792</v>
      </c>
      <c r="H263" s="164" t="s">
        <v>793</v>
      </c>
      <c r="I263" s="251" t="s">
        <v>794</v>
      </c>
      <c r="J263" s="284"/>
      <c r="K263" s="839"/>
      <c r="L263" s="840"/>
      <c r="M263" s="841"/>
      <c r="N263" s="841"/>
      <c r="O263" s="841"/>
      <c r="P263" s="841"/>
      <c r="Q263" s="841"/>
      <c r="V263" s="132"/>
    </row>
    <row r="264" spans="1:40">
      <c r="A264" s="284"/>
      <c r="B264" s="326" t="s">
        <v>927</v>
      </c>
      <c r="C264" s="148">
        <f>'Inputs and eligible population'!F112</f>
        <v>0</v>
      </c>
      <c r="D264" s="127">
        <f>D255*$C264/60</f>
        <v>0</v>
      </c>
      <c r="E264" s="127">
        <f t="shared" ref="E264:I264" si="80">E255*$C264/60</f>
        <v>0</v>
      </c>
      <c r="F264" s="127">
        <f t="shared" si="80"/>
        <v>0</v>
      </c>
      <c r="G264" s="127">
        <f t="shared" si="80"/>
        <v>0</v>
      </c>
      <c r="H264" s="127">
        <f t="shared" si="80"/>
        <v>0</v>
      </c>
      <c r="I264" s="127">
        <f t="shared" si="80"/>
        <v>0</v>
      </c>
      <c r="J264" s="284"/>
      <c r="K264" s="842"/>
      <c r="L264" s="843"/>
      <c r="M264" s="843"/>
      <c r="N264" s="843"/>
      <c r="O264" s="843"/>
      <c r="P264" s="843"/>
      <c r="Q264" s="843"/>
      <c r="V264" s="132"/>
    </row>
    <row r="265" spans="1:40">
      <c r="A265" s="284"/>
      <c r="B265" s="326" t="s">
        <v>958</v>
      </c>
      <c r="C265" s="148">
        <f>'Inputs and eligible population'!G112</f>
        <v>0</v>
      </c>
      <c r="D265" s="127">
        <f t="shared" ref="D265:I266" si="81">D256*$C265/60</f>
        <v>0</v>
      </c>
      <c r="E265" s="127">
        <f t="shared" si="81"/>
        <v>0</v>
      </c>
      <c r="F265" s="127">
        <f t="shared" si="81"/>
        <v>0</v>
      </c>
      <c r="G265" s="127">
        <f t="shared" si="81"/>
        <v>0</v>
      </c>
      <c r="H265" s="127">
        <f t="shared" si="81"/>
        <v>0</v>
      </c>
      <c r="I265" s="127">
        <f t="shared" si="81"/>
        <v>0</v>
      </c>
      <c r="J265" s="284"/>
      <c r="K265" s="842"/>
      <c r="L265" s="843"/>
      <c r="M265" s="843"/>
      <c r="N265" s="843"/>
      <c r="O265" s="843"/>
      <c r="P265" s="843"/>
      <c r="Q265" s="843"/>
      <c r="V265" s="132"/>
    </row>
    <row r="266" spans="1:40">
      <c r="A266" s="284"/>
      <c r="B266" s="326" t="s">
        <v>934</v>
      </c>
      <c r="C266" s="148">
        <f>'Inputs and eligible population'!H112</f>
        <v>0</v>
      </c>
      <c r="D266" s="127">
        <f>D257*$C266/60</f>
        <v>0</v>
      </c>
      <c r="E266" s="127">
        <f t="shared" si="81"/>
        <v>0</v>
      </c>
      <c r="F266" s="127">
        <f t="shared" si="81"/>
        <v>0</v>
      </c>
      <c r="G266" s="127">
        <f t="shared" si="81"/>
        <v>0</v>
      </c>
      <c r="H266" s="127">
        <f t="shared" si="81"/>
        <v>0</v>
      </c>
      <c r="I266" s="127">
        <f t="shared" si="81"/>
        <v>0</v>
      </c>
      <c r="J266" s="284"/>
      <c r="K266" s="842"/>
      <c r="L266" s="843"/>
      <c r="M266" s="843"/>
      <c r="N266" s="843"/>
      <c r="O266" s="843"/>
      <c r="P266" s="843"/>
      <c r="Q266" s="843"/>
      <c r="V266" s="132"/>
    </row>
    <row r="267" spans="1:40">
      <c r="A267" s="284"/>
      <c r="B267" s="326" t="s">
        <v>935</v>
      </c>
      <c r="C267" s="148">
        <f>'Inputs and eligible population'!I112</f>
        <v>0</v>
      </c>
      <c r="D267" s="127">
        <f t="shared" ref="D267:I267" si="82">D258*$C267/60</f>
        <v>0</v>
      </c>
      <c r="E267" s="127">
        <f t="shared" si="82"/>
        <v>0</v>
      </c>
      <c r="F267" s="127">
        <f t="shared" si="82"/>
        <v>0</v>
      </c>
      <c r="G267" s="127">
        <f t="shared" si="82"/>
        <v>0</v>
      </c>
      <c r="H267" s="127">
        <f t="shared" si="82"/>
        <v>0</v>
      </c>
      <c r="I267" s="127">
        <f t="shared" si="82"/>
        <v>0</v>
      </c>
      <c r="J267" s="284"/>
      <c r="K267" s="842"/>
      <c r="L267" s="843"/>
      <c r="M267" s="843"/>
      <c r="N267" s="843"/>
      <c r="O267" s="843"/>
      <c r="P267" s="843"/>
      <c r="Q267" s="843"/>
      <c r="V267" s="132"/>
    </row>
    <row r="268" spans="1:40">
      <c r="A268" s="284"/>
      <c r="B268" s="278"/>
      <c r="C268" s="205"/>
      <c r="D268" s="184">
        <f t="shared" ref="D268:I268" si="83">SUM(D264:D267)</f>
        <v>0</v>
      </c>
      <c r="E268" s="184">
        <f t="shared" si="83"/>
        <v>0</v>
      </c>
      <c r="F268" s="184">
        <f t="shared" si="83"/>
        <v>0</v>
      </c>
      <c r="G268" s="184">
        <f t="shared" si="83"/>
        <v>0</v>
      </c>
      <c r="H268" s="184">
        <f t="shared" si="83"/>
        <v>0</v>
      </c>
      <c r="I268" s="184">
        <f t="shared" si="83"/>
        <v>0</v>
      </c>
      <c r="J268" s="284"/>
      <c r="K268" s="284"/>
      <c r="L268" s="844"/>
      <c r="M268" s="844"/>
      <c r="N268" s="844"/>
      <c r="O268" s="844"/>
      <c r="P268" s="844"/>
      <c r="Q268" s="844"/>
      <c r="V268" s="132"/>
    </row>
    <row r="269" spans="1:40">
      <c r="A269" s="284"/>
      <c r="B269" s="289"/>
      <c r="C269" s="252"/>
      <c r="D269" s="280" t="s">
        <v>819</v>
      </c>
      <c r="E269" s="184">
        <f>E268-$D$268</f>
        <v>0</v>
      </c>
      <c r="F269" s="184">
        <f>F268-$D$268</f>
        <v>0</v>
      </c>
      <c r="G269" s="184">
        <f>G268-$D$268</f>
        <v>0</v>
      </c>
      <c r="H269" s="184">
        <f>H268-$D$268</f>
        <v>0</v>
      </c>
      <c r="I269" s="184">
        <f>I268-$D$268</f>
        <v>0</v>
      </c>
      <c r="J269" s="284"/>
      <c r="K269" s="284"/>
      <c r="L269" s="284"/>
      <c r="M269" s="844"/>
      <c r="N269" s="844"/>
      <c r="O269" s="844"/>
      <c r="P269" s="844"/>
      <c r="Q269" s="844"/>
      <c r="V269" s="132"/>
    </row>
    <row r="270" spans="1:40">
      <c r="A270" s="284"/>
      <c r="B270" s="284"/>
      <c r="C270" s="218"/>
      <c r="D270" s="284"/>
      <c r="E270" s="284"/>
      <c r="F270" s="284"/>
      <c r="G270" s="284"/>
      <c r="H270" s="284"/>
      <c r="I270" s="218"/>
      <c r="J270" s="218"/>
      <c r="K270" s="218"/>
      <c r="L270" s="218"/>
      <c r="M270" s="218"/>
      <c r="N270" s="218"/>
      <c r="O270" s="218"/>
      <c r="P270" s="218"/>
      <c r="Q270" s="218"/>
      <c r="V270" s="132"/>
    </row>
    <row r="271" spans="1:40">
      <c r="A271" s="285"/>
      <c r="B271" s="305" t="s">
        <v>724</v>
      </c>
      <c r="C271" s="295"/>
      <c r="D271" s="296"/>
      <c r="E271" s="297"/>
      <c r="F271" s="298"/>
      <c r="G271" s="298"/>
      <c r="H271" s="298"/>
      <c r="I271" s="399"/>
      <c r="J271" s="404"/>
      <c r="K271" s="285"/>
      <c r="L271" s="285"/>
      <c r="M271" s="285"/>
      <c r="N271" s="285"/>
      <c r="O271" s="285"/>
      <c r="P271" s="285"/>
      <c r="Q271" s="285"/>
      <c r="R271" s="132"/>
      <c r="S271" s="132"/>
      <c r="T271" s="132"/>
      <c r="U271" s="132"/>
      <c r="V271" s="132"/>
      <c r="W271" s="132"/>
      <c r="X271" s="132"/>
      <c r="Y271" s="132"/>
      <c r="Z271" s="132"/>
      <c r="AJ271" s="281"/>
      <c r="AK271" s="281"/>
      <c r="AL271" s="281"/>
      <c r="AM271" s="281"/>
      <c r="AN271" s="281"/>
    </row>
    <row r="272" spans="1:40">
      <c r="A272" s="285"/>
      <c r="B272" s="374" t="s">
        <v>844</v>
      </c>
      <c r="C272" s="375"/>
      <c r="D272" s="375"/>
      <c r="E272" s="375"/>
      <c r="F272" s="375"/>
      <c r="G272" s="375"/>
      <c r="H272" s="375"/>
      <c r="I272" s="219"/>
      <c r="J272" s="402"/>
      <c r="K272" s="402"/>
      <c r="L272" s="403"/>
      <c r="M272" s="403"/>
      <c r="N272" s="403"/>
      <c r="O272" s="403"/>
      <c r="P272" s="403"/>
      <c r="Q272" s="403"/>
      <c r="R272" s="132"/>
      <c r="S272" s="132"/>
      <c r="T272" s="132"/>
      <c r="U272" s="132"/>
      <c r="V272" s="132"/>
      <c r="W272" s="132"/>
      <c r="X272" s="132"/>
      <c r="Y272" s="132"/>
      <c r="Z272" s="132"/>
      <c r="AJ272" s="281"/>
      <c r="AK272" s="281"/>
      <c r="AL272" s="281"/>
      <c r="AM272" s="281"/>
      <c r="AN272" s="281"/>
    </row>
    <row r="273" spans="1:40" ht="45">
      <c r="A273" s="285"/>
      <c r="B273" s="274" t="s">
        <v>757</v>
      </c>
      <c r="C273" s="207"/>
      <c r="D273" s="392" t="s">
        <v>825</v>
      </c>
      <c r="E273" s="251" t="s">
        <v>674</v>
      </c>
      <c r="F273" s="251" t="s">
        <v>675</v>
      </c>
      <c r="G273" s="164" t="s">
        <v>792</v>
      </c>
      <c r="H273" s="164" t="s">
        <v>793</v>
      </c>
      <c r="I273" s="251" t="s">
        <v>794</v>
      </c>
      <c r="J273" s="285"/>
      <c r="K273" s="515" t="s">
        <v>845</v>
      </c>
      <c r="L273" s="392" t="s">
        <v>825</v>
      </c>
      <c r="M273" s="251" t="s">
        <v>674</v>
      </c>
      <c r="N273" s="251" t="s">
        <v>675</v>
      </c>
      <c r="O273" s="164" t="s">
        <v>792</v>
      </c>
      <c r="P273" s="164" t="s">
        <v>793</v>
      </c>
      <c r="Q273" s="251" t="s">
        <v>794</v>
      </c>
      <c r="R273" s="132"/>
      <c r="S273" s="132"/>
      <c r="T273" s="132"/>
      <c r="U273" s="132"/>
      <c r="V273" s="132"/>
      <c r="W273" s="132"/>
      <c r="X273" s="132"/>
      <c r="Y273" s="132"/>
      <c r="Z273" s="132"/>
      <c r="AJ273" s="281"/>
      <c r="AK273" s="281"/>
      <c r="AL273" s="281"/>
      <c r="AM273" s="281"/>
      <c r="AN273" s="281"/>
    </row>
    <row r="274" spans="1:40">
      <c r="A274" s="285"/>
      <c r="B274" s="770" t="s">
        <v>973</v>
      </c>
      <c r="C274" s="768"/>
      <c r="D274" s="774">
        <f>'Capacity (local prices)'!D274</f>
        <v>4.9916617352357679</v>
      </c>
      <c r="E274" s="774">
        <f>'Capacity (local prices)'!E274</f>
        <v>3.3798867274654421</v>
      </c>
      <c r="F274" s="774">
        <f>'Capacity (local prices)'!F274</f>
        <v>1.9073079800329329</v>
      </c>
      <c r="G274" s="774">
        <f>'Capacity (local prices)'!G274</f>
        <v>1.9274248737624966</v>
      </c>
      <c r="H274" s="774">
        <f>'Capacity (local prices)'!H274</f>
        <v>1.9460087332965019</v>
      </c>
      <c r="I274" s="774">
        <f>'Capacity (local prices)'!I274</f>
        <v>1.9647717748260707</v>
      </c>
      <c r="J274" s="285"/>
      <c r="K274" s="771">
        <f>'Unit costs'!I89</f>
        <v>3407.28</v>
      </c>
      <c r="L274" s="769">
        <f t="shared" ref="L274:Q294" si="84">(D274*$K274)/1000</f>
        <v>17.007989197234128</v>
      </c>
      <c r="M274" s="769">
        <f t="shared" si="84"/>
        <v>11.516220448758451</v>
      </c>
      <c r="N274" s="769">
        <f t="shared" si="84"/>
        <v>6.4987323342066121</v>
      </c>
      <c r="O274" s="769">
        <f t="shared" si="84"/>
        <v>6.5672762238734794</v>
      </c>
      <c r="P274" s="769">
        <f t="shared" si="84"/>
        <v>6.6305966367865059</v>
      </c>
      <c r="Q274" s="769">
        <f t="shared" si="84"/>
        <v>6.6945275729293741</v>
      </c>
      <c r="R274" s="132"/>
      <c r="S274" s="132"/>
      <c r="T274" s="132"/>
      <c r="U274" s="132"/>
      <c r="V274" s="132"/>
      <c r="W274" s="132"/>
      <c r="X274" s="132"/>
      <c r="Y274" s="132"/>
      <c r="Z274" s="132"/>
      <c r="AJ274" s="281"/>
      <c r="AK274" s="281"/>
      <c r="AL274" s="281"/>
      <c r="AM274" s="281"/>
      <c r="AN274" s="281"/>
    </row>
    <row r="275" spans="1:40">
      <c r="A275" s="285"/>
      <c r="B275" s="770" t="s">
        <v>974</v>
      </c>
      <c r="C275" s="768"/>
      <c r="D275" s="774">
        <f>'Capacity (local prices)'!D275</f>
        <v>2.9144563283714717</v>
      </c>
      <c r="E275" s="774">
        <f>'Capacity (local prices)'!E275</f>
        <v>1.4706066514665839</v>
      </c>
      <c r="F275" s="774">
        <f>'Capacity (local prices)'!F275</f>
        <v>0.14854642613824379</v>
      </c>
      <c r="G275" s="774">
        <f>'Capacity (local prices)'!G275</f>
        <v>0.15573534021742783</v>
      </c>
      <c r="H275" s="774">
        <f>'Capacity (local prices)'!H275</f>
        <v>0.15723691038313373</v>
      </c>
      <c r="I275" s="774">
        <f>'Capacity (local prices)'!I275</f>
        <v>0.15875295839927095</v>
      </c>
      <c r="J275" s="285"/>
      <c r="K275" s="771">
        <f>'Unit costs'!I90</f>
        <v>1646.8726410578199</v>
      </c>
      <c r="L275" s="769">
        <f t="shared" si="84"/>
        <v>4.7997383907528031</v>
      </c>
      <c r="M275" s="769">
        <f t="shared" si="84"/>
        <v>2.4219018600579698</v>
      </c>
      <c r="N275" s="769">
        <f t="shared" si="84"/>
        <v>0.24463704513398993</v>
      </c>
      <c r="O275" s="769">
        <f t="shared" si="84"/>
        <v>0.25647627104991344</v>
      </c>
      <c r="P275" s="769">
        <f t="shared" si="84"/>
        <v>0.25894916587444317</v>
      </c>
      <c r="Q275" s="769">
        <f t="shared" si="84"/>
        <v>0.26144590387474953</v>
      </c>
      <c r="R275" s="132"/>
      <c r="S275" s="132"/>
      <c r="T275" s="132"/>
      <c r="U275" s="132"/>
      <c r="V275" s="132"/>
      <c r="W275" s="132"/>
      <c r="X275" s="132"/>
      <c r="Y275" s="132"/>
      <c r="Z275" s="132"/>
      <c r="AJ275" s="281"/>
      <c r="AK275" s="281"/>
      <c r="AL275" s="281"/>
      <c r="AM275" s="281"/>
      <c r="AN275" s="281"/>
    </row>
    <row r="276" spans="1:40">
      <c r="A276" s="285"/>
      <c r="B276" s="770" t="s">
        <v>975</v>
      </c>
      <c r="C276" s="768"/>
      <c r="D276" s="774">
        <f>'Capacity (local prices)'!D276</f>
        <v>4.9159213772756232</v>
      </c>
      <c r="E276" s="774">
        <f>'Capacity (local prices)'!E276</f>
        <v>3.3349331504185673</v>
      </c>
      <c r="F276" s="774">
        <f>'Capacity (local prices)'!F276</f>
        <v>1.9034475826820152</v>
      </c>
      <c r="G276" s="774">
        <f>'Capacity (local prices)'!G276</f>
        <v>1.9245346703603956</v>
      </c>
      <c r="H276" s="774">
        <f>'Capacity (local prices)'!H276</f>
        <v>1.9430906631096663</v>
      </c>
      <c r="I276" s="774">
        <f>'Capacity (local prices)'!I276</f>
        <v>1.9618255691683271</v>
      </c>
      <c r="J276" s="285"/>
      <c r="K276" s="771">
        <f>'Unit costs'!I91</f>
        <v>2300.4913762649899</v>
      </c>
      <c r="L276" s="769">
        <f t="shared" si="84"/>
        <v>11.309034734819283</v>
      </c>
      <c r="M276" s="769">
        <f t="shared" si="84"/>
        <v>7.6719849529581481</v>
      </c>
      <c r="N276" s="769">
        <f t="shared" si="84"/>
        <v>4.3788647491324175</v>
      </c>
      <c r="O276" s="769">
        <f t="shared" si="84"/>
        <v>4.4273754124870743</v>
      </c>
      <c r="P276" s="769">
        <f t="shared" si="84"/>
        <v>4.4700633137848085</v>
      </c>
      <c r="Q276" s="769">
        <f t="shared" si="84"/>
        <v>4.5131628036078917</v>
      </c>
      <c r="R276" s="132"/>
      <c r="S276" s="132"/>
      <c r="T276" s="132"/>
      <c r="U276" s="132"/>
      <c r="V276" s="132"/>
      <c r="W276" s="132"/>
      <c r="X276" s="132"/>
      <c r="Y276" s="132"/>
      <c r="Z276" s="132"/>
      <c r="AJ276" s="281"/>
      <c r="AK276" s="281"/>
      <c r="AL276" s="281"/>
      <c r="AM276" s="281"/>
      <c r="AN276" s="281"/>
    </row>
    <row r="277" spans="1:40">
      <c r="A277" s="285"/>
      <c r="B277" s="770" t="s">
        <v>976</v>
      </c>
      <c r="C277" s="768"/>
      <c r="D277" s="774">
        <f>'Capacity (local prices)'!D277</f>
        <v>0</v>
      </c>
      <c r="E277" s="774">
        <f>'Capacity (local prices)'!E277</f>
        <v>0.63563147760971372</v>
      </c>
      <c r="F277" s="774">
        <f>'Capacity (local prices)'!F277</f>
        <v>1.2193442164761945</v>
      </c>
      <c r="G277" s="774">
        <f>'Capacity (local prices)'!G277</f>
        <v>1.2311008986437131</v>
      </c>
      <c r="H277" s="774">
        <f>'Capacity (local prices)'!H277</f>
        <v>1.2429709364771055</v>
      </c>
      <c r="I277" s="774">
        <f>'Capacity (local prices)'!I277</f>
        <v>1.2549554229298772</v>
      </c>
      <c r="J277" s="285"/>
      <c r="K277" s="771">
        <f>'Unit costs'!I92</f>
        <v>1649.1108672540799</v>
      </c>
      <c r="L277" s="769">
        <f t="shared" si="84"/>
        <v>0</v>
      </c>
      <c r="M277" s="769">
        <f t="shared" si="84"/>
        <v>1.0482267772949474</v>
      </c>
      <c r="N277" s="769">
        <f t="shared" si="84"/>
        <v>2.0108337983143039</v>
      </c>
      <c r="O277" s="769">
        <f t="shared" si="84"/>
        <v>2.0302218706396107</v>
      </c>
      <c r="P277" s="769">
        <f t="shared" si="84"/>
        <v>2.0497968790253753</v>
      </c>
      <c r="Q277" s="769">
        <f t="shared" si="84"/>
        <v>2.0695606258731005</v>
      </c>
      <c r="R277" s="132"/>
      <c r="S277" s="132"/>
      <c r="T277" s="132"/>
      <c r="U277" s="132"/>
      <c r="V277" s="132"/>
      <c r="W277" s="132"/>
      <c r="X277" s="132"/>
      <c r="Y277" s="132"/>
      <c r="Z277" s="132"/>
      <c r="AJ277" s="281"/>
      <c r="AK277" s="281"/>
      <c r="AL277" s="281"/>
      <c r="AM277" s="281"/>
      <c r="AN277" s="281"/>
    </row>
    <row r="278" spans="1:40">
      <c r="A278" s="285"/>
      <c r="B278" s="770" t="s">
        <v>977</v>
      </c>
      <c r="C278" s="768"/>
      <c r="D278" s="774">
        <f>'Capacity (local prices)'!D278</f>
        <v>2.8699072282618152</v>
      </c>
      <c r="E278" s="774">
        <f>'Capacity (local prices)'!E278</f>
        <v>1.446475092888404</v>
      </c>
      <c r="F278" s="774">
        <f>'Capacity (local prices)'!F278</f>
        <v>0.146275810674034</v>
      </c>
      <c r="G278" s="774">
        <f>'Capacity (local prices)'!G278</f>
        <v>0.14941403478756032</v>
      </c>
      <c r="H278" s="774">
        <f>'Capacity (local prices)'!H278</f>
        <v>0.15085465614339072</v>
      </c>
      <c r="I278" s="774">
        <f>'Capacity (local prices)'!I278</f>
        <v>0.15230916769296249</v>
      </c>
      <c r="J278" s="285"/>
      <c r="K278" s="771">
        <f>'Unit costs'!I93</f>
        <v>3042.95047870793</v>
      </c>
      <c r="L278" s="769">
        <f t="shared" si="84"/>
        <v>8.7329855740866389</v>
      </c>
      <c r="M278" s="769">
        <f t="shared" si="84"/>
        <v>4.401552076343866</v>
      </c>
      <c r="N278" s="769">
        <f t="shared" si="84"/>
        <v>0.44511004811394228</v>
      </c>
      <c r="O278" s="769">
        <f t="shared" si="84"/>
        <v>0.45465950868249</v>
      </c>
      <c r="P278" s="769">
        <f t="shared" si="84"/>
        <v>0.45904324812685099</v>
      </c>
      <c r="Q278" s="769">
        <f t="shared" si="84"/>
        <v>0.46346925474290657</v>
      </c>
      <c r="R278" s="132"/>
      <c r="S278" s="132"/>
      <c r="T278" s="132"/>
      <c r="U278" s="132"/>
      <c r="V278" s="132"/>
      <c r="W278" s="132"/>
      <c r="X278" s="132"/>
      <c r="Y278" s="132"/>
      <c r="Z278" s="132"/>
      <c r="AJ278" s="281"/>
      <c r="AK278" s="281"/>
      <c r="AL278" s="281"/>
      <c r="AM278" s="281"/>
      <c r="AN278" s="281"/>
    </row>
    <row r="279" spans="1:40">
      <c r="A279" s="285"/>
      <c r="B279" s="770" t="s">
        <v>978</v>
      </c>
      <c r="C279" s="768"/>
      <c r="D279" s="774">
        <f>'Capacity (local prices)'!D279</f>
        <v>0.66838276367077565</v>
      </c>
      <c r="E279" s="774">
        <f>'Capacity (local prices)'!E279</f>
        <v>0.54929074999838678</v>
      </c>
      <c r="F279" s="774">
        <f>'Capacity (local prices)'!F279</f>
        <v>0.4405147589260624</v>
      </c>
      <c r="G279" s="774">
        <f>'Capacity (local prices)'!G279</f>
        <v>0.44505108725855436</v>
      </c>
      <c r="H279" s="774">
        <f>'Capacity (local prices)'!H279</f>
        <v>0.44934218415351362</v>
      </c>
      <c r="I279" s="774">
        <f>'Capacity (local prices)'!I279</f>
        <v>0.45367465497854303</v>
      </c>
      <c r="J279" s="285"/>
      <c r="K279" s="771">
        <f>'Unit costs'!I94</f>
        <v>1789.0053793796999</v>
      </c>
      <c r="L279" s="769">
        <f>(D279*$K279)/1000</f>
        <v>1.1957403596916885</v>
      </c>
      <c r="M279" s="769">
        <f t="shared" si="84"/>
        <v>0.98268410659062388</v>
      </c>
      <c r="N279" s="769">
        <f t="shared" si="84"/>
        <v>0.78808327341487738</v>
      </c>
      <c r="O279" s="769">
        <f t="shared" si="84"/>
        <v>0.79619878920433795</v>
      </c>
      <c r="P279" s="769">
        <f t="shared" si="84"/>
        <v>0.80387558463285957</v>
      </c>
      <c r="Q279" s="769">
        <f t="shared" si="84"/>
        <v>0.81162639824484284</v>
      </c>
      <c r="R279" s="132"/>
      <c r="S279" s="132"/>
      <c r="T279" s="132"/>
      <c r="U279" s="132"/>
      <c r="V279" s="132"/>
      <c r="W279" s="132"/>
      <c r="X279" s="132"/>
      <c r="Y279" s="132"/>
      <c r="Z279" s="132"/>
      <c r="AJ279" s="281"/>
      <c r="AK279" s="281"/>
      <c r="AL279" s="281"/>
      <c r="AM279" s="281"/>
      <c r="AN279" s="281"/>
    </row>
    <row r="280" spans="1:40">
      <c r="A280" s="285"/>
      <c r="B280" s="770" t="s">
        <v>979</v>
      </c>
      <c r="C280" s="167"/>
      <c r="D280" s="774">
        <f>'Capacity (local prices)'!D280</f>
        <v>0.66276736572072226</v>
      </c>
      <c r="E280" s="774">
        <f>'Capacity (local prices)'!E280</f>
        <v>0.3345788205271884</v>
      </c>
      <c r="F280" s="774">
        <f>'Capacity (local prices)'!F280</f>
        <v>3.3780476509622001E-2</v>
      </c>
      <c r="G280" s="774">
        <f>'Capacity (local prices)'!G280</f>
        <v>3.4106181360167548E-2</v>
      </c>
      <c r="H280" s="774">
        <f>'Capacity (local prices)'!H280</f>
        <v>3.4435026594172122E-2</v>
      </c>
      <c r="I280" s="774">
        <f>'Capacity (local prices)'!I280</f>
        <v>3.4767042490608399E-2</v>
      </c>
      <c r="J280" s="285"/>
      <c r="K280" s="771">
        <f>'Unit costs'!I95</f>
        <v>500</v>
      </c>
      <c r="L280" s="769">
        <f t="shared" ref="L280:L294" si="85">(D280*$K280)/1000</f>
        <v>0.33138368286036113</v>
      </c>
      <c r="M280" s="769">
        <f t="shared" si="84"/>
        <v>0.1672894102635942</v>
      </c>
      <c r="N280" s="769">
        <f t="shared" si="84"/>
        <v>1.6890238254811001E-2</v>
      </c>
      <c r="O280" s="769">
        <f t="shared" si="84"/>
        <v>1.7053090680083774E-2</v>
      </c>
      <c r="P280" s="769">
        <f t="shared" si="84"/>
        <v>1.7217513297086061E-2</v>
      </c>
      <c r="Q280" s="769">
        <f t="shared" si="84"/>
        <v>1.73835212453042E-2</v>
      </c>
      <c r="R280" s="132"/>
      <c r="S280" s="132"/>
      <c r="T280" s="132"/>
      <c r="U280" s="132"/>
      <c r="V280" s="132"/>
      <c r="W280" s="132"/>
      <c r="X280" s="132"/>
      <c r="Y280" s="132"/>
      <c r="Z280" s="132"/>
      <c r="AJ280" s="281"/>
      <c r="AK280" s="281"/>
      <c r="AL280" s="281"/>
      <c r="AM280" s="281"/>
      <c r="AN280" s="281"/>
    </row>
    <row r="281" spans="1:40">
      <c r="A281" s="285"/>
      <c r="B281" s="770" t="s">
        <v>980</v>
      </c>
      <c r="C281" s="167"/>
      <c r="D281" s="774">
        <f>'Capacity (local prices)'!D281</f>
        <v>0.96136922208607589</v>
      </c>
      <c r="E281" s="774">
        <f>'Capacity (local prices)'!E281</f>
        <v>0.48502119026891632</v>
      </c>
      <c r="F281" s="774">
        <f>'Capacity (local prices)'!F281</f>
        <v>4.8999863456519119E-2</v>
      </c>
      <c r="G281" s="774">
        <f>'Capacity (local prices)'!G281</f>
        <v>4.9472310705725685E-2</v>
      </c>
      <c r="H281" s="774">
        <f>'Capacity (local prices)'!H281</f>
        <v>4.9949313200345957E-2</v>
      </c>
      <c r="I281" s="774">
        <f>'Capacity (local prices)'!I281</f>
        <v>5.043091486117917E-2</v>
      </c>
      <c r="J281" s="285"/>
      <c r="K281" s="771">
        <f>'Unit costs'!I96</f>
        <v>1367.9130279816</v>
      </c>
      <c r="L281" s="769">
        <f t="shared" si="85"/>
        <v>1.3150694835920793</v>
      </c>
      <c r="M281" s="769">
        <f t="shared" si="84"/>
        <v>0.66346680501599298</v>
      </c>
      <c r="N281" s="769">
        <f t="shared" si="84"/>
        <v>6.7027551591492013E-2</v>
      </c>
      <c r="O281" s="769">
        <f t="shared" si="84"/>
        <v>6.7673818338715747E-2</v>
      </c>
      <c r="P281" s="769">
        <f t="shared" si="84"/>
        <v>6.8326316265486534E-2</v>
      </c>
      <c r="Q281" s="769">
        <f t="shared" si="84"/>
        <v>6.8985105451637857E-2</v>
      </c>
      <c r="R281" s="132"/>
      <c r="S281" s="132"/>
      <c r="T281" s="132"/>
      <c r="U281" s="132"/>
      <c r="V281" s="132"/>
      <c r="W281" s="132"/>
      <c r="X281" s="132"/>
      <c r="Y281" s="132"/>
      <c r="Z281" s="132"/>
      <c r="AJ281" s="281"/>
      <c r="AK281" s="281"/>
      <c r="AL281" s="281"/>
      <c r="AM281" s="281"/>
      <c r="AN281" s="281"/>
    </row>
    <row r="282" spans="1:40">
      <c r="A282" s="285"/>
      <c r="B282" s="770" t="s">
        <v>981</v>
      </c>
      <c r="C282" s="167"/>
      <c r="D282" s="774">
        <f>'Capacity (local prices)'!D282</f>
        <v>1.8420627935193972</v>
      </c>
      <c r="E282" s="774">
        <f>'Capacity (local prices)'!E282</f>
        <v>1.1406686933215604</v>
      </c>
      <c r="F282" s="774">
        <f>'Capacity (local prices)'!F282</f>
        <v>0.50033585563169058</v>
      </c>
      <c r="G282" s="774">
        <f>'Capacity (local prices)'!G282</f>
        <v>0.5057349582322721</v>
      </c>
      <c r="H282" s="774">
        <f>'Capacity (local prices)'!H282</f>
        <v>0.51061115732732576</v>
      </c>
      <c r="I282" s="774">
        <f>'Capacity (local prices)'!I282</f>
        <v>0.51553437179520978</v>
      </c>
      <c r="J282" s="285"/>
      <c r="K282" s="771">
        <f>'Unit costs'!I97</f>
        <v>3042.95047870793</v>
      </c>
      <c r="L282" s="769">
        <f t="shared" si="85"/>
        <v>5.6053058593499161</v>
      </c>
      <c r="M282" s="769">
        <f t="shared" si="84"/>
        <v>3.4709983463899912</v>
      </c>
      <c r="N282" s="769">
        <f t="shared" si="84"/>
        <v>1.5224972314091947</v>
      </c>
      <c r="O282" s="769">
        <f t="shared" si="84"/>
        <v>1.5389264332522272</v>
      </c>
      <c r="P282" s="769">
        <f t="shared" si="84"/>
        <v>1.553764465622796</v>
      </c>
      <c r="Q282" s="769">
        <f t="shared" si="84"/>
        <v>1.5687455634446255</v>
      </c>
      <c r="R282" s="132"/>
      <c r="S282" s="132"/>
      <c r="T282" s="132"/>
      <c r="U282" s="132"/>
      <c r="V282" s="132"/>
      <c r="W282" s="132"/>
      <c r="X282" s="132"/>
      <c r="Y282" s="132"/>
      <c r="Z282" s="132"/>
      <c r="AJ282" s="281"/>
      <c r="AK282" s="281"/>
      <c r="AL282" s="281"/>
      <c r="AM282" s="281"/>
      <c r="AN282" s="281"/>
    </row>
    <row r="283" spans="1:40">
      <c r="A283" s="285"/>
      <c r="B283" s="770" t="s">
        <v>982</v>
      </c>
      <c r="C283" s="167"/>
      <c r="D283" s="774">
        <f>'Capacity (local prices)'!D283</f>
        <v>2.7961208349234819E-2</v>
      </c>
      <c r="E283" s="774">
        <f>'Capacity (local prices)'!E283</f>
        <v>1.4115402468298472E-2</v>
      </c>
      <c r="F283" s="774">
        <f>'Capacity (local prices)'!F283</f>
        <v>1.4251500461173671E-3</v>
      </c>
      <c r="G283" s="774">
        <f>'Capacity (local prices)'!G283</f>
        <v>2.8777821369384807E-3</v>
      </c>
      <c r="H283" s="774">
        <f>'Capacity (local prices)'!H283</f>
        <v>2.9055291582259753E-3</v>
      </c>
      <c r="I283" s="774">
        <f>'Capacity (local prices)'!I283</f>
        <v>2.9335437109504212E-3</v>
      </c>
      <c r="J283" s="285"/>
      <c r="K283" s="771">
        <f>'Unit costs'!I98</f>
        <v>1646.8726410578199</v>
      </c>
      <c r="L283" s="769">
        <f t="shared" si="85"/>
        <v>4.6048549041272306E-2</v>
      </c>
      <c r="M283" s="769">
        <f t="shared" si="84"/>
        <v>2.3246270142560775E-2</v>
      </c>
      <c r="N283" s="769">
        <f t="shared" si="84"/>
        <v>2.347040620352982E-3</v>
      </c>
      <c r="O283" s="769">
        <f t="shared" si="84"/>
        <v>4.7393406682488919E-3</v>
      </c>
      <c r="P283" s="769">
        <f t="shared" si="84"/>
        <v>4.7850364784781168E-3</v>
      </c>
      <c r="Q283" s="769">
        <f t="shared" si="84"/>
        <v>4.8311728789114782E-3</v>
      </c>
      <c r="R283" s="132"/>
      <c r="S283" s="132"/>
      <c r="T283" s="132"/>
      <c r="U283" s="132"/>
      <c r="V283" s="132"/>
      <c r="W283" s="132"/>
      <c r="X283" s="132"/>
      <c r="Y283" s="132"/>
      <c r="Z283" s="132"/>
      <c r="AJ283" s="281"/>
      <c r="AK283" s="281"/>
      <c r="AL283" s="281"/>
      <c r="AM283" s="281"/>
      <c r="AN283" s="281"/>
    </row>
    <row r="284" spans="1:40">
      <c r="A284" s="285"/>
      <c r="B284" s="770" t="s">
        <v>983</v>
      </c>
      <c r="C284" s="768"/>
      <c r="D284" s="774">
        <f>'Capacity (local prices)'!D284</f>
        <v>0.66276736572072226</v>
      </c>
      <c r="E284" s="774">
        <f>'Capacity (local prices)'!E284</f>
        <v>0.3345788205271884</v>
      </c>
      <c r="F284" s="774">
        <f>'Capacity (local prices)'!F284</f>
        <v>3.3780476509622001E-2</v>
      </c>
      <c r="G284" s="774">
        <f>'Capacity (local prices)'!G284</f>
        <v>3.4106181360167548E-2</v>
      </c>
      <c r="H284" s="774">
        <f>'Capacity (local prices)'!H284</f>
        <v>3.4435026594172122E-2</v>
      </c>
      <c r="I284" s="774">
        <f>'Capacity (local prices)'!I284</f>
        <v>3.4767042490608399E-2</v>
      </c>
      <c r="J284" s="285"/>
      <c r="K284" s="771">
        <f>'Unit costs'!I99</f>
        <v>1646.8726410578199</v>
      </c>
      <c r="L284" s="769">
        <f t="shared" si="85"/>
        <v>1.0914934419914197</v>
      </c>
      <c r="M284" s="769">
        <f t="shared" si="84"/>
        <v>0.55100870580362105</v>
      </c>
      <c r="N284" s="769">
        <f t="shared" si="84"/>
        <v>5.5632142565592832E-2</v>
      </c>
      <c r="O284" s="769">
        <f t="shared" si="84"/>
        <v>5.6168536973016117E-2</v>
      </c>
      <c r="P284" s="769">
        <f t="shared" si="84"/>
        <v>5.6710103192040506E-2</v>
      </c>
      <c r="Q284" s="769">
        <f t="shared" si="84"/>
        <v>5.7256891088277695E-2</v>
      </c>
      <c r="R284" s="132"/>
      <c r="S284" s="132"/>
      <c r="T284" s="132"/>
      <c r="U284" s="132"/>
      <c r="V284" s="132"/>
      <c r="W284" s="132"/>
      <c r="X284" s="132"/>
      <c r="Y284" s="132"/>
      <c r="Z284" s="132"/>
      <c r="AJ284" s="281"/>
      <c r="AK284" s="281"/>
      <c r="AL284" s="281"/>
      <c r="AM284" s="281"/>
      <c r="AN284" s="281"/>
    </row>
    <row r="285" spans="1:40">
      <c r="A285" s="285"/>
      <c r="B285" s="770" t="s">
        <v>984</v>
      </c>
      <c r="C285" s="768"/>
      <c r="D285" s="774">
        <f>'Capacity (local prices)'!D285</f>
        <v>2.7787536247686775E-3</v>
      </c>
      <c r="E285" s="774">
        <f>'Capacity (local prices)'!E285</f>
        <v>0.2132799321193421</v>
      </c>
      <c r="F285" s="774">
        <f>'Capacity (local prices)'!F285</f>
        <v>0.40658970197697919</v>
      </c>
      <c r="G285" s="774">
        <f>'Capacity (local prices)'!G285</f>
        <v>0.41065295698594378</v>
      </c>
      <c r="H285" s="774">
        <f>'Capacity (local prices)'!H285</f>
        <v>0.41461239373169534</v>
      </c>
      <c r="I285" s="774">
        <f>'Capacity (local prices)'!I285</f>
        <v>0.41861000660421499</v>
      </c>
      <c r="J285" s="285"/>
      <c r="K285" s="771">
        <f>'Unit costs'!I100</f>
        <v>3042.95047870793</v>
      </c>
      <c r="L285" s="769">
        <f t="shared" si="85"/>
        <v>8.455609672701243E-3</v>
      </c>
      <c r="M285" s="769">
        <f t="shared" si="84"/>
        <v>0.64900027154134687</v>
      </c>
      <c r="N285" s="769">
        <f t="shared" si="84"/>
        <v>1.2372323282685633</v>
      </c>
      <c r="O285" s="769">
        <f t="shared" si="84"/>
        <v>1.2495966120432047</v>
      </c>
      <c r="P285" s="769">
        <f t="shared" si="84"/>
        <v>1.2616449819841029</v>
      </c>
      <c r="Q285" s="769">
        <f t="shared" si="84"/>
        <v>1.2738095199882258</v>
      </c>
      <c r="R285" s="132"/>
      <c r="S285" s="132"/>
      <c r="T285" s="132"/>
      <c r="U285" s="132"/>
      <c r="V285" s="132"/>
      <c r="W285" s="132"/>
      <c r="X285" s="132"/>
      <c r="Y285" s="132"/>
      <c r="Z285" s="132"/>
      <c r="AJ285" s="281"/>
      <c r="AK285" s="281"/>
      <c r="AL285" s="281"/>
      <c r="AM285" s="281"/>
      <c r="AN285" s="281"/>
    </row>
    <row r="286" spans="1:40">
      <c r="A286" s="285"/>
      <c r="B286" s="770" t="s">
        <v>985</v>
      </c>
      <c r="C286" s="768"/>
      <c r="D286" s="774">
        <f>'Capacity (local prices)'!D286</f>
        <v>0.60782746782727215</v>
      </c>
      <c r="E286" s="774">
        <f>'Capacity (local prices)'!E286</f>
        <v>0.3065459223770029</v>
      </c>
      <c r="F286" s="774">
        <f>'Capacity (local prices)'!F286</f>
        <v>3.0980254250319084E-2</v>
      </c>
      <c r="G286" s="774">
        <f>'Capacity (local prices)'!G286</f>
        <v>3.2574855579767081E-2</v>
      </c>
      <c r="H286" s="774">
        <f>'Capacity (local prices)'!H286</f>
        <v>3.2888936065432479E-2</v>
      </c>
      <c r="I286" s="774">
        <f>'Capacity (local prices)'!I286</f>
        <v>3.3206044854668847E-2</v>
      </c>
      <c r="J286" s="285"/>
      <c r="K286" s="771">
        <f>'Unit costs'!I101</f>
        <v>1446.1927509279799</v>
      </c>
      <c r="L286" s="769">
        <f t="shared" si="85"/>
        <v>0.87903567778671099</v>
      </c>
      <c r="M286" s="769">
        <f t="shared" si="84"/>
        <v>0.44332449076815283</v>
      </c>
      <c r="N286" s="769">
        <f t="shared" si="84"/>
        <v>4.4803419118717193E-2</v>
      </c>
      <c r="O286" s="769">
        <f t="shared" si="84"/>
        <v>4.7109520001985011E-2</v>
      </c>
      <c r="P286" s="769">
        <f t="shared" si="84"/>
        <v>4.7563740923562248E-2</v>
      </c>
      <c r="Q286" s="769">
        <f t="shared" si="84"/>
        <v>4.8022341355811432E-2</v>
      </c>
      <c r="R286" s="132"/>
      <c r="S286" s="132"/>
      <c r="T286" s="132"/>
      <c r="U286" s="132"/>
      <c r="V286" s="132"/>
      <c r="W286" s="132"/>
      <c r="X286" s="132"/>
      <c r="Y286" s="132"/>
      <c r="Z286" s="132"/>
      <c r="AJ286" s="281"/>
      <c r="AK286" s="281"/>
      <c r="AL286" s="281"/>
      <c r="AM286" s="281"/>
      <c r="AN286" s="281"/>
    </row>
    <row r="287" spans="1:40">
      <c r="A287" s="285"/>
      <c r="B287" s="770" t="s">
        <v>986</v>
      </c>
      <c r="C287" s="768"/>
      <c r="D287" s="774">
        <f>'Capacity (local prices)'!D287</f>
        <v>0.85774486816241069</v>
      </c>
      <c r="E287" s="774">
        <f>'Capacity (local prices)'!E287</f>
        <v>0.43300753951720283</v>
      </c>
      <c r="F287" s="774">
        <f>'Capacity (local prices)'!F287</f>
        <v>4.3718251484365728E-2</v>
      </c>
      <c r="G287" s="774">
        <f>'Capacity (local prices)'!G287</f>
        <v>4.4428744289745511E-2</v>
      </c>
      <c r="H287" s="774">
        <f>'Capacity (local prices)'!H287</f>
        <v>4.4857117688051368E-2</v>
      </c>
      <c r="I287" s="774">
        <f>'Capacity (local prices)'!I287</f>
        <v>4.5289621380186357E-2</v>
      </c>
      <c r="J287" s="285"/>
      <c r="K287" s="771">
        <f>'Unit costs'!I102</f>
        <v>2096.0919460178702</v>
      </c>
      <c r="L287" s="769">
        <f t="shared" si="85"/>
        <v>1.797912109893389</v>
      </c>
      <c r="M287" s="769">
        <f t="shared" si="84"/>
        <v>0.90762361614702358</v>
      </c>
      <c r="N287" s="769">
        <f t="shared" si="84"/>
        <v>9.1637474830362803E-2</v>
      </c>
      <c r="O287" s="769">
        <f t="shared" si="84"/>
        <v>9.3126733077423016E-2</v>
      </c>
      <c r="P287" s="769">
        <f t="shared" si="84"/>
        <v>9.4024643107500222E-2</v>
      </c>
      <c r="Q287" s="769">
        <f t="shared" si="84"/>
        <v>9.4931210613207362E-2</v>
      </c>
      <c r="R287" s="132"/>
      <c r="S287" s="132"/>
      <c r="T287" s="132"/>
      <c r="U287" s="132"/>
      <c r="V287" s="132"/>
      <c r="W287" s="132"/>
      <c r="X287" s="132"/>
      <c r="Y287" s="132"/>
      <c r="Z287" s="132"/>
      <c r="AJ287" s="281"/>
      <c r="AK287" s="281"/>
      <c r="AL287" s="281"/>
      <c r="AM287" s="281"/>
      <c r="AN287" s="281"/>
    </row>
    <row r="288" spans="1:40">
      <c r="A288" s="285"/>
      <c r="B288" s="770" t="s">
        <v>987</v>
      </c>
      <c r="C288" s="167"/>
      <c r="D288" s="774">
        <f>'Capacity (local prices)'!D288</f>
        <v>0.18936210449163493</v>
      </c>
      <c r="E288" s="774">
        <f>'Capacity (local prices)'!E288</f>
        <v>9.5593948722053831E-2</v>
      </c>
      <c r="F288" s="774">
        <f>'Capacity (local prices)'!F288</f>
        <v>9.6515647170348565E-3</v>
      </c>
      <c r="G288" s="774">
        <f>'Capacity (local prices)'!G288</f>
        <v>9.7446232457621563E-3</v>
      </c>
      <c r="H288" s="774">
        <f>'Capacity (local prices)'!H288</f>
        <v>9.838579026906321E-3</v>
      </c>
      <c r="I288" s="774">
        <f>'Capacity (local prices)'!I288</f>
        <v>9.9334407116024002E-3</v>
      </c>
      <c r="J288" s="285"/>
      <c r="K288" s="771">
        <f>'Unit costs'!I103</f>
        <v>1708.9664199777201</v>
      </c>
      <c r="L288" s="769">
        <f t="shared" si="85"/>
        <v>0.32361347779251626</v>
      </c>
      <c r="M288" s="769">
        <f t="shared" si="84"/>
        <v>0.16336684831906209</v>
      </c>
      <c r="N288" s="769">
        <f t="shared" si="84"/>
        <v>1.6494200001654333E-2</v>
      </c>
      <c r="O288" s="769">
        <f t="shared" si="84"/>
        <v>1.6653233902341826E-2</v>
      </c>
      <c r="P288" s="769">
        <f t="shared" si="84"/>
        <v>1.6813801177279979E-2</v>
      </c>
      <c r="Q288" s="769">
        <f t="shared" si="84"/>
        <v>1.6975916610968093E-2</v>
      </c>
      <c r="R288" s="132"/>
      <c r="S288" s="132"/>
      <c r="T288" s="132"/>
      <c r="U288" s="132"/>
      <c r="V288" s="132"/>
      <c r="W288" s="132"/>
      <c r="X288" s="132"/>
      <c r="Y288" s="132"/>
      <c r="Z288" s="132"/>
      <c r="AJ288" s="281"/>
      <c r="AK288" s="281"/>
      <c r="AL288" s="281"/>
      <c r="AM288" s="281"/>
      <c r="AN288" s="281"/>
    </row>
    <row r="289" spans="1:40">
      <c r="A289" s="285"/>
      <c r="B289" s="770" t="s">
        <v>988</v>
      </c>
      <c r="C289" s="768"/>
      <c r="D289" s="774">
        <f>'Capacity (local prices)'!D289</f>
        <v>1.5148968359330794</v>
      </c>
      <c r="E289" s="774">
        <f>'Capacity (local prices)'!E289</f>
        <v>0.76475158977643065</v>
      </c>
      <c r="F289" s="774">
        <f>'Capacity (local prices)'!F289</f>
        <v>7.7212517736278852E-2</v>
      </c>
      <c r="G289" s="774">
        <f>'Capacity (local prices)'!G289</f>
        <v>7.795698596609725E-2</v>
      </c>
      <c r="H289" s="774">
        <f>'Capacity (local prices)'!H289</f>
        <v>7.8708632215250568E-2</v>
      </c>
      <c r="I289" s="774">
        <f>'Capacity (local prices)'!I289</f>
        <v>7.9467525692819202E-2</v>
      </c>
      <c r="J289" s="285"/>
      <c r="K289" s="771">
        <f>'Unit costs'!I104</f>
        <v>4776.7544023333303</v>
      </c>
      <c r="L289" s="769">
        <f t="shared" si="85"/>
        <v>7.2362901301241696</v>
      </c>
      <c r="M289" s="769">
        <f t="shared" si="84"/>
        <v>3.6530305231559783</v>
      </c>
      <c r="N289" s="769">
        <f t="shared" si="84"/>
        <v>0.36882523401201034</v>
      </c>
      <c r="O289" s="769">
        <f t="shared" si="84"/>
        <v>0.37238137590619269</v>
      </c>
      <c r="P289" s="769">
        <f t="shared" si="84"/>
        <v>0.37597180543583314</v>
      </c>
      <c r="Q289" s="769">
        <f t="shared" si="84"/>
        <v>0.37959685319571118</v>
      </c>
      <c r="R289" s="132"/>
      <c r="S289" s="132"/>
      <c r="T289" s="132"/>
      <c r="U289" s="132"/>
      <c r="V289" s="132"/>
      <c r="W289" s="132"/>
      <c r="X289" s="132"/>
      <c r="Y289" s="132"/>
      <c r="Z289" s="132"/>
      <c r="AJ289" s="281"/>
      <c r="AK289" s="281"/>
      <c r="AL289" s="281"/>
      <c r="AM289" s="281"/>
      <c r="AN289" s="281"/>
    </row>
    <row r="290" spans="1:40">
      <c r="A290" s="285"/>
      <c r="B290" s="770" t="s">
        <v>989</v>
      </c>
      <c r="C290" s="768"/>
      <c r="D290" s="774">
        <f>'Capacity (local prices)'!D290</f>
        <v>0</v>
      </c>
      <c r="E290" s="774">
        <f>'Capacity (local prices)'!E290</f>
        <v>0</v>
      </c>
      <c r="F290" s="774">
        <f>'Capacity (local prices)'!F290</f>
        <v>0</v>
      </c>
      <c r="G290" s="774">
        <f>'Capacity (local prices)'!G290</f>
        <v>0</v>
      </c>
      <c r="H290" s="774">
        <f>'Capacity (local prices)'!H290</f>
        <v>0</v>
      </c>
      <c r="I290" s="774">
        <f>'Capacity (local prices)'!I290</f>
        <v>0</v>
      </c>
      <c r="J290" s="285"/>
      <c r="K290" s="771">
        <f>'Unit costs'!I105</f>
        <v>2067.7607702733699</v>
      </c>
      <c r="L290" s="769">
        <f t="shared" si="85"/>
        <v>0</v>
      </c>
      <c r="M290" s="769">
        <f t="shared" si="84"/>
        <v>0</v>
      </c>
      <c r="N290" s="769">
        <f t="shared" si="84"/>
        <v>0</v>
      </c>
      <c r="O290" s="769">
        <f t="shared" si="84"/>
        <v>0</v>
      </c>
      <c r="P290" s="769">
        <f t="shared" si="84"/>
        <v>0</v>
      </c>
      <c r="Q290" s="769">
        <f t="shared" si="84"/>
        <v>0</v>
      </c>
      <c r="R290" s="132"/>
      <c r="S290" s="132"/>
      <c r="T290" s="132"/>
      <c r="U290" s="132"/>
      <c r="V290" s="132"/>
      <c r="W290" s="132"/>
      <c r="X290" s="132"/>
      <c r="Y290" s="132"/>
      <c r="Z290" s="132"/>
      <c r="AJ290" s="281"/>
      <c r="AK290" s="281"/>
      <c r="AL290" s="281"/>
      <c r="AM290" s="281"/>
      <c r="AN290" s="281"/>
    </row>
    <row r="291" spans="1:40">
      <c r="A291" s="285"/>
      <c r="B291" s="770" t="s">
        <v>990</v>
      </c>
      <c r="C291" s="768"/>
      <c r="D291" s="774">
        <f>'Capacity (local prices)'!D291</f>
        <v>2.2280291111027344</v>
      </c>
      <c r="E291" s="774">
        <f>'Capacity (local prices)'!E291</f>
        <v>1.1247556694080076</v>
      </c>
      <c r="F291" s="774">
        <f>'Capacity (local prices)'!F291</f>
        <v>0.11356003470164022</v>
      </c>
      <c r="G291" s="774">
        <f>'Capacity (local prices)'!G291</f>
        <v>0.11724675005739624</v>
      </c>
      <c r="H291" s="774">
        <f>'Capacity (local prices)'!H291</f>
        <v>0.11837722064722103</v>
      </c>
      <c r="I291" s="774">
        <f>'Capacity (local prices)'!I291</f>
        <v>0.11951859101681656</v>
      </c>
      <c r="J291" s="285"/>
      <c r="K291" s="771">
        <f>'Unit costs'!I106</f>
        <v>1708.9664199777201</v>
      </c>
      <c r="L291" s="769">
        <f t="shared" si="85"/>
        <v>3.807626933607382</v>
      </c>
      <c r="M291" s="769">
        <f t="shared" si="84"/>
        <v>1.9221696696978468</v>
      </c>
      <c r="N291" s="769">
        <f t="shared" si="84"/>
        <v>0.19407028595660777</v>
      </c>
      <c r="O291" s="769">
        <f t="shared" si="84"/>
        <v>0.20037075869961099</v>
      </c>
      <c r="P291" s="769">
        <f t="shared" si="84"/>
        <v>0.20230269497639397</v>
      </c>
      <c r="Q291" s="769">
        <f t="shared" si="84"/>
        <v>0.20425325861079027</v>
      </c>
      <c r="R291" s="132"/>
      <c r="S291" s="132"/>
      <c r="T291" s="132"/>
      <c r="U291" s="132"/>
      <c r="V291" s="132"/>
      <c r="W291" s="132"/>
      <c r="X291" s="132"/>
      <c r="Y291" s="132"/>
      <c r="Z291" s="132"/>
      <c r="AJ291" s="281"/>
      <c r="AK291" s="281"/>
      <c r="AL291" s="281"/>
      <c r="AM291" s="281"/>
      <c r="AN291" s="281"/>
    </row>
    <row r="292" spans="1:40">
      <c r="A292" s="285"/>
      <c r="B292" s="770" t="s">
        <v>991</v>
      </c>
      <c r="C292" s="768"/>
      <c r="D292" s="774">
        <f>'Capacity (local prices)'!D292</f>
        <v>0</v>
      </c>
      <c r="E292" s="774">
        <f>'Capacity (local prices)'!E292</f>
        <v>0</v>
      </c>
      <c r="F292" s="774">
        <f>'Capacity (local prices)'!F292</f>
        <v>0</v>
      </c>
      <c r="G292" s="774">
        <f>'Capacity (local prices)'!G292</f>
        <v>0</v>
      </c>
      <c r="H292" s="774">
        <f>'Capacity (local prices)'!H292</f>
        <v>0</v>
      </c>
      <c r="I292" s="774">
        <f>'Capacity (local prices)'!I292</f>
        <v>0</v>
      </c>
      <c r="J292" s="285"/>
      <c r="K292" s="771">
        <f>'Unit costs'!I107</f>
        <v>500</v>
      </c>
      <c r="L292" s="769">
        <f t="shared" si="85"/>
        <v>0</v>
      </c>
      <c r="M292" s="769">
        <f t="shared" si="84"/>
        <v>0</v>
      </c>
      <c r="N292" s="769">
        <f t="shared" si="84"/>
        <v>0</v>
      </c>
      <c r="O292" s="769">
        <f t="shared" si="84"/>
        <v>0</v>
      </c>
      <c r="P292" s="769">
        <f t="shared" si="84"/>
        <v>0</v>
      </c>
      <c r="Q292" s="769">
        <f t="shared" si="84"/>
        <v>0</v>
      </c>
      <c r="R292" s="132"/>
      <c r="S292" s="132"/>
      <c r="T292" s="132"/>
      <c r="U292" s="132"/>
      <c r="V292" s="132"/>
      <c r="W292" s="132"/>
      <c r="X292" s="132"/>
      <c r="Y292" s="132"/>
      <c r="Z292" s="132"/>
      <c r="AJ292" s="281"/>
      <c r="AK292" s="281"/>
      <c r="AL292" s="281"/>
      <c r="AM292" s="281"/>
      <c r="AN292" s="281"/>
    </row>
    <row r="293" spans="1:40">
      <c r="A293" s="285"/>
      <c r="B293" s="770" t="s">
        <v>992</v>
      </c>
      <c r="C293" s="167"/>
      <c r="D293" s="774">
        <f>'Capacity (local prices)'!D293</f>
        <v>0</v>
      </c>
      <c r="E293" s="774">
        <f>'Capacity (local prices)'!E293</f>
        <v>0</v>
      </c>
      <c r="F293" s="774">
        <f>'Capacity (local prices)'!F293</f>
        <v>0</v>
      </c>
      <c r="G293" s="774">
        <f>'Capacity (local prices)'!G293</f>
        <v>0</v>
      </c>
      <c r="H293" s="774">
        <f>'Capacity (local prices)'!H293</f>
        <v>0</v>
      </c>
      <c r="I293" s="774">
        <f>'Capacity (local prices)'!I293</f>
        <v>0</v>
      </c>
      <c r="J293" s="285"/>
      <c r="K293" s="771">
        <f>'Unit costs'!I108</f>
        <v>1789.0053793796999</v>
      </c>
      <c r="L293" s="769">
        <f t="shared" si="85"/>
        <v>0</v>
      </c>
      <c r="M293" s="769">
        <f t="shared" si="84"/>
        <v>0</v>
      </c>
      <c r="N293" s="769">
        <f t="shared" si="84"/>
        <v>0</v>
      </c>
      <c r="O293" s="769">
        <f t="shared" si="84"/>
        <v>0</v>
      </c>
      <c r="P293" s="769">
        <f t="shared" si="84"/>
        <v>0</v>
      </c>
      <c r="Q293" s="769">
        <f t="shared" si="84"/>
        <v>0</v>
      </c>
      <c r="R293" s="132"/>
      <c r="S293" s="132"/>
      <c r="T293" s="132"/>
      <c r="U293" s="132"/>
      <c r="V293" s="132"/>
      <c r="W293" s="132"/>
      <c r="X293" s="132"/>
      <c r="Y293" s="132"/>
      <c r="Z293" s="132"/>
      <c r="AJ293" s="281"/>
      <c r="AK293" s="281"/>
      <c r="AL293" s="281"/>
      <c r="AM293" s="281"/>
      <c r="AN293" s="281"/>
    </row>
    <row r="294" spans="1:40">
      <c r="A294" s="285"/>
      <c r="B294" s="770" t="s">
        <v>993</v>
      </c>
      <c r="C294" s="167"/>
      <c r="D294" s="774">
        <f>'Capacity (local prices)'!D294</f>
        <v>0</v>
      </c>
      <c r="E294" s="774">
        <f>'Capacity (local prices)'!E294</f>
        <v>0</v>
      </c>
      <c r="F294" s="774">
        <f>'Capacity (local prices)'!F294</f>
        <v>0</v>
      </c>
      <c r="G294" s="774">
        <f>'Capacity (local prices)'!G294</f>
        <v>0</v>
      </c>
      <c r="H294" s="774">
        <f>'Capacity (local prices)'!H294</f>
        <v>0</v>
      </c>
      <c r="I294" s="774">
        <f>'Capacity (local prices)'!I294</f>
        <v>0</v>
      </c>
      <c r="J294" s="285"/>
      <c r="K294" s="771">
        <f>'Unit costs'!I109</f>
        <v>5779.960422625295</v>
      </c>
      <c r="L294" s="769">
        <f t="shared" si="85"/>
        <v>0</v>
      </c>
      <c r="M294" s="769">
        <f t="shared" si="84"/>
        <v>0</v>
      </c>
      <c r="N294" s="769">
        <f t="shared" si="84"/>
        <v>0</v>
      </c>
      <c r="O294" s="769">
        <f t="shared" si="84"/>
        <v>0</v>
      </c>
      <c r="P294" s="769">
        <f t="shared" si="84"/>
        <v>0</v>
      </c>
      <c r="Q294" s="769">
        <f t="shared" si="84"/>
        <v>0</v>
      </c>
      <c r="R294" s="132"/>
      <c r="S294" s="132"/>
      <c r="T294" s="132"/>
      <c r="U294" s="132"/>
      <c r="V294" s="132"/>
      <c r="W294" s="132"/>
      <c r="X294" s="132"/>
      <c r="Y294" s="132"/>
      <c r="Z294" s="132"/>
      <c r="AJ294" s="281"/>
      <c r="AK294" s="281"/>
      <c r="AL294" s="281"/>
      <c r="AM294" s="281"/>
      <c r="AN294" s="281"/>
    </row>
    <row r="295" spans="1:40">
      <c r="A295" s="285"/>
      <c r="B295" s="275"/>
      <c r="C295" s="207"/>
      <c r="D295" s="184">
        <f t="shared" ref="D295:I295" si="86">SUM(D279:D294)</f>
        <v>10.225949860208829</v>
      </c>
      <c r="E295" s="184">
        <f t="shared" si="86"/>
        <v>5.7961882790315791</v>
      </c>
      <c r="F295" s="184">
        <f t="shared" si="86"/>
        <v>1.7405489059462509</v>
      </c>
      <c r="G295" s="184">
        <f t="shared" si="86"/>
        <v>1.7639534171785378</v>
      </c>
      <c r="H295" s="184">
        <f t="shared" si="86"/>
        <v>1.7809611164023129</v>
      </c>
      <c r="I295" s="184">
        <f t="shared" si="86"/>
        <v>1.7981328005874073</v>
      </c>
      <c r="J295" s="285"/>
      <c r="K295" s="285"/>
      <c r="L295" s="287">
        <f t="shared" ref="L295:Q295" si="87">SUM(L279:L294)</f>
        <v>23.637975315403601</v>
      </c>
      <c r="M295" s="287">
        <f t="shared" si="87"/>
        <v>13.597209063835795</v>
      </c>
      <c r="N295" s="287">
        <f t="shared" si="87"/>
        <v>4.4055404200442361</v>
      </c>
      <c r="O295" s="287">
        <f t="shared" si="87"/>
        <v>4.4599982427473872</v>
      </c>
      <c r="P295" s="287">
        <f t="shared" si="87"/>
        <v>4.5030006870934196</v>
      </c>
      <c r="Q295" s="287">
        <f t="shared" si="87"/>
        <v>4.5464177527283134</v>
      </c>
      <c r="R295" s="132"/>
      <c r="S295" s="132"/>
      <c r="T295" s="132"/>
      <c r="U295" s="132"/>
      <c r="V295" s="132"/>
      <c r="W295" s="132"/>
      <c r="X295" s="132"/>
      <c r="Y295" s="132"/>
      <c r="Z295" s="132"/>
      <c r="AJ295" s="281"/>
      <c r="AK295" s="281"/>
      <c r="AL295" s="281"/>
      <c r="AM295" s="281"/>
      <c r="AN295" s="281"/>
    </row>
    <row r="296" spans="1:40">
      <c r="A296" s="285"/>
      <c r="B296" s="289"/>
      <c r="C296" s="207"/>
      <c r="D296" s="280" t="s">
        <v>846</v>
      </c>
      <c r="E296" s="184">
        <f>E295-$D$295</f>
        <v>-4.4297615811772495</v>
      </c>
      <c r="F296" s="184">
        <f>F295-$D$295</f>
        <v>-8.4854009542625768</v>
      </c>
      <c r="G296" s="184">
        <f>G295-$D$295</f>
        <v>-8.4619964430302907</v>
      </c>
      <c r="H296" s="184">
        <f>H295-$D$295</f>
        <v>-8.4449887438065154</v>
      </c>
      <c r="I296" s="184">
        <f>I295-$D$295</f>
        <v>-8.4278170596214217</v>
      </c>
      <c r="J296" s="285"/>
      <c r="K296" s="285"/>
      <c r="L296" s="507"/>
      <c r="M296" s="287">
        <f>M295-$L$295</f>
        <v>-10.040766251567806</v>
      </c>
      <c r="N296" s="287">
        <f t="shared" ref="N296:Q296" si="88">N295-$L$295</f>
        <v>-19.232434895359365</v>
      </c>
      <c r="O296" s="287">
        <f t="shared" si="88"/>
        <v>-19.177977072656212</v>
      </c>
      <c r="P296" s="287">
        <f t="shared" si="88"/>
        <v>-19.134974628310182</v>
      </c>
      <c r="Q296" s="287">
        <f t="shared" si="88"/>
        <v>-19.091557562675288</v>
      </c>
    </row>
    <row r="297" spans="1:40">
      <c r="A297" s="285"/>
      <c r="B297" s="285"/>
      <c r="C297" s="285"/>
      <c r="D297" s="285"/>
      <c r="E297" s="285"/>
      <c r="F297" s="285"/>
      <c r="G297" s="285"/>
      <c r="H297" s="285"/>
      <c r="I297" s="285"/>
      <c r="J297" s="285"/>
      <c r="K297" s="285"/>
      <c r="L297" s="285"/>
      <c r="M297" s="285"/>
      <c r="N297" s="285"/>
      <c r="O297" s="285"/>
      <c r="P297" s="285"/>
      <c r="Q297" s="285"/>
    </row>
    <row r="298" spans="1:40">
      <c r="B298"/>
    </row>
    <row r="299" spans="1:40">
      <c r="B299"/>
    </row>
    <row r="300" spans="1:40">
      <c r="B300"/>
    </row>
    <row r="301" spans="1:40">
      <c r="B301"/>
    </row>
  </sheetData>
  <sheetProtection algorithmName="SHA-512" hashValue="YrQ6HLGiawF09RUa2UULRopaVtCLLz8LnBZXlRSv+a9nqibsndM2v7Q8PiXggsnzPE5JiPR05JxDhCuobu/iCw==" saltValue="ZfFwD9m4coHAdY+/ozo8/w==" spinCount="100000" sheet="1" objects="1" scenarios="1"/>
  <protectedRanges>
    <protectedRange sqref="B274:B294" name="Range1_5"/>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2006/documentManagement/types"/>
    <ds:schemaRef ds:uri="0eb656aa-4e79-4e95-9076-bc119a23e0cc"/>
    <ds:schemaRef ds:uri="http://purl.org/dc/terms/"/>
    <ds:schemaRef ds:uri="http://www.w3.org/XML/1998/namespace"/>
    <ds:schemaRef ds:uri="http://purl.org/dc/dcmitype/"/>
    <ds:schemaRef ds:uri="http://purl.org/dc/elements/1.1/"/>
    <ds:schemaRef ds:uri="acaf4567-dc07-471f-892c-2bcb86ef35ae"/>
    <ds:schemaRef ds:uri="http://schemas.microsoft.com/office/infopath/2007/PartnerControls"/>
    <ds:schemaRef ds:uri="c1f338ac-e338-414f-952c-f74dcc6d59e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TA1039 Selpercatinib for advanced thyroid cancer with RET alterations untreated with a targeted cancer drug in people 12 years and over: resource impact template 12/02/2025</dc:title>
  <dc:subject/>
  <dc:creator/>
  <cp:keywords/>
  <dc:description/>
  <cp:lastModifiedBy/>
  <cp:revision/>
  <dcterms:created xsi:type="dcterms:W3CDTF">2022-07-27T12:38:28Z</dcterms:created>
  <dcterms:modified xsi:type="dcterms:W3CDTF">2025-02-07T14:14:43Z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