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13_ncr:1_{5C1DA8CE-6877-4CF2-B22B-F1BC776BF0A7}" xr6:coauthVersionLast="47" xr6:coauthVersionMax="47" xr10:uidLastSave="{00000000-0000-0000-0000-000000000000}"/>
  <bookViews>
    <workbookView xWindow="-110" yWindow="-110" windowWidth="19420" windowHeight="10420" tabRatio="909" firstSheet="1" activeTab="1" xr2:uid="{00000000-000D-0000-FFFF-FFFF00000000}"/>
  </bookViews>
  <sheets>
    <sheet name="Population selection" sheetId="32" state="hidden" r:id="rId1"/>
    <sheet name="Cover" sheetId="38" r:id="rId2"/>
    <sheet name="Contents" sheetId="54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0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1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prices)'!$B$1:$S$150</definedName>
    <definedName name="_xlnm.Print_Area" localSheetId="8">'Capacity (national prices)'!$B$1:$S$148</definedName>
    <definedName name="_xlnm.Print_Area" localSheetId="2">Contents!$A$1:$P$29</definedName>
    <definedName name="_xlnm.Print_Area" localSheetId="1">Cover!$A$1:$P$30</definedName>
    <definedName name="_xlnm.Print_Area" localSheetId="6">'Financial impact (cash)'!$B$1:$J$26</definedName>
    <definedName name="_xlnm.Print_Area" localSheetId="3">'Inputs and eligible population'!$A$2:$S$119</definedName>
    <definedName name="_xlnm.Print_Area" localSheetId="0">'Population selection'!$B$11:$J$17</definedName>
    <definedName name="_xlnm.Print_Area" localSheetId="5">Summary!$B$1:$K$67</definedName>
    <definedName name="_xlnm.Print_Area" localSheetId="4">'Unit costs'!$B$1:$U$59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0" i="56" l="1"/>
  <c r="K141" i="56"/>
  <c r="K142" i="56"/>
  <c r="K143" i="56"/>
  <c r="K144" i="56"/>
  <c r="K145" i="56"/>
  <c r="K139" i="56"/>
  <c r="P10" i="21"/>
  <c r="P9" i="21"/>
  <c r="Q92" i="46" l="1"/>
  <c r="R14" i="21" l="1"/>
  <c r="T14" i="21" s="1"/>
  <c r="C56" i="56" l="1"/>
  <c r="C55" i="56"/>
  <c r="C54" i="56"/>
  <c r="C53" i="56"/>
  <c r="C58" i="46"/>
  <c r="C57" i="46"/>
  <c r="C56" i="46"/>
  <c r="C55" i="46"/>
  <c r="R9" i="21" l="1"/>
  <c r="L52" i="21" l="1"/>
  <c r="L53" i="21"/>
  <c r="L54" i="21"/>
  <c r="K38" i="56" l="1"/>
  <c r="K39" i="56"/>
  <c r="K37" i="56"/>
  <c r="L50" i="21" l="1"/>
  <c r="L51" i="21"/>
  <c r="L49" i="21"/>
  <c r="D23" i="21"/>
  <c r="D21" i="21"/>
  <c r="S15" i="21"/>
  <c r="S14" i="21"/>
  <c r="R15" i="21"/>
  <c r="N15" i="21"/>
  <c r="L15" i="21"/>
  <c r="H15" i="21"/>
  <c r="H14" i="21"/>
  <c r="N10" i="21"/>
  <c r="O10" i="21" s="1"/>
  <c r="S10" i="21"/>
  <c r="R10" i="21"/>
  <c r="H10" i="21"/>
  <c r="F69" i="50"/>
  <c r="G69" i="50"/>
  <c r="H69" i="50"/>
  <c r="I69" i="50"/>
  <c r="J69" i="50"/>
  <c r="E69" i="50"/>
  <c r="K51" i="50"/>
  <c r="K52" i="50"/>
  <c r="K94" i="50"/>
  <c r="K92" i="50"/>
  <c r="K90" i="50"/>
  <c r="K88" i="50"/>
  <c r="K86" i="50"/>
  <c r="K85" i="50"/>
  <c r="K84" i="50"/>
  <c r="K83" i="50"/>
  <c r="K82" i="50"/>
  <c r="K80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L14" i="21"/>
  <c r="N14" i="21"/>
  <c r="N9" i="21"/>
  <c r="S9" i="21"/>
  <c r="O15" i="21" l="1"/>
  <c r="P15" i="21" s="1"/>
  <c r="T15" i="21" s="1"/>
  <c r="T10" i="21"/>
  <c r="H25" i="57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I22" i="57"/>
  <c r="K22" i="57" s="1"/>
  <c r="G22" i="57"/>
  <c r="F22" i="57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I19" i="57"/>
  <c r="K19" i="57" s="1"/>
  <c r="H26" i="57"/>
  <c r="G26" i="57"/>
  <c r="I26" i="57" s="1"/>
  <c r="K26" i="57" s="1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O14" i="21"/>
  <c r="O9" i="21"/>
  <c r="H27" i="57" l="1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P14" i="21"/>
  <c r="T16" i="21" s="1"/>
  <c r="H9" i="21"/>
  <c r="F19" i="50"/>
  <c r="B13" i="46"/>
  <c r="G13" i="50"/>
  <c r="G42" i="50"/>
  <c r="T9" i="21" l="1"/>
  <c r="T11" i="21" s="1"/>
  <c r="G39" i="50"/>
  <c r="L45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142" i="46"/>
  <c r="K143" i="46"/>
  <c r="K144" i="46"/>
  <c r="K145" i="46"/>
  <c r="K146" i="46"/>
  <c r="K147" i="46"/>
  <c r="K141" i="46"/>
  <c r="K47" i="56"/>
  <c r="K46" i="56"/>
  <c r="K31" i="56"/>
  <c r="K30" i="56"/>
  <c r="K29" i="56"/>
  <c r="B1" i="56"/>
  <c r="B1" i="46"/>
  <c r="B1" i="42"/>
  <c r="B1" i="47"/>
  <c r="B1" i="21"/>
  <c r="C45" i="50" l="1"/>
  <c r="C6" i="47" l="1"/>
  <c r="F16" i="50"/>
  <c r="F18" i="50"/>
  <c r="C31" i="56"/>
  <c r="C30" i="56"/>
  <c r="C29" i="56"/>
  <c r="C33" i="46"/>
  <c r="C32" i="46"/>
  <c r="C31" i="46"/>
  <c r="C41" i="46"/>
  <c r="C40" i="46"/>
  <c r="C37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8" i="56" l="1"/>
  <c r="C39" i="46"/>
  <c r="C39" i="56"/>
  <c r="B12" i="56"/>
  <c r="B14" i="46"/>
  <c r="C132" i="56" l="1"/>
  <c r="K132" i="56" s="1"/>
  <c r="C131" i="56"/>
  <c r="K131" i="56" s="1"/>
  <c r="C130" i="56"/>
  <c r="K130" i="56" s="1"/>
  <c r="C116" i="56"/>
  <c r="C115" i="56"/>
  <c r="C114" i="56"/>
  <c r="C99" i="56"/>
  <c r="K99" i="56" s="1"/>
  <c r="C98" i="56"/>
  <c r="K98" i="56" s="1"/>
  <c r="C97" i="56"/>
  <c r="K97" i="56" s="1"/>
  <c r="C90" i="56"/>
  <c r="C89" i="56"/>
  <c r="C88" i="56"/>
  <c r="C81" i="56"/>
  <c r="C73" i="56"/>
  <c r="C72" i="56"/>
  <c r="C71" i="56"/>
  <c r="C65" i="56"/>
  <c r="C64" i="56"/>
  <c r="C63" i="56"/>
  <c r="C134" i="46"/>
  <c r="C133" i="46"/>
  <c r="C132" i="46"/>
  <c r="C126" i="46"/>
  <c r="C125" i="46"/>
  <c r="C124" i="46"/>
  <c r="C118" i="46"/>
  <c r="C117" i="46"/>
  <c r="C116" i="46"/>
  <c r="C110" i="46"/>
  <c r="C109" i="46"/>
  <c r="C108" i="46"/>
  <c r="C101" i="46"/>
  <c r="C100" i="46"/>
  <c r="C99" i="46"/>
  <c r="C92" i="46"/>
  <c r="C91" i="46"/>
  <c r="C90" i="46"/>
  <c r="C83" i="46"/>
  <c r="C82" i="46"/>
  <c r="C81" i="46"/>
  <c r="C75" i="46"/>
  <c r="C74" i="46"/>
  <c r="C73" i="46"/>
  <c r="C67" i="46"/>
  <c r="C66" i="46"/>
  <c r="C65" i="46"/>
  <c r="K133" i="56" l="1"/>
  <c r="K100" i="56"/>
  <c r="K118" i="46" l="1"/>
  <c r="K117" i="46"/>
  <c r="K116" i="46"/>
  <c r="N49" i="21"/>
  <c r="O49" i="21"/>
  <c r="N50" i="21"/>
  <c r="O50" i="21"/>
  <c r="N51" i="21"/>
  <c r="O51" i="21"/>
  <c r="N52" i="21"/>
  <c r="O52" i="21"/>
  <c r="N53" i="21"/>
  <c r="O53" i="21"/>
  <c r="N54" i="21"/>
  <c r="O54" i="21"/>
  <c r="N55" i="21"/>
  <c r="O55" i="21"/>
  <c r="M50" i="21"/>
  <c r="M51" i="21"/>
  <c r="M52" i="21"/>
  <c r="M53" i="21"/>
  <c r="M54" i="21"/>
  <c r="M55" i="21"/>
  <c r="M49" i="21"/>
  <c r="C124" i="56"/>
  <c r="C123" i="56"/>
  <c r="C122" i="56"/>
  <c r="C108" i="56"/>
  <c r="C107" i="56"/>
  <c r="C106" i="56"/>
  <c r="C80" i="56"/>
  <c r="C79" i="56"/>
  <c r="B22" i="56"/>
  <c r="B21" i="56"/>
  <c r="B20" i="56"/>
  <c r="B19" i="56"/>
  <c r="B18" i="56"/>
  <c r="B17" i="56"/>
  <c r="B16" i="56"/>
  <c r="B15" i="56"/>
  <c r="B14" i="56"/>
  <c r="B13" i="56"/>
  <c r="B10" i="56"/>
  <c r="B10" i="46" s="1"/>
  <c r="H50" i="21"/>
  <c r="I50" i="21"/>
  <c r="J50" i="21"/>
  <c r="H51" i="21"/>
  <c r="I51" i="21"/>
  <c r="J51" i="21"/>
  <c r="H52" i="21"/>
  <c r="I52" i="21"/>
  <c r="J52" i="21"/>
  <c r="H53" i="21"/>
  <c r="I53" i="21"/>
  <c r="J53" i="21"/>
  <c r="H54" i="21"/>
  <c r="I54" i="21"/>
  <c r="J54" i="21"/>
  <c r="H55" i="21"/>
  <c r="I55" i="21"/>
  <c r="J55" i="21"/>
  <c r="I49" i="21"/>
  <c r="J49" i="21"/>
  <c r="H49" i="21"/>
  <c r="B24" i="46"/>
  <c r="B23" i="46"/>
  <c r="B22" i="46"/>
  <c r="B21" i="46"/>
  <c r="B20" i="46"/>
  <c r="B19" i="46"/>
  <c r="B18" i="46"/>
  <c r="B17" i="46"/>
  <c r="B16" i="46"/>
  <c r="B15" i="46"/>
  <c r="K110" i="46" l="1"/>
  <c r="K109" i="46"/>
  <c r="K108" i="46"/>
  <c r="K91" i="46"/>
  <c r="K92" i="46"/>
  <c r="K90" i="46"/>
  <c r="K40" i="46"/>
  <c r="K39" i="46"/>
  <c r="K41" i="46"/>
  <c r="K81" i="46"/>
  <c r="K83" i="46"/>
  <c r="K82" i="46"/>
  <c r="K67" i="46"/>
  <c r="K65" i="46"/>
  <c r="K66" i="46"/>
  <c r="K133" i="46"/>
  <c r="K132" i="46"/>
  <c r="K134" i="46"/>
  <c r="K101" i="46"/>
  <c r="K100" i="46"/>
  <c r="K99" i="46"/>
  <c r="K74" i="46"/>
  <c r="K75" i="46"/>
  <c r="K73" i="46"/>
  <c r="K33" i="46"/>
  <c r="K32" i="46"/>
  <c r="K31" i="46"/>
  <c r="N56" i="21"/>
  <c r="O56" i="21"/>
  <c r="M56" i="21"/>
  <c r="I56" i="21"/>
  <c r="H56" i="21"/>
  <c r="J56" i="21"/>
  <c r="C44" i="50"/>
  <c r="G40" i="50"/>
  <c r="C39" i="50" l="1"/>
  <c r="F17" i="50"/>
  <c r="C17" i="50"/>
  <c r="F15" i="50"/>
  <c r="E6" i="47"/>
  <c r="F6" i="47"/>
  <c r="G6" i="47"/>
  <c r="H6" i="47"/>
  <c r="D6" i="47"/>
  <c r="E56" i="21"/>
  <c r="F20" i="50" l="1"/>
  <c r="H42" i="50" l="1"/>
  <c r="I42" i="50" s="1"/>
  <c r="J42" i="50" s="1"/>
  <c r="K42" i="50" s="1"/>
  <c r="C56" i="21" l="1"/>
  <c r="D56" i="21"/>
  <c r="G43" i="50" l="1"/>
  <c r="H43" i="50" l="1"/>
  <c r="I43" i="50" s="1"/>
  <c r="J43" i="50" s="1"/>
  <c r="K43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C19" i="42" l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20" i="42"/>
  <c r="F23" i="32" l="1"/>
  <c r="C16" i="32"/>
  <c r="E16" i="32" l="1"/>
  <c r="D16" i="32"/>
  <c r="F14" i="32" l="1"/>
  <c r="G12" i="50" s="1"/>
  <c r="G14" i="50" s="1"/>
  <c r="F15" i="32" l="1"/>
  <c r="F16" i="32" s="1"/>
  <c r="F44" i="50" s="1"/>
  <c r="F25" i="50" l="1"/>
  <c r="F27" i="50" s="1"/>
  <c r="F28" i="50" s="1"/>
  <c r="F29" i="50" s="1"/>
  <c r="F30" i="50" s="1"/>
  <c r="G44" i="50"/>
  <c r="F31" i="50" l="1"/>
  <c r="F32" i="50" s="1"/>
  <c r="F33" i="50" s="1"/>
  <c r="F34" i="50" s="1"/>
  <c r="F35" i="50" s="1"/>
  <c r="K44" i="50"/>
  <c r="J44" i="50"/>
  <c r="I44" i="50"/>
  <c r="H44" i="50"/>
  <c r="G26" i="50" l="1"/>
  <c r="G27" i="50"/>
  <c r="F45" i="50"/>
  <c r="L68" i="50" s="1"/>
  <c r="D15" i="42" l="1"/>
  <c r="G28" i="50"/>
  <c r="G31" i="50"/>
  <c r="G32" i="50" s="1"/>
  <c r="G33" i="50" s="1"/>
  <c r="G34" i="50" s="1"/>
  <c r="C5" i="47"/>
  <c r="C12" i="47" s="1"/>
  <c r="D8" i="42"/>
  <c r="L66" i="50"/>
  <c r="G45" i="50"/>
  <c r="D7" i="46"/>
  <c r="D108" i="46" s="1"/>
  <c r="L67" i="50"/>
  <c r="D58" i="46" s="1"/>
  <c r="I45" i="50"/>
  <c r="D7" i="56"/>
  <c r="H45" i="50"/>
  <c r="N68" i="50" s="1"/>
  <c r="K45" i="50"/>
  <c r="Q68" i="50" s="1"/>
  <c r="J45" i="50"/>
  <c r="P68" i="50" s="1"/>
  <c r="D53" i="56" l="1"/>
  <c r="D88" i="56" s="1"/>
  <c r="D54" i="56"/>
  <c r="D64" i="56" s="1"/>
  <c r="D56" i="46"/>
  <c r="D55" i="46"/>
  <c r="D90" i="46" s="1"/>
  <c r="D55" i="56"/>
  <c r="D89" i="56" s="1"/>
  <c r="D57" i="46"/>
  <c r="D91" i="46" s="1"/>
  <c r="D56" i="56"/>
  <c r="I15" i="42"/>
  <c r="D13" i="42"/>
  <c r="H15" i="42"/>
  <c r="F15" i="42"/>
  <c r="D14" i="42"/>
  <c r="D40" i="46" s="1"/>
  <c r="L40" i="46" s="1"/>
  <c r="D108" i="56"/>
  <c r="D116" i="56"/>
  <c r="D110" i="46"/>
  <c r="L110" i="46" s="1"/>
  <c r="D118" i="46"/>
  <c r="L118" i="46" s="1"/>
  <c r="D5" i="47"/>
  <c r="M68" i="50"/>
  <c r="O66" i="50"/>
  <c r="O68" i="50"/>
  <c r="L69" i="50"/>
  <c r="G29" i="50"/>
  <c r="G30" i="50" s="1"/>
  <c r="G35" i="50" s="1"/>
  <c r="D106" i="56"/>
  <c r="D109" i="46"/>
  <c r="L109" i="46" s="1"/>
  <c r="D115" i="56"/>
  <c r="D114" i="56"/>
  <c r="C10" i="47"/>
  <c r="C11" i="47"/>
  <c r="D107" i="56"/>
  <c r="M67" i="50"/>
  <c r="E58" i="46" s="1"/>
  <c r="M66" i="50"/>
  <c r="D117" i="46"/>
  <c r="L117" i="46" s="1"/>
  <c r="L108" i="46"/>
  <c r="D116" i="46"/>
  <c r="L116" i="46" s="1"/>
  <c r="F5" i="47"/>
  <c r="O67" i="50"/>
  <c r="G58" i="46" s="1"/>
  <c r="D41" i="46"/>
  <c r="L41" i="46" s="1"/>
  <c r="D33" i="46"/>
  <c r="L33" i="46" s="1"/>
  <c r="G5" i="47"/>
  <c r="P66" i="50"/>
  <c r="P67" i="50"/>
  <c r="H58" i="46" s="1"/>
  <c r="E5" i="47"/>
  <c r="E12" i="47" s="1"/>
  <c r="N66" i="50"/>
  <c r="N67" i="50"/>
  <c r="F58" i="46" s="1"/>
  <c r="H5" i="47"/>
  <c r="Q67" i="50"/>
  <c r="I58" i="46" s="1"/>
  <c r="Q66" i="50"/>
  <c r="H7" i="56"/>
  <c r="H7" i="46"/>
  <c r="H8" i="42"/>
  <c r="G7" i="56"/>
  <c r="G8" i="42"/>
  <c r="G7" i="46"/>
  <c r="I7" i="56"/>
  <c r="I8" i="42"/>
  <c r="I7" i="46"/>
  <c r="E8" i="42"/>
  <c r="E7" i="56"/>
  <c r="E7" i="46"/>
  <c r="F8" i="42"/>
  <c r="F7" i="46"/>
  <c r="F7" i="56"/>
  <c r="D39" i="56"/>
  <c r="L39" i="56" s="1"/>
  <c r="D31" i="56"/>
  <c r="L31" i="56" s="1"/>
  <c r="L66" i="46"/>
  <c r="L73" i="46"/>
  <c r="D11" i="47" l="1"/>
  <c r="D12" i="47"/>
  <c r="D10" i="47"/>
  <c r="L111" i="46"/>
  <c r="L20" i="46" s="1"/>
  <c r="D63" i="56"/>
  <c r="H55" i="56"/>
  <c r="H89" i="56" s="1"/>
  <c r="H56" i="56"/>
  <c r="H57" i="46"/>
  <c r="H91" i="46" s="1"/>
  <c r="H54" i="56"/>
  <c r="H64" i="56" s="1"/>
  <c r="H53" i="56"/>
  <c r="H88" i="56" s="1"/>
  <c r="H55" i="46"/>
  <c r="H90" i="46" s="1"/>
  <c r="H56" i="46"/>
  <c r="G13" i="42"/>
  <c r="G53" i="56"/>
  <c r="G88" i="56" s="1"/>
  <c r="G54" i="56"/>
  <c r="G55" i="46"/>
  <c r="G90" i="46" s="1"/>
  <c r="G56" i="46"/>
  <c r="I53" i="56"/>
  <c r="I88" i="56" s="1"/>
  <c r="I54" i="56"/>
  <c r="I64" i="56" s="1"/>
  <c r="I55" i="46"/>
  <c r="I56" i="46"/>
  <c r="E53" i="56"/>
  <c r="E88" i="56" s="1"/>
  <c r="E54" i="56"/>
  <c r="E56" i="46"/>
  <c r="E55" i="46"/>
  <c r="E90" i="46" s="1"/>
  <c r="I55" i="56"/>
  <c r="I89" i="56" s="1"/>
  <c r="I56" i="56"/>
  <c r="I57" i="46"/>
  <c r="I91" i="46" s="1"/>
  <c r="Q91" i="46" s="1"/>
  <c r="E56" i="56"/>
  <c r="E55" i="56"/>
  <c r="E89" i="56" s="1"/>
  <c r="E57" i="46"/>
  <c r="E91" i="46" s="1"/>
  <c r="G56" i="56"/>
  <c r="G55" i="56"/>
  <c r="G89" i="56" s="1"/>
  <c r="G57" i="46"/>
  <c r="G91" i="46" s="1"/>
  <c r="D31" i="46"/>
  <c r="L31" i="46" s="1"/>
  <c r="F55" i="56"/>
  <c r="F89" i="56" s="1"/>
  <c r="F56" i="56"/>
  <c r="F57" i="46"/>
  <c r="F91" i="46" s="1"/>
  <c r="F53" i="56"/>
  <c r="F88" i="56" s="1"/>
  <c r="F54" i="56"/>
  <c r="F55" i="46"/>
  <c r="F90" i="46" s="1"/>
  <c r="F56" i="46"/>
  <c r="D37" i="56"/>
  <c r="L37" i="56" s="1"/>
  <c r="D39" i="46"/>
  <c r="L39" i="46" s="1"/>
  <c r="L42" i="46" s="1"/>
  <c r="L13" i="46" s="1"/>
  <c r="D29" i="56"/>
  <c r="L29" i="56" s="1"/>
  <c r="L90" i="46"/>
  <c r="C7" i="47"/>
  <c r="G14" i="42"/>
  <c r="G15" i="42"/>
  <c r="G41" i="46" s="1"/>
  <c r="O41" i="46" s="1"/>
  <c r="I14" i="42"/>
  <c r="E14" i="42"/>
  <c r="E40" i="46" s="1"/>
  <c r="M40" i="46" s="1"/>
  <c r="E15" i="42"/>
  <c r="E41" i="46" s="1"/>
  <c r="M41" i="46" s="1"/>
  <c r="D46" i="56"/>
  <c r="L46" i="56" s="1"/>
  <c r="D57" i="56"/>
  <c r="I116" i="56"/>
  <c r="I108" i="56"/>
  <c r="G11" i="47"/>
  <c r="G12" i="47"/>
  <c r="E13" i="42"/>
  <c r="H10" i="47"/>
  <c r="H12" i="47"/>
  <c r="F10" i="47"/>
  <c r="F12" i="47"/>
  <c r="D47" i="56"/>
  <c r="L47" i="56" s="1"/>
  <c r="G116" i="56"/>
  <c r="G108" i="56"/>
  <c r="D109" i="56"/>
  <c r="D18" i="56" s="1"/>
  <c r="D49" i="46"/>
  <c r="F116" i="56"/>
  <c r="F108" i="56"/>
  <c r="F14" i="42"/>
  <c r="E116" i="56"/>
  <c r="E108" i="56"/>
  <c r="H116" i="56"/>
  <c r="H108" i="56"/>
  <c r="H14" i="42"/>
  <c r="L65" i="46"/>
  <c r="D48" i="46"/>
  <c r="F110" i="46"/>
  <c r="N110" i="46" s="1"/>
  <c r="F118" i="46"/>
  <c r="I110" i="46"/>
  <c r="Q110" i="46" s="1"/>
  <c r="I118" i="46"/>
  <c r="G110" i="46"/>
  <c r="O110" i="46" s="1"/>
  <c r="G118" i="46"/>
  <c r="E110" i="46"/>
  <c r="M110" i="46" s="1"/>
  <c r="E118" i="46"/>
  <c r="M118" i="46" s="1"/>
  <c r="H110" i="46"/>
  <c r="P110" i="46" s="1"/>
  <c r="H118" i="46"/>
  <c r="P69" i="50"/>
  <c r="Q69" i="50"/>
  <c r="N69" i="50"/>
  <c r="M66" i="46"/>
  <c r="M69" i="50"/>
  <c r="O69" i="50"/>
  <c r="D65" i="56"/>
  <c r="C13" i="47"/>
  <c r="D117" i="56"/>
  <c r="D19" i="56" s="1"/>
  <c r="D30" i="56"/>
  <c r="L30" i="56" s="1"/>
  <c r="G115" i="56"/>
  <c r="D38" i="56"/>
  <c r="L38" i="56" s="1"/>
  <c r="D141" i="46"/>
  <c r="L141" i="46" s="1"/>
  <c r="D32" i="46"/>
  <c r="L32" i="46" s="1"/>
  <c r="O66" i="46"/>
  <c r="F11" i="47"/>
  <c r="G10" i="47"/>
  <c r="P66" i="46"/>
  <c r="H13" i="42"/>
  <c r="H81" i="56"/>
  <c r="N66" i="46"/>
  <c r="I81" i="56"/>
  <c r="Q66" i="46"/>
  <c r="I13" i="42"/>
  <c r="H11" i="47"/>
  <c r="F13" i="42"/>
  <c r="E11" i="47"/>
  <c r="E10" i="47"/>
  <c r="E107" i="56"/>
  <c r="E115" i="56"/>
  <c r="E114" i="56"/>
  <c r="F115" i="56"/>
  <c r="H107" i="56"/>
  <c r="H115" i="56"/>
  <c r="F114" i="56"/>
  <c r="H114" i="56"/>
  <c r="F106" i="56"/>
  <c r="F107" i="56"/>
  <c r="H106" i="56"/>
  <c r="I115" i="56"/>
  <c r="E106" i="56"/>
  <c r="I107" i="56"/>
  <c r="I106" i="56"/>
  <c r="I114" i="56"/>
  <c r="G106" i="56"/>
  <c r="G114" i="56"/>
  <c r="G107" i="56"/>
  <c r="D98" i="56"/>
  <c r="L98" i="56" s="1"/>
  <c r="D123" i="56"/>
  <c r="D80" i="56"/>
  <c r="D72" i="56"/>
  <c r="D131" i="56"/>
  <c r="L131" i="56" s="1"/>
  <c r="D73" i="56"/>
  <c r="D132" i="56"/>
  <c r="L132" i="56" s="1"/>
  <c r="D124" i="56"/>
  <c r="D99" i="56"/>
  <c r="L99" i="56" s="1"/>
  <c r="D81" i="56"/>
  <c r="D143" i="56"/>
  <c r="L143" i="56" s="1"/>
  <c r="D139" i="56"/>
  <c r="L139" i="56" s="1"/>
  <c r="D141" i="56"/>
  <c r="L141" i="56" s="1"/>
  <c r="D122" i="56"/>
  <c r="D144" i="56"/>
  <c r="L144" i="56" s="1"/>
  <c r="D140" i="56"/>
  <c r="L140" i="56" s="1"/>
  <c r="D71" i="56"/>
  <c r="D145" i="56"/>
  <c r="L145" i="56" s="1"/>
  <c r="D142" i="56"/>
  <c r="L142" i="56" s="1"/>
  <c r="D130" i="56"/>
  <c r="L130" i="56" s="1"/>
  <c r="D97" i="56"/>
  <c r="L97" i="56" s="1"/>
  <c r="D79" i="56"/>
  <c r="L119" i="46"/>
  <c r="L21" i="46" s="1"/>
  <c r="L67" i="46"/>
  <c r="D143" i="46"/>
  <c r="L143" i="46" s="1"/>
  <c r="D144" i="46"/>
  <c r="L144" i="46" s="1"/>
  <c r="D145" i="46"/>
  <c r="L145" i="46" s="1"/>
  <c r="D146" i="46"/>
  <c r="L146" i="46" s="1"/>
  <c r="D147" i="46"/>
  <c r="L147" i="46" s="1"/>
  <c r="D142" i="46"/>
  <c r="L142" i="46" s="1"/>
  <c r="L91" i="46"/>
  <c r="D133" i="46"/>
  <c r="L133" i="46" s="1"/>
  <c r="L92" i="46"/>
  <c r="D134" i="46"/>
  <c r="L134" i="46" s="1"/>
  <c r="D132" i="46"/>
  <c r="L132" i="46" s="1"/>
  <c r="L81" i="46"/>
  <c r="D59" i="46"/>
  <c r="E109" i="46"/>
  <c r="M109" i="46" s="1"/>
  <c r="O65" i="46"/>
  <c r="L83" i="46"/>
  <c r="H116" i="46"/>
  <c r="H117" i="46"/>
  <c r="H109" i="46"/>
  <c r="P109" i="46" s="1"/>
  <c r="H108" i="46"/>
  <c r="P108" i="46" s="1"/>
  <c r="E117" i="46"/>
  <c r="M117" i="46" s="1"/>
  <c r="G116" i="46"/>
  <c r="E108" i="46"/>
  <c r="M108" i="46" s="1"/>
  <c r="G117" i="46"/>
  <c r="E116" i="46"/>
  <c r="M116" i="46" s="1"/>
  <c r="G108" i="46"/>
  <c r="O108" i="46" s="1"/>
  <c r="G109" i="46"/>
  <c r="O109" i="46" s="1"/>
  <c r="F108" i="46"/>
  <c r="N108" i="46" s="1"/>
  <c r="I108" i="46"/>
  <c r="Q108" i="46" s="1"/>
  <c r="I116" i="46"/>
  <c r="I109" i="46"/>
  <c r="Q109" i="46" s="1"/>
  <c r="I117" i="46"/>
  <c r="F109" i="46"/>
  <c r="N109" i="46" s="1"/>
  <c r="F117" i="46"/>
  <c r="F116" i="46"/>
  <c r="D111" i="46"/>
  <c r="D119" i="46"/>
  <c r="D101" i="46"/>
  <c r="L101" i="46" s="1"/>
  <c r="D126" i="46"/>
  <c r="D21" i="42"/>
  <c r="L75" i="46"/>
  <c r="D99" i="46"/>
  <c r="L99" i="46" s="1"/>
  <c r="D16" i="42"/>
  <c r="D124" i="46"/>
  <c r="D19" i="42"/>
  <c r="L82" i="46"/>
  <c r="D125" i="46"/>
  <c r="L74" i="46"/>
  <c r="D100" i="46"/>
  <c r="L100" i="46" s="1"/>
  <c r="D20" i="42"/>
  <c r="D13" i="47" l="1"/>
  <c r="D66" i="56"/>
  <c r="D13" i="56" s="1"/>
  <c r="L34" i="46"/>
  <c r="L12" i="46" s="1"/>
  <c r="G63" i="56"/>
  <c r="G31" i="46"/>
  <c r="O31" i="46" s="1"/>
  <c r="G49" i="46"/>
  <c r="G39" i="46"/>
  <c r="O39" i="46" s="1"/>
  <c r="I90" i="46"/>
  <c r="Q90" i="46" s="1"/>
  <c r="Q93" i="46" s="1"/>
  <c r="I59" i="46"/>
  <c r="I60" i="46" s="1"/>
  <c r="F79" i="56"/>
  <c r="F63" i="56"/>
  <c r="I63" i="56"/>
  <c r="E31" i="46"/>
  <c r="M31" i="46" s="1"/>
  <c r="L40" i="56"/>
  <c r="L11" i="56" s="1"/>
  <c r="L32" i="56"/>
  <c r="L10" i="56" s="1"/>
  <c r="E39" i="46"/>
  <c r="M39" i="46" s="1"/>
  <c r="M42" i="46" s="1"/>
  <c r="G47" i="56"/>
  <c r="O47" i="56" s="1"/>
  <c r="G32" i="46"/>
  <c r="O32" i="46" s="1"/>
  <c r="G20" i="42"/>
  <c r="D42" i="46"/>
  <c r="D13" i="46" s="1"/>
  <c r="E33" i="46"/>
  <c r="M33" i="46" s="1"/>
  <c r="D50" i="46"/>
  <c r="D14" i="46" s="1"/>
  <c r="I49" i="46"/>
  <c r="F49" i="46"/>
  <c r="F47" i="56"/>
  <c r="N47" i="56" s="1"/>
  <c r="E47" i="56"/>
  <c r="M47" i="56" s="1"/>
  <c r="G64" i="56"/>
  <c r="E57" i="56"/>
  <c r="E58" i="56" s="1"/>
  <c r="E46" i="56"/>
  <c r="M46" i="56" s="1"/>
  <c r="F57" i="56"/>
  <c r="F58" i="56" s="1"/>
  <c r="F46" i="56"/>
  <c r="N46" i="56" s="1"/>
  <c r="O92" i="46"/>
  <c r="I47" i="56"/>
  <c r="Q47" i="56" s="1"/>
  <c r="M92" i="46"/>
  <c r="N65" i="46"/>
  <c r="F48" i="46"/>
  <c r="H46" i="56"/>
  <c r="P46" i="56" s="1"/>
  <c r="H57" i="56"/>
  <c r="H58" i="56" s="1"/>
  <c r="P65" i="46"/>
  <c r="H48" i="46"/>
  <c r="E63" i="56"/>
  <c r="Q65" i="46"/>
  <c r="I48" i="46"/>
  <c r="D48" i="56"/>
  <c r="M65" i="46"/>
  <c r="E48" i="46"/>
  <c r="E49" i="46"/>
  <c r="I46" i="56"/>
  <c r="Q46" i="56" s="1"/>
  <c r="I57" i="56"/>
  <c r="I58" i="56" s="1"/>
  <c r="H47" i="56"/>
  <c r="P47" i="56" s="1"/>
  <c r="G57" i="56"/>
  <c r="G58" i="56" s="1"/>
  <c r="G46" i="56"/>
  <c r="O46" i="56" s="1"/>
  <c r="G48" i="46"/>
  <c r="H49" i="46"/>
  <c r="G40" i="46"/>
  <c r="O40" i="46" s="1"/>
  <c r="D34" i="46"/>
  <c r="D32" i="56"/>
  <c r="D10" i="56" s="1"/>
  <c r="D10" i="46" s="1"/>
  <c r="E32" i="46"/>
  <c r="M32" i="46" s="1"/>
  <c r="D40" i="56"/>
  <c r="D11" i="56" s="1"/>
  <c r="D11" i="46" s="1"/>
  <c r="F13" i="47"/>
  <c r="L48" i="56"/>
  <c r="L12" i="56" s="1"/>
  <c r="G33" i="46"/>
  <c r="O33" i="46" s="1"/>
  <c r="G13" i="47"/>
  <c r="H99" i="56"/>
  <c r="P99" i="56" s="1"/>
  <c r="H134" i="46"/>
  <c r="H124" i="56"/>
  <c r="H21" i="42"/>
  <c r="H132" i="56"/>
  <c r="P75" i="46"/>
  <c r="H39" i="56"/>
  <c r="P39" i="56" s="1"/>
  <c r="P83" i="46"/>
  <c r="H31" i="56"/>
  <c r="P31" i="56" s="1"/>
  <c r="P92" i="46"/>
  <c r="H73" i="56"/>
  <c r="H101" i="46"/>
  <c r="P101" i="46" s="1"/>
  <c r="H126" i="46"/>
  <c r="I39" i="56"/>
  <c r="Q39" i="56" s="1"/>
  <c r="I31" i="56"/>
  <c r="Q31" i="56" s="1"/>
  <c r="I21" i="42"/>
  <c r="H13" i="47"/>
  <c r="N116" i="46"/>
  <c r="F99" i="46"/>
  <c r="N99" i="46" s="1"/>
  <c r="E7" i="47"/>
  <c r="F97" i="56"/>
  <c r="N97" i="56" s="1"/>
  <c r="F37" i="56"/>
  <c r="N37" i="56" s="1"/>
  <c r="F29" i="56"/>
  <c r="N29" i="56" s="1"/>
  <c r="F19" i="42"/>
  <c r="Q116" i="46"/>
  <c r="F124" i="46"/>
  <c r="F122" i="56"/>
  <c r="F71" i="56"/>
  <c r="Q118" i="46"/>
  <c r="F132" i="46"/>
  <c r="F130" i="56"/>
  <c r="P117" i="46"/>
  <c r="N90" i="46"/>
  <c r="N73" i="46"/>
  <c r="N81" i="46"/>
  <c r="N118" i="46"/>
  <c r="N117" i="46"/>
  <c r="E13" i="47"/>
  <c r="Q117" i="46"/>
  <c r="P118" i="46"/>
  <c r="P116" i="46"/>
  <c r="F31" i="46"/>
  <c r="N31" i="46" s="1"/>
  <c r="F39" i="46"/>
  <c r="N39" i="46" s="1"/>
  <c r="I32" i="46"/>
  <c r="Q32" i="46" s="1"/>
  <c r="I40" i="46"/>
  <c r="Q40" i="46" s="1"/>
  <c r="H31" i="46"/>
  <c r="P31" i="46" s="1"/>
  <c r="H39" i="46"/>
  <c r="P39" i="46" s="1"/>
  <c r="O116" i="46"/>
  <c r="I99" i="56"/>
  <c r="Q99" i="56" s="1"/>
  <c r="I33" i="46"/>
  <c r="Q33" i="46" s="1"/>
  <c r="I41" i="46"/>
  <c r="Q41" i="46" s="1"/>
  <c r="H32" i="46"/>
  <c r="P32" i="46" s="1"/>
  <c r="H40" i="46"/>
  <c r="P40" i="46" s="1"/>
  <c r="O118" i="46"/>
  <c r="I31" i="46"/>
  <c r="Q31" i="46" s="1"/>
  <c r="I39" i="46"/>
  <c r="Q39" i="46" s="1"/>
  <c r="F40" i="46"/>
  <c r="N40" i="46" s="1"/>
  <c r="F32" i="46"/>
  <c r="N32" i="46" s="1"/>
  <c r="F41" i="46"/>
  <c r="N41" i="46" s="1"/>
  <c r="F33" i="46"/>
  <c r="N33" i="46" s="1"/>
  <c r="H33" i="46"/>
  <c r="P33" i="46" s="1"/>
  <c r="H41" i="46"/>
  <c r="P41" i="46" s="1"/>
  <c r="O117" i="46"/>
  <c r="I126" i="46"/>
  <c r="I101" i="46"/>
  <c r="Q101" i="46" s="1"/>
  <c r="I134" i="46"/>
  <c r="I124" i="56"/>
  <c r="Q75" i="46"/>
  <c r="I73" i="56"/>
  <c r="Q83" i="46"/>
  <c r="I132" i="56"/>
  <c r="E65" i="56"/>
  <c r="E64" i="56"/>
  <c r="E117" i="56"/>
  <c r="E118" i="56" s="1"/>
  <c r="H65" i="56"/>
  <c r="I65" i="56"/>
  <c r="H109" i="56"/>
  <c r="H110" i="56" s="1"/>
  <c r="I117" i="56"/>
  <c r="I19" i="56" s="1"/>
  <c r="H117" i="56"/>
  <c r="H19" i="56" s="1"/>
  <c r="F117" i="56"/>
  <c r="F118" i="56" s="1"/>
  <c r="F109" i="56"/>
  <c r="F110" i="56" s="1"/>
  <c r="G117" i="56"/>
  <c r="G19" i="56" s="1"/>
  <c r="F64" i="56"/>
  <c r="F65" i="56"/>
  <c r="H63" i="56"/>
  <c r="E109" i="56"/>
  <c r="E110" i="56" s="1"/>
  <c r="I109" i="56"/>
  <c r="I110" i="56" s="1"/>
  <c r="G109" i="56"/>
  <c r="G110" i="56" s="1"/>
  <c r="G65" i="56"/>
  <c r="E37" i="56"/>
  <c r="M37" i="56" s="1"/>
  <c r="E29" i="56"/>
  <c r="M29" i="56" s="1"/>
  <c r="F30" i="56"/>
  <c r="N30" i="56" s="1"/>
  <c r="F38" i="56"/>
  <c r="N38" i="56" s="1"/>
  <c r="G29" i="56"/>
  <c r="O29" i="56" s="1"/>
  <c r="G37" i="56"/>
  <c r="O37" i="56" s="1"/>
  <c r="E30" i="56"/>
  <c r="M30" i="56" s="1"/>
  <c r="E38" i="56"/>
  <c r="M38" i="56" s="1"/>
  <c r="F39" i="56"/>
  <c r="N39" i="56" s="1"/>
  <c r="F31" i="56"/>
  <c r="N31" i="56" s="1"/>
  <c r="G30" i="56"/>
  <c r="O30" i="56" s="1"/>
  <c r="G38" i="56"/>
  <c r="O38" i="56" s="1"/>
  <c r="I29" i="56"/>
  <c r="Q29" i="56" s="1"/>
  <c r="I37" i="56"/>
  <c r="Q37" i="56" s="1"/>
  <c r="H38" i="56"/>
  <c r="P38" i="56" s="1"/>
  <c r="H30" i="56"/>
  <c r="P30" i="56" s="1"/>
  <c r="E31" i="56"/>
  <c r="M31" i="56" s="1"/>
  <c r="E39" i="56"/>
  <c r="M39" i="56" s="1"/>
  <c r="G31" i="56"/>
  <c r="O31" i="56" s="1"/>
  <c r="G39" i="56"/>
  <c r="O39" i="56" s="1"/>
  <c r="I38" i="56"/>
  <c r="Q38" i="56" s="1"/>
  <c r="I30" i="56"/>
  <c r="Q30" i="56" s="1"/>
  <c r="H37" i="56"/>
  <c r="P37" i="56" s="1"/>
  <c r="H29" i="56"/>
  <c r="P29" i="56" s="1"/>
  <c r="N67" i="46"/>
  <c r="F143" i="56"/>
  <c r="N143" i="56" s="1"/>
  <c r="M111" i="46"/>
  <c r="M112" i="46" s="1"/>
  <c r="D91" i="56"/>
  <c r="D16" i="56" s="1"/>
  <c r="L100" i="56"/>
  <c r="D100" i="56"/>
  <c r="D17" i="56" s="1"/>
  <c r="F144" i="56"/>
  <c r="N144" i="56" s="1"/>
  <c r="E143" i="56"/>
  <c r="M143" i="56" s="1"/>
  <c r="E139" i="56"/>
  <c r="M139" i="56" s="1"/>
  <c r="E130" i="56"/>
  <c r="M130" i="56" s="1"/>
  <c r="E144" i="56"/>
  <c r="M144" i="56" s="1"/>
  <c r="E140" i="56"/>
  <c r="M140" i="56" s="1"/>
  <c r="E145" i="56"/>
  <c r="M145" i="56" s="1"/>
  <c r="E141" i="56"/>
  <c r="M141" i="56" s="1"/>
  <c r="E142" i="56"/>
  <c r="M142" i="56" s="1"/>
  <c r="E122" i="56"/>
  <c r="E71" i="56"/>
  <c r="E97" i="56"/>
  <c r="M97" i="56" s="1"/>
  <c r="E79" i="56"/>
  <c r="E98" i="56"/>
  <c r="M98" i="56" s="1"/>
  <c r="E123" i="56"/>
  <c r="E72" i="56"/>
  <c r="E80" i="56"/>
  <c r="E131" i="56"/>
  <c r="M131" i="56" s="1"/>
  <c r="F124" i="56"/>
  <c r="F73" i="56"/>
  <c r="F99" i="56"/>
  <c r="N99" i="56" s="1"/>
  <c r="F132" i="56"/>
  <c r="F81" i="56"/>
  <c r="F141" i="56"/>
  <c r="N141" i="56" s="1"/>
  <c r="G123" i="56"/>
  <c r="G98" i="56"/>
  <c r="O98" i="56" s="1"/>
  <c r="G72" i="56"/>
  <c r="G80" i="56"/>
  <c r="G131" i="56"/>
  <c r="I145" i="56"/>
  <c r="Q145" i="56" s="1"/>
  <c r="I141" i="56"/>
  <c r="Q141" i="56" s="1"/>
  <c r="I122" i="56"/>
  <c r="I144" i="56"/>
  <c r="Q144" i="56" s="1"/>
  <c r="I142" i="56"/>
  <c r="Q142" i="56" s="1"/>
  <c r="I143" i="56"/>
  <c r="Q143" i="56" s="1"/>
  <c r="I139" i="56"/>
  <c r="Q139" i="56" s="1"/>
  <c r="I140" i="56"/>
  <c r="Q140" i="56" s="1"/>
  <c r="I79" i="56"/>
  <c r="I97" i="56"/>
  <c r="Q97" i="56" s="1"/>
  <c r="I130" i="56"/>
  <c r="I71" i="56"/>
  <c r="L133" i="56"/>
  <c r="D133" i="56"/>
  <c r="D21" i="56" s="1"/>
  <c r="L146" i="56"/>
  <c r="L22" i="56" s="1"/>
  <c r="D146" i="56"/>
  <c r="D22" i="56" s="1"/>
  <c r="F145" i="56"/>
  <c r="N145" i="56" s="1"/>
  <c r="G144" i="56"/>
  <c r="O144" i="56" s="1"/>
  <c r="G140" i="56"/>
  <c r="O140" i="56" s="1"/>
  <c r="G139" i="56"/>
  <c r="O139" i="56" s="1"/>
  <c r="G145" i="56"/>
  <c r="O145" i="56" s="1"/>
  <c r="G141" i="56"/>
  <c r="O141" i="56" s="1"/>
  <c r="G130" i="56"/>
  <c r="G142" i="56"/>
  <c r="O142" i="56" s="1"/>
  <c r="G143" i="56"/>
  <c r="O143" i="56" s="1"/>
  <c r="G79" i="56"/>
  <c r="G97" i="56"/>
  <c r="O97" i="56" s="1"/>
  <c r="G122" i="56"/>
  <c r="G71" i="56"/>
  <c r="E99" i="56"/>
  <c r="M99" i="56" s="1"/>
  <c r="E73" i="56"/>
  <c r="E81" i="56"/>
  <c r="E132" i="56"/>
  <c r="M132" i="56" s="1"/>
  <c r="E124" i="56"/>
  <c r="F139" i="56"/>
  <c r="N139" i="56" s="1"/>
  <c r="G124" i="56"/>
  <c r="G99" i="56"/>
  <c r="O99" i="56" s="1"/>
  <c r="G81" i="56"/>
  <c r="G132" i="56"/>
  <c r="G73" i="56"/>
  <c r="I98" i="56"/>
  <c r="Q98" i="56" s="1"/>
  <c r="I72" i="56"/>
  <c r="I131" i="56"/>
  <c r="I123" i="56"/>
  <c r="I80" i="56"/>
  <c r="H145" i="56"/>
  <c r="P145" i="56" s="1"/>
  <c r="H141" i="56"/>
  <c r="P141" i="56" s="1"/>
  <c r="H140" i="56"/>
  <c r="P140" i="56" s="1"/>
  <c r="H143" i="56"/>
  <c r="P143" i="56" s="1"/>
  <c r="H144" i="56"/>
  <c r="P144" i="56" s="1"/>
  <c r="H142" i="56"/>
  <c r="P142" i="56" s="1"/>
  <c r="H139" i="56"/>
  <c r="P139" i="56" s="1"/>
  <c r="H97" i="56"/>
  <c r="P97" i="56" s="1"/>
  <c r="H122" i="56"/>
  <c r="H130" i="56"/>
  <c r="H71" i="56"/>
  <c r="H79" i="56"/>
  <c r="D125" i="56"/>
  <c r="D20" i="56" s="1"/>
  <c r="L135" i="46"/>
  <c r="L23" i="46" s="1"/>
  <c r="D74" i="56"/>
  <c r="D14" i="56" s="1"/>
  <c r="H98" i="56"/>
  <c r="P98" i="56" s="1"/>
  <c r="H131" i="56"/>
  <c r="H123" i="56"/>
  <c r="H72" i="56"/>
  <c r="H80" i="56"/>
  <c r="F98" i="56"/>
  <c r="N98" i="56" s="1"/>
  <c r="F123" i="56"/>
  <c r="F131" i="56"/>
  <c r="F72" i="56"/>
  <c r="F80" i="56"/>
  <c r="D82" i="56"/>
  <c r="D15" i="56" s="1"/>
  <c r="F142" i="56"/>
  <c r="N142" i="56" s="1"/>
  <c r="F140" i="56"/>
  <c r="N140" i="56" s="1"/>
  <c r="L148" i="46"/>
  <c r="L24" i="46" s="1"/>
  <c r="L102" i="46"/>
  <c r="L19" i="46" s="1"/>
  <c r="M119" i="46"/>
  <c r="M120" i="46" s="1"/>
  <c r="L93" i="46"/>
  <c r="L18" i="46" s="1"/>
  <c r="E132" i="46"/>
  <c r="M132" i="46" s="1"/>
  <c r="E124" i="46"/>
  <c r="L76" i="46"/>
  <c r="L84" i="46"/>
  <c r="L17" i="46" s="1"/>
  <c r="D68" i="46"/>
  <c r="D15" i="46" s="1"/>
  <c r="L68" i="46"/>
  <c r="L15" i="46" s="1"/>
  <c r="D20" i="46"/>
  <c r="D21" i="46"/>
  <c r="M67" i="46"/>
  <c r="O67" i="46"/>
  <c r="E145" i="46"/>
  <c r="M145" i="46" s="1"/>
  <c r="E142" i="46"/>
  <c r="M142" i="46" s="1"/>
  <c r="E147" i="46"/>
  <c r="M147" i="46" s="1"/>
  <c r="E144" i="46"/>
  <c r="M144" i="46" s="1"/>
  <c r="E141" i="46"/>
  <c r="M141" i="46" s="1"/>
  <c r="E146" i="46"/>
  <c r="M146" i="46" s="1"/>
  <c r="E143" i="46"/>
  <c r="M143" i="46" s="1"/>
  <c r="F146" i="46"/>
  <c r="N146" i="46" s="1"/>
  <c r="G143" i="46"/>
  <c r="O143" i="46" s="1"/>
  <c r="G145" i="46"/>
  <c r="O145" i="46" s="1"/>
  <c r="G142" i="46"/>
  <c r="O142" i="46" s="1"/>
  <c r="G147" i="46"/>
  <c r="O147" i="46" s="1"/>
  <c r="G144" i="46"/>
  <c r="O144" i="46" s="1"/>
  <c r="G141" i="46"/>
  <c r="O141" i="46" s="1"/>
  <c r="G146" i="46"/>
  <c r="O146" i="46" s="1"/>
  <c r="F141" i="46"/>
  <c r="N141" i="46" s="1"/>
  <c r="F142" i="46"/>
  <c r="N142" i="46" s="1"/>
  <c r="H143" i="46"/>
  <c r="P143" i="46" s="1"/>
  <c r="H145" i="46"/>
  <c r="P145" i="46" s="1"/>
  <c r="H147" i="46"/>
  <c r="P147" i="46" s="1"/>
  <c r="H142" i="46"/>
  <c r="P142" i="46" s="1"/>
  <c r="H144" i="46"/>
  <c r="P144" i="46" s="1"/>
  <c r="H141" i="46"/>
  <c r="P141" i="46" s="1"/>
  <c r="H146" i="46"/>
  <c r="P146" i="46" s="1"/>
  <c r="I141" i="46"/>
  <c r="Q141" i="46" s="1"/>
  <c r="I146" i="46"/>
  <c r="Q146" i="46" s="1"/>
  <c r="I143" i="46"/>
  <c r="Q143" i="46" s="1"/>
  <c r="I145" i="46"/>
  <c r="Q145" i="46" s="1"/>
  <c r="I142" i="46"/>
  <c r="Q142" i="46" s="1"/>
  <c r="I147" i="46"/>
  <c r="Q147" i="46" s="1"/>
  <c r="I144" i="46"/>
  <c r="Q144" i="46" s="1"/>
  <c r="F143" i="46"/>
  <c r="N143" i="46" s="1"/>
  <c r="F147" i="46"/>
  <c r="N147" i="46" s="1"/>
  <c r="F145" i="46"/>
  <c r="N145" i="46" s="1"/>
  <c r="F144" i="46"/>
  <c r="N144" i="46" s="1"/>
  <c r="O91" i="46"/>
  <c r="G133" i="46"/>
  <c r="E134" i="46"/>
  <c r="M134" i="46" s="1"/>
  <c r="G134" i="46"/>
  <c r="I132" i="46"/>
  <c r="M90" i="46"/>
  <c r="I133" i="46"/>
  <c r="N91" i="46"/>
  <c r="F133" i="46"/>
  <c r="P90" i="46"/>
  <c r="H132" i="46"/>
  <c r="D135" i="46"/>
  <c r="O90" i="46"/>
  <c r="G132" i="46"/>
  <c r="P91" i="46"/>
  <c r="H133" i="46"/>
  <c r="M91" i="46"/>
  <c r="E133" i="46"/>
  <c r="M133" i="46" s="1"/>
  <c r="N92" i="46"/>
  <c r="F134" i="46"/>
  <c r="D7" i="47"/>
  <c r="G7" i="47"/>
  <c r="H7" i="47"/>
  <c r="F7" i="47"/>
  <c r="M73" i="46"/>
  <c r="E59" i="46"/>
  <c r="F59" i="46"/>
  <c r="G59" i="46"/>
  <c r="H59" i="46"/>
  <c r="P82" i="46"/>
  <c r="E19" i="42"/>
  <c r="I124" i="46"/>
  <c r="G124" i="46"/>
  <c r="N82" i="46"/>
  <c r="E20" i="42"/>
  <c r="O82" i="46"/>
  <c r="M83" i="46"/>
  <c r="N83" i="46"/>
  <c r="P73" i="46"/>
  <c r="H119" i="46"/>
  <c r="H124" i="46"/>
  <c r="H19" i="42"/>
  <c r="H99" i="46"/>
  <c r="P99" i="46" s="1"/>
  <c r="P81" i="46"/>
  <c r="H16" i="42"/>
  <c r="H111" i="46"/>
  <c r="H100" i="46"/>
  <c r="P100" i="46" s="1"/>
  <c r="P74" i="46"/>
  <c r="H125" i="46"/>
  <c r="H20" i="42"/>
  <c r="I99" i="46"/>
  <c r="Q99" i="46" s="1"/>
  <c r="F125" i="46"/>
  <c r="Q81" i="46"/>
  <c r="E119" i="46"/>
  <c r="E21" i="46" s="1"/>
  <c r="E111" i="46"/>
  <c r="E20" i="46" s="1"/>
  <c r="Q82" i="46"/>
  <c r="I20" i="42"/>
  <c r="I16" i="42"/>
  <c r="Q73" i="46"/>
  <c r="I19" i="42"/>
  <c r="I100" i="46"/>
  <c r="Q100" i="46" s="1"/>
  <c r="Q74" i="46"/>
  <c r="I125" i="46"/>
  <c r="G111" i="46"/>
  <c r="G119" i="46"/>
  <c r="F101" i="46"/>
  <c r="N101" i="46" s="1"/>
  <c r="F20" i="42"/>
  <c r="N74" i="46"/>
  <c r="F100" i="46"/>
  <c r="N100" i="46" s="1"/>
  <c r="N75" i="46"/>
  <c r="F126" i="46"/>
  <c r="E21" i="42"/>
  <c r="F16" i="42"/>
  <c r="I111" i="46"/>
  <c r="F21" i="42"/>
  <c r="O83" i="46"/>
  <c r="E125" i="46"/>
  <c r="G126" i="46"/>
  <c r="E126" i="46"/>
  <c r="G19" i="42"/>
  <c r="G99" i="46"/>
  <c r="O99" i="46" s="1"/>
  <c r="E100" i="46"/>
  <c r="M100" i="46" s="1"/>
  <c r="O81" i="46"/>
  <c r="E101" i="46"/>
  <c r="M101" i="46" s="1"/>
  <c r="O73" i="46"/>
  <c r="M75" i="46"/>
  <c r="M74" i="46"/>
  <c r="M82" i="46"/>
  <c r="G125" i="46"/>
  <c r="G100" i="46"/>
  <c r="O100" i="46" s="1"/>
  <c r="O74" i="46"/>
  <c r="I119" i="46"/>
  <c r="F111" i="46"/>
  <c r="E16" i="42"/>
  <c r="G21" i="42"/>
  <c r="M81" i="46"/>
  <c r="O75" i="46"/>
  <c r="G101" i="46"/>
  <c r="O101" i="46" s="1"/>
  <c r="E99" i="46"/>
  <c r="M99" i="46" s="1"/>
  <c r="G16" i="42"/>
  <c r="F119" i="46"/>
  <c r="D22" i="42"/>
  <c r="C18" i="47" s="1"/>
  <c r="D148" i="46"/>
  <c r="D24" i="46" s="1"/>
  <c r="D76" i="46"/>
  <c r="D16" i="46" s="1"/>
  <c r="D127" i="46"/>
  <c r="D102" i="46"/>
  <c r="D84" i="46"/>
  <c r="D93" i="46"/>
  <c r="Q94" i="46" l="1"/>
  <c r="G50" i="46"/>
  <c r="G14" i="46" s="1"/>
  <c r="O42" i="46"/>
  <c r="I66" i="56"/>
  <c r="I13" i="56" s="1"/>
  <c r="Q48" i="56"/>
  <c r="Q49" i="56" s="1"/>
  <c r="O48" i="56"/>
  <c r="O12" i="56" s="1"/>
  <c r="O34" i="46"/>
  <c r="O35" i="46" s="1"/>
  <c r="M34" i="46"/>
  <c r="M35" i="46" s="1"/>
  <c r="I50" i="46"/>
  <c r="I51" i="46" s="1"/>
  <c r="G66" i="56"/>
  <c r="G67" i="56" s="1"/>
  <c r="M48" i="56"/>
  <c r="M12" i="56" s="1"/>
  <c r="H50" i="46"/>
  <c r="F50" i="46"/>
  <c r="F14" i="46" s="1"/>
  <c r="P48" i="56"/>
  <c r="P12" i="56" s="1"/>
  <c r="N48" i="56"/>
  <c r="N49" i="56" s="1"/>
  <c r="D12" i="56"/>
  <c r="E50" i="46"/>
  <c r="M43" i="46"/>
  <c r="M13" i="46"/>
  <c r="O43" i="46"/>
  <c r="O13" i="46"/>
  <c r="Q132" i="56"/>
  <c r="Q134" i="46"/>
  <c r="P134" i="46"/>
  <c r="O132" i="46"/>
  <c r="O130" i="56"/>
  <c r="O133" i="46"/>
  <c r="Q42" i="46"/>
  <c r="N134" i="46"/>
  <c r="Q132" i="46"/>
  <c r="P133" i="46"/>
  <c r="N42" i="46"/>
  <c r="N34" i="46"/>
  <c r="N35" i="46" s="1"/>
  <c r="Q133" i="46"/>
  <c r="Q34" i="46"/>
  <c r="Q35" i="46" s="1"/>
  <c r="P132" i="46"/>
  <c r="N132" i="46"/>
  <c r="O134" i="46"/>
  <c r="P67" i="46"/>
  <c r="P68" i="46" s="1"/>
  <c r="P42" i="46"/>
  <c r="N133" i="46"/>
  <c r="P34" i="46"/>
  <c r="P35" i="46" s="1"/>
  <c r="Q67" i="46"/>
  <c r="Q68" i="46" s="1"/>
  <c r="N32" i="56"/>
  <c r="Q119" i="46"/>
  <c r="Q120" i="46" s="1"/>
  <c r="H66" i="56"/>
  <c r="H67" i="56" s="1"/>
  <c r="O32" i="56"/>
  <c r="P40" i="56"/>
  <c r="M40" i="56"/>
  <c r="N40" i="56"/>
  <c r="Q40" i="56"/>
  <c r="P32" i="56"/>
  <c r="O40" i="56"/>
  <c r="M32" i="56"/>
  <c r="Q32" i="56"/>
  <c r="Q111" i="46"/>
  <c r="Q112" i="46" s="1"/>
  <c r="N111" i="46"/>
  <c r="N112" i="46" s="1"/>
  <c r="N119" i="46"/>
  <c r="N120" i="46" s="1"/>
  <c r="P119" i="46"/>
  <c r="P120" i="46" s="1"/>
  <c r="O111" i="46"/>
  <c r="O112" i="46" s="1"/>
  <c r="P111" i="46"/>
  <c r="P112" i="46" s="1"/>
  <c r="P130" i="56"/>
  <c r="N131" i="56"/>
  <c r="O119" i="46"/>
  <c r="O120" i="46" s="1"/>
  <c r="P131" i="56"/>
  <c r="N132" i="56"/>
  <c r="Q130" i="56"/>
  <c r="N130" i="56"/>
  <c r="Q131" i="56"/>
  <c r="O132" i="56"/>
  <c r="P132" i="56"/>
  <c r="O131" i="56"/>
  <c r="E66" i="56"/>
  <c r="E13" i="56" s="1"/>
  <c r="E48" i="56"/>
  <c r="E12" i="56" s="1"/>
  <c r="E19" i="56"/>
  <c r="F19" i="56"/>
  <c r="F18" i="56"/>
  <c r="I18" i="56"/>
  <c r="H18" i="56"/>
  <c r="G118" i="56"/>
  <c r="F66" i="56"/>
  <c r="F67" i="56" s="1"/>
  <c r="I118" i="56"/>
  <c r="H118" i="56"/>
  <c r="G18" i="56"/>
  <c r="H48" i="56"/>
  <c r="F48" i="56"/>
  <c r="F49" i="56" s="1"/>
  <c r="E18" i="56"/>
  <c r="G48" i="56"/>
  <c r="I48" i="56"/>
  <c r="F40" i="56"/>
  <c r="F41" i="56" s="1"/>
  <c r="F42" i="46"/>
  <c r="F13" i="46" s="1"/>
  <c r="H42" i="46"/>
  <c r="H43" i="46" s="1"/>
  <c r="G44" i="47" s="1"/>
  <c r="F32" i="56"/>
  <c r="F33" i="56" s="1"/>
  <c r="I34" i="46"/>
  <c r="I42" i="46"/>
  <c r="I43" i="46" s="1"/>
  <c r="H44" i="47" s="1"/>
  <c r="E32" i="56"/>
  <c r="E33" i="56" s="1"/>
  <c r="H40" i="56"/>
  <c r="H11" i="56" s="1"/>
  <c r="H11" i="46" s="1"/>
  <c r="G42" i="47" s="1"/>
  <c r="E42" i="46"/>
  <c r="E43" i="46" s="1"/>
  <c r="D44" i="47" s="1"/>
  <c r="H32" i="56"/>
  <c r="H33" i="56" s="1"/>
  <c r="F34" i="46"/>
  <c r="G34" i="46"/>
  <c r="G42" i="46"/>
  <c r="I40" i="56"/>
  <c r="G40" i="56"/>
  <c r="I32" i="56"/>
  <c r="I33" i="56" s="1"/>
  <c r="G32" i="56"/>
  <c r="G33" i="56" s="1"/>
  <c r="E34" i="46"/>
  <c r="E40" i="56"/>
  <c r="H34" i="46"/>
  <c r="H68" i="46"/>
  <c r="H15" i="46" s="1"/>
  <c r="I68" i="46"/>
  <c r="I15" i="46" s="1"/>
  <c r="N68" i="46"/>
  <c r="F68" i="46"/>
  <c r="F15" i="46" s="1"/>
  <c r="G51" i="46"/>
  <c r="F91" i="56"/>
  <c r="F16" i="56" s="1"/>
  <c r="F74" i="56"/>
  <c r="F14" i="56" s="1"/>
  <c r="F82" i="56"/>
  <c r="F15" i="56" s="1"/>
  <c r="H91" i="56"/>
  <c r="H92" i="56" s="1"/>
  <c r="M20" i="46"/>
  <c r="L23" i="56"/>
  <c r="C27" i="47" s="1"/>
  <c r="E125" i="56"/>
  <c r="E126" i="56" s="1"/>
  <c r="G125" i="56"/>
  <c r="G20" i="56" s="1"/>
  <c r="F125" i="56"/>
  <c r="F20" i="56" s="1"/>
  <c r="F133" i="56"/>
  <c r="F21" i="56" s="1"/>
  <c r="G74" i="56"/>
  <c r="G75" i="56" s="1"/>
  <c r="E82" i="56"/>
  <c r="E83" i="56" s="1"/>
  <c r="H82" i="56"/>
  <c r="H83" i="56" s="1"/>
  <c r="F100" i="56"/>
  <c r="F101" i="56" s="1"/>
  <c r="H74" i="56"/>
  <c r="H75" i="56" s="1"/>
  <c r="P102" i="46"/>
  <c r="P103" i="46" s="1"/>
  <c r="N100" i="56"/>
  <c r="N101" i="56" s="1"/>
  <c r="P146" i="56"/>
  <c r="H146" i="56"/>
  <c r="M100" i="56"/>
  <c r="E100" i="56"/>
  <c r="O100" i="56"/>
  <c r="G100" i="56"/>
  <c r="I74" i="56"/>
  <c r="E91" i="56"/>
  <c r="G91" i="56"/>
  <c r="O146" i="56"/>
  <c r="G146" i="56"/>
  <c r="I133" i="56"/>
  <c r="E74" i="56"/>
  <c r="M133" i="56"/>
  <c r="M134" i="56" s="1"/>
  <c r="E133" i="56"/>
  <c r="H133" i="56"/>
  <c r="G82" i="56"/>
  <c r="I91" i="56"/>
  <c r="I125" i="56"/>
  <c r="E146" i="56"/>
  <c r="M146" i="56"/>
  <c r="Q146" i="56"/>
  <c r="I146" i="56"/>
  <c r="O102" i="46"/>
  <c r="O103" i="46" s="1"/>
  <c r="N102" i="46"/>
  <c r="N103" i="46" s="1"/>
  <c r="H125" i="56"/>
  <c r="Q100" i="56"/>
  <c r="I100" i="56"/>
  <c r="N146" i="56"/>
  <c r="F146" i="56"/>
  <c r="I82" i="56"/>
  <c r="P100" i="56"/>
  <c r="H100" i="56"/>
  <c r="G133" i="56"/>
  <c r="P148" i="46"/>
  <c r="P149" i="46" s="1"/>
  <c r="Q148" i="46"/>
  <c r="O148" i="46"/>
  <c r="N148" i="46"/>
  <c r="M148" i="46"/>
  <c r="M135" i="46"/>
  <c r="M136" i="46" s="1"/>
  <c r="Q102" i="46"/>
  <c r="Q103" i="46" s="1"/>
  <c r="M102" i="46"/>
  <c r="M103" i="46" s="1"/>
  <c r="M21" i="46"/>
  <c r="O93" i="46"/>
  <c r="P84" i="46"/>
  <c r="P85" i="46" s="1"/>
  <c r="M93" i="46"/>
  <c r="N84" i="46"/>
  <c r="N85" i="46" s="1"/>
  <c r="O84" i="46"/>
  <c r="O85" i="46" s="1"/>
  <c r="Q84" i="46"/>
  <c r="N93" i="46"/>
  <c r="P93" i="46"/>
  <c r="N76" i="46"/>
  <c r="N77" i="46" s="1"/>
  <c r="O76" i="46"/>
  <c r="O77" i="46" s="1"/>
  <c r="P76" i="46"/>
  <c r="Q76" i="46"/>
  <c r="M76" i="46"/>
  <c r="M84" i="46"/>
  <c r="M85" i="46" s="1"/>
  <c r="L16" i="46"/>
  <c r="L25" i="46" s="1"/>
  <c r="G68" i="46"/>
  <c r="G15" i="46" s="1"/>
  <c r="O68" i="46"/>
  <c r="E68" i="46"/>
  <c r="E15" i="46" s="1"/>
  <c r="M68" i="46"/>
  <c r="G20" i="46"/>
  <c r="F21" i="46"/>
  <c r="G21" i="46"/>
  <c r="I20" i="46"/>
  <c r="F20" i="46"/>
  <c r="H21" i="46"/>
  <c r="I21" i="46"/>
  <c r="H20" i="46"/>
  <c r="D23" i="46"/>
  <c r="D22" i="46"/>
  <c r="D19" i="46"/>
  <c r="D18" i="46"/>
  <c r="D17" i="46"/>
  <c r="H60" i="46"/>
  <c r="G46" i="47" s="1"/>
  <c r="F60" i="46"/>
  <c r="E46" i="47" s="1"/>
  <c r="E60" i="46"/>
  <c r="D46" i="47" s="1"/>
  <c r="E112" i="46"/>
  <c r="D60" i="47" s="1"/>
  <c r="E120" i="46"/>
  <c r="D61" i="47" s="1"/>
  <c r="E135" i="46"/>
  <c r="E23" i="46" s="1"/>
  <c r="F135" i="46"/>
  <c r="F23" i="46" s="1"/>
  <c r="G135" i="46"/>
  <c r="H135" i="46"/>
  <c r="I135" i="46"/>
  <c r="F112" i="46"/>
  <c r="I120" i="46"/>
  <c r="H61" i="47" s="1"/>
  <c r="I112" i="46"/>
  <c r="H60" i="47" s="1"/>
  <c r="F120" i="46"/>
  <c r="H112" i="46"/>
  <c r="H46" i="47"/>
  <c r="G120" i="46"/>
  <c r="F61" i="47" s="1"/>
  <c r="H120" i="46"/>
  <c r="G60" i="46"/>
  <c r="F46" i="47" s="1"/>
  <c r="G112" i="46"/>
  <c r="E22" i="42"/>
  <c r="E24" i="42" s="1"/>
  <c r="F84" i="46"/>
  <c r="F17" i="46" s="1"/>
  <c r="H84" i="46"/>
  <c r="H17" i="46" s="1"/>
  <c r="H93" i="46"/>
  <c r="H102" i="46"/>
  <c r="H19" i="46" s="1"/>
  <c r="H22" i="42"/>
  <c r="H24" i="42" s="1"/>
  <c r="H148" i="46"/>
  <c r="H127" i="46"/>
  <c r="H76" i="46"/>
  <c r="H16" i="46" s="1"/>
  <c r="I102" i="46"/>
  <c r="I19" i="46" s="1"/>
  <c r="I84" i="46"/>
  <c r="I17" i="46" s="1"/>
  <c r="I148" i="46"/>
  <c r="F93" i="46"/>
  <c r="I127" i="46"/>
  <c r="F127" i="46"/>
  <c r="I93" i="46"/>
  <c r="F76" i="46"/>
  <c r="F16" i="46" s="1"/>
  <c r="I76" i="46"/>
  <c r="I16" i="46" s="1"/>
  <c r="G93" i="46"/>
  <c r="I22" i="42"/>
  <c r="I24" i="42" s="1"/>
  <c r="F148" i="46"/>
  <c r="F102" i="46"/>
  <c r="F19" i="46" s="1"/>
  <c r="G127" i="46"/>
  <c r="E127" i="46"/>
  <c r="E148" i="46"/>
  <c r="G84" i="46"/>
  <c r="G17" i="46" s="1"/>
  <c r="F22" i="42"/>
  <c r="F24" i="42" s="1"/>
  <c r="E93" i="46"/>
  <c r="E76" i="46"/>
  <c r="E16" i="46" s="1"/>
  <c r="G148" i="46"/>
  <c r="E102" i="46"/>
  <c r="E84" i="46"/>
  <c r="E17" i="46" s="1"/>
  <c r="G76" i="46"/>
  <c r="G16" i="46" s="1"/>
  <c r="G22" i="42"/>
  <c r="G24" i="42" s="1"/>
  <c r="G102" i="46"/>
  <c r="G19" i="46" s="1"/>
  <c r="I67" i="56" l="1"/>
  <c r="Q12" i="56"/>
  <c r="O49" i="56"/>
  <c r="M49" i="56"/>
  <c r="G13" i="56"/>
  <c r="N12" i="56"/>
  <c r="E51" i="46"/>
  <c r="D45" i="47" s="1"/>
  <c r="P49" i="56"/>
  <c r="E14" i="46"/>
  <c r="P43" i="46"/>
  <c r="P13" i="46"/>
  <c r="N43" i="46"/>
  <c r="N13" i="46"/>
  <c r="Q43" i="46"/>
  <c r="Q13" i="46"/>
  <c r="O41" i="56"/>
  <c r="O11" i="56"/>
  <c r="P33" i="56"/>
  <c r="P10" i="56"/>
  <c r="N33" i="56"/>
  <c r="N10" i="56"/>
  <c r="Q41" i="56"/>
  <c r="Q11" i="56"/>
  <c r="N41" i="56"/>
  <c r="N11" i="56"/>
  <c r="M41" i="56"/>
  <c r="M11" i="56"/>
  <c r="P41" i="56"/>
  <c r="P11" i="56"/>
  <c r="Q33" i="56"/>
  <c r="Q10" i="56"/>
  <c r="O33" i="56"/>
  <c r="O10" i="56"/>
  <c r="M33" i="56"/>
  <c r="M10" i="56"/>
  <c r="Q21" i="46"/>
  <c r="H13" i="56"/>
  <c r="P15" i="46"/>
  <c r="P69" i="46"/>
  <c r="Q15" i="46"/>
  <c r="Q69" i="46"/>
  <c r="N21" i="46"/>
  <c r="P21" i="46"/>
  <c r="Q20" i="46"/>
  <c r="N20" i="46"/>
  <c r="N133" i="56"/>
  <c r="N134" i="56" s="1"/>
  <c r="P20" i="46"/>
  <c r="O135" i="46"/>
  <c r="O136" i="46" s="1"/>
  <c r="O20" i="46"/>
  <c r="P135" i="46"/>
  <c r="P136" i="46" s="1"/>
  <c r="O133" i="56"/>
  <c r="O134" i="56" s="1"/>
  <c r="N135" i="46"/>
  <c r="N136" i="46" s="1"/>
  <c r="O21" i="46"/>
  <c r="Q133" i="56"/>
  <c r="Q134" i="56" s="1"/>
  <c r="P133" i="56"/>
  <c r="P134" i="56" s="1"/>
  <c r="Q135" i="46"/>
  <c r="Q136" i="46" s="1"/>
  <c r="E67" i="56"/>
  <c r="F10" i="56"/>
  <c r="F10" i="46" s="1"/>
  <c r="E41" i="47" s="1"/>
  <c r="E49" i="56"/>
  <c r="I12" i="56"/>
  <c r="H49" i="56"/>
  <c r="F13" i="56"/>
  <c r="F12" i="56"/>
  <c r="I49" i="56"/>
  <c r="H12" i="56"/>
  <c r="G49" i="56"/>
  <c r="G12" i="56"/>
  <c r="F43" i="46"/>
  <c r="E44" i="47" s="1"/>
  <c r="I13" i="46"/>
  <c r="F11" i="56"/>
  <c r="F11" i="46" s="1"/>
  <c r="E42" i="47" s="1"/>
  <c r="H13" i="46"/>
  <c r="H41" i="56"/>
  <c r="E10" i="56"/>
  <c r="E10" i="46" s="1"/>
  <c r="D41" i="47" s="1"/>
  <c r="H10" i="56"/>
  <c r="H10" i="46" s="1"/>
  <c r="G41" i="47" s="1"/>
  <c r="E13" i="46"/>
  <c r="G10" i="56"/>
  <c r="G10" i="46" s="1"/>
  <c r="F41" i="47" s="1"/>
  <c r="I10" i="56"/>
  <c r="I10" i="46" s="1"/>
  <c r="H41" i="47" s="1"/>
  <c r="I11" i="56"/>
  <c r="I11" i="46" s="1"/>
  <c r="H42" i="47" s="1"/>
  <c r="I41" i="56"/>
  <c r="G43" i="46"/>
  <c r="F44" i="47" s="1"/>
  <c r="G13" i="46"/>
  <c r="E11" i="56"/>
  <c r="E11" i="46" s="1"/>
  <c r="D42" i="47" s="1"/>
  <c r="E41" i="56"/>
  <c r="H69" i="46"/>
  <c r="G49" i="47" s="1"/>
  <c r="G41" i="56"/>
  <c r="G11" i="56"/>
  <c r="G11" i="46" s="1"/>
  <c r="F42" i="47" s="1"/>
  <c r="H14" i="46"/>
  <c r="F69" i="46"/>
  <c r="E49" i="47" s="1"/>
  <c r="I14" i="46"/>
  <c r="H51" i="46"/>
  <c r="G45" i="47" s="1"/>
  <c r="I69" i="46"/>
  <c r="H49" i="47" s="1"/>
  <c r="N15" i="46"/>
  <c r="N69" i="46"/>
  <c r="F51" i="46"/>
  <c r="E45" i="47" s="1"/>
  <c r="C33" i="47"/>
  <c r="F92" i="56"/>
  <c r="H16" i="56"/>
  <c r="G14" i="56"/>
  <c r="F75" i="56"/>
  <c r="E20" i="56"/>
  <c r="F83" i="56"/>
  <c r="E15" i="56"/>
  <c r="F134" i="56"/>
  <c r="F126" i="56"/>
  <c r="I25" i="42"/>
  <c r="H14" i="56"/>
  <c r="H25" i="42"/>
  <c r="G25" i="42"/>
  <c r="F25" i="42"/>
  <c r="G126" i="56"/>
  <c r="O19" i="46"/>
  <c r="H15" i="56"/>
  <c r="P19" i="46"/>
  <c r="N19" i="46"/>
  <c r="N17" i="46"/>
  <c r="F17" i="56"/>
  <c r="E14" i="56"/>
  <c r="E75" i="56"/>
  <c r="H126" i="56"/>
  <c r="H20" i="56"/>
  <c r="P18" i="46"/>
  <c r="P94" i="46"/>
  <c r="O18" i="46"/>
  <c r="O94" i="46"/>
  <c r="I83" i="56"/>
  <c r="I15" i="56"/>
  <c r="I126" i="56"/>
  <c r="I20" i="56"/>
  <c r="E92" i="56"/>
  <c r="E16" i="56"/>
  <c r="M18" i="46"/>
  <c r="M94" i="46"/>
  <c r="P101" i="56"/>
  <c r="N147" i="56"/>
  <c r="N22" i="56"/>
  <c r="Q22" i="56"/>
  <c r="Q147" i="56"/>
  <c r="Q18" i="46"/>
  <c r="G134" i="56"/>
  <c r="G21" i="56"/>
  <c r="I16" i="56"/>
  <c r="I92" i="56"/>
  <c r="I134" i="56"/>
  <c r="I21" i="56"/>
  <c r="I75" i="56"/>
  <c r="I14" i="56"/>
  <c r="E17" i="56"/>
  <c r="E101" i="56"/>
  <c r="N18" i="46"/>
  <c r="N94" i="46"/>
  <c r="O147" i="56"/>
  <c r="O22" i="56"/>
  <c r="G22" i="56"/>
  <c r="G147" i="56"/>
  <c r="M101" i="56"/>
  <c r="Q17" i="46"/>
  <c r="Q85" i="46"/>
  <c r="I101" i="56"/>
  <c r="I17" i="56"/>
  <c r="G15" i="56"/>
  <c r="G83" i="56"/>
  <c r="Q101" i="56"/>
  <c r="M22" i="56"/>
  <c r="M147" i="56"/>
  <c r="H21" i="56"/>
  <c r="H134" i="56"/>
  <c r="G16" i="56"/>
  <c r="G92" i="56"/>
  <c r="G101" i="56"/>
  <c r="G17" i="56"/>
  <c r="H22" i="56"/>
  <c r="H147" i="56"/>
  <c r="H101" i="56"/>
  <c r="H17" i="56"/>
  <c r="F22" i="56"/>
  <c r="F147" i="56"/>
  <c r="P22" i="56"/>
  <c r="P147" i="56"/>
  <c r="I147" i="56"/>
  <c r="I22" i="56"/>
  <c r="E147" i="56"/>
  <c r="E22" i="56"/>
  <c r="E21" i="56"/>
  <c r="E134" i="56"/>
  <c r="O101" i="56"/>
  <c r="P24" i="46"/>
  <c r="M24" i="46"/>
  <c r="M149" i="46"/>
  <c r="N149" i="46"/>
  <c r="N24" i="46"/>
  <c r="O149" i="46"/>
  <c r="O24" i="46"/>
  <c r="Q24" i="46"/>
  <c r="Q149" i="46"/>
  <c r="M19" i="46"/>
  <c r="Q19" i="46"/>
  <c r="M23" i="46"/>
  <c r="O17" i="46"/>
  <c r="P17" i="46"/>
  <c r="N16" i="46"/>
  <c r="E69" i="46"/>
  <c r="D49" i="47" s="1"/>
  <c r="O16" i="46"/>
  <c r="M17" i="46"/>
  <c r="M16" i="46"/>
  <c r="M77" i="46"/>
  <c r="G69" i="46"/>
  <c r="F49" i="47" s="1"/>
  <c r="Q77" i="46"/>
  <c r="Q16" i="46"/>
  <c r="P16" i="46"/>
  <c r="P77" i="46"/>
  <c r="M15" i="46"/>
  <c r="M69" i="46"/>
  <c r="O15" i="46"/>
  <c r="O69" i="46"/>
  <c r="H149" i="46"/>
  <c r="G66" i="47" s="1"/>
  <c r="H24" i="46"/>
  <c r="E149" i="46"/>
  <c r="D66" i="47" s="1"/>
  <c r="E24" i="46"/>
  <c r="G149" i="46"/>
  <c r="F66" i="47" s="1"/>
  <c r="G24" i="46"/>
  <c r="F149" i="46"/>
  <c r="F24" i="46"/>
  <c r="I149" i="46"/>
  <c r="H66" i="47" s="1"/>
  <c r="I24" i="46"/>
  <c r="G23" i="46"/>
  <c r="G22" i="46"/>
  <c r="E103" i="46"/>
  <c r="D57" i="47" s="1"/>
  <c r="E19" i="46"/>
  <c r="E22" i="46"/>
  <c r="H22" i="46"/>
  <c r="H23" i="46"/>
  <c r="F22" i="46"/>
  <c r="I22" i="46"/>
  <c r="I23" i="46"/>
  <c r="H18" i="46"/>
  <c r="I18" i="46"/>
  <c r="E18" i="46"/>
  <c r="G18" i="46"/>
  <c r="F18" i="46"/>
  <c r="F136" i="46"/>
  <c r="E63" i="47" s="1"/>
  <c r="E136" i="46"/>
  <c r="D63" i="47" s="1"/>
  <c r="I136" i="46"/>
  <c r="H63" i="47" s="1"/>
  <c r="H136" i="46"/>
  <c r="G63" i="47" s="1"/>
  <c r="G136" i="46"/>
  <c r="F63" i="47" s="1"/>
  <c r="I85" i="46"/>
  <c r="H51" i="47" s="1"/>
  <c r="H85" i="46"/>
  <c r="G51" i="47" s="1"/>
  <c r="F85" i="46"/>
  <c r="E85" i="46"/>
  <c r="D51" i="47" s="1"/>
  <c r="G85" i="46"/>
  <c r="H77" i="46"/>
  <c r="G50" i="47" s="1"/>
  <c r="F77" i="46"/>
  <c r="E50" i="47" s="1"/>
  <c r="I77" i="46"/>
  <c r="H50" i="47" s="1"/>
  <c r="G77" i="46"/>
  <c r="F50" i="47" s="1"/>
  <c r="E94" i="46"/>
  <c r="D54" i="47" s="1"/>
  <c r="F103" i="46"/>
  <c r="E57" i="47" s="1"/>
  <c r="I103" i="46"/>
  <c r="H57" i="47" s="1"/>
  <c r="H103" i="46"/>
  <c r="H18" i="47"/>
  <c r="F128" i="46"/>
  <c r="I94" i="46"/>
  <c r="G94" i="46"/>
  <c r="F54" i="47" s="1"/>
  <c r="H128" i="46"/>
  <c r="F18" i="47"/>
  <c r="I128" i="46"/>
  <c r="H62" i="47" s="1"/>
  <c r="E128" i="46"/>
  <c r="H94" i="46"/>
  <c r="G54" i="47" s="1"/>
  <c r="E18" i="47"/>
  <c r="G103" i="46"/>
  <c r="F94" i="46"/>
  <c r="E54" i="47" s="1"/>
  <c r="E77" i="46"/>
  <c r="D50" i="47" s="1"/>
  <c r="G128" i="46"/>
  <c r="F62" i="47" s="1"/>
  <c r="G18" i="47"/>
  <c r="E25" i="42"/>
  <c r="D18" i="47"/>
  <c r="G61" i="47"/>
  <c r="G60" i="47"/>
  <c r="H45" i="47"/>
  <c r="F60" i="47"/>
  <c r="E60" i="47"/>
  <c r="E61" i="47"/>
  <c r="F45" i="47"/>
  <c r="Q23" i="46" l="1"/>
  <c r="Q25" i="46" s="1"/>
  <c r="O23" i="46"/>
  <c r="O25" i="46" s="1"/>
  <c r="N23" i="46"/>
  <c r="N25" i="46" s="1"/>
  <c r="P23" i="46"/>
  <c r="P25" i="46" s="1"/>
  <c r="M25" i="46"/>
  <c r="M23" i="56"/>
  <c r="D27" i="47" s="1"/>
  <c r="N23" i="56"/>
  <c r="E27" i="47" s="1"/>
  <c r="P23" i="56"/>
  <c r="G27" i="47" s="1"/>
  <c r="Q23" i="56"/>
  <c r="H27" i="47" s="1"/>
  <c r="O23" i="56"/>
  <c r="F27" i="47" s="1"/>
  <c r="F20" i="47"/>
  <c r="F19" i="47"/>
  <c r="D19" i="47"/>
  <c r="D20" i="47"/>
  <c r="G19" i="47"/>
  <c r="G20" i="47"/>
  <c r="H19" i="47"/>
  <c r="H20" i="47"/>
  <c r="E20" i="47"/>
  <c r="E19" i="47"/>
  <c r="H54" i="47"/>
  <c r="G62" i="47"/>
  <c r="E51" i="47"/>
  <c r="F51" i="47"/>
  <c r="E66" i="47"/>
  <c r="E62" i="47"/>
  <c r="F57" i="47"/>
  <c r="D62" i="47"/>
  <c r="G57" i="47"/>
  <c r="H33" i="47" l="1"/>
  <c r="H34" i="47" s="1"/>
  <c r="F33" i="47"/>
  <c r="G33" i="47"/>
  <c r="G34" i="47" s="1"/>
  <c r="D33" i="47"/>
  <c r="D35" i="47" s="1"/>
  <c r="E33" i="47"/>
  <c r="E34" i="47" s="1"/>
  <c r="H28" i="47" l="1"/>
  <c r="H29" i="47"/>
  <c r="G35" i="47"/>
  <c r="H35" i="47"/>
  <c r="F34" i="47"/>
  <c r="F28" i="47"/>
  <c r="D28" i="47"/>
  <c r="D29" i="47"/>
  <c r="G29" i="47"/>
  <c r="G28" i="47"/>
  <c r="E35" i="47"/>
  <c r="F35" i="47"/>
  <c r="F29" i="47"/>
  <c r="E28" i="47"/>
  <c r="D34" i="47"/>
  <c r="E29" i="47"/>
  <c r="D12" i="46" l="1"/>
  <c r="F35" i="46"/>
  <c r="E43" i="47" s="1"/>
  <c r="I12" i="46"/>
  <c r="I35" i="46"/>
  <c r="H43" i="47" s="1"/>
  <c r="H12" i="46"/>
  <c r="E12" i="46"/>
  <c r="E35" i="46"/>
  <c r="D43" i="47" s="1"/>
  <c r="H35" i="46"/>
  <c r="G43" i="47" s="1"/>
  <c r="G12" i="46"/>
  <c r="G35" i="46"/>
  <c r="F43" i="47" s="1"/>
  <c r="F12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<sst xmlns="http://schemas.openxmlformats.org/spreadsheetml/2006/main" count="2411" uniqueCount="1064">
  <si>
    <t>Analyst please hide sheet once complete.</t>
  </si>
  <si>
    <t>Notes for analysts: how to complete this sheet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</si>
  <si>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</si>
  <si>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</si>
  <si>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</si>
  <si>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</si>
  <si>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</si>
  <si>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</si>
  <si>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</si>
  <si>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</si>
  <si>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</si>
  <si>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</si>
  <si>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</si>
  <si>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</si>
  <si>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</si>
  <si>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</si>
  <si>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</si>
  <si>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</si>
  <si>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</si>
  <si>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</si>
  <si>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</si>
  <si>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</si>
  <si>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</si>
  <si>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</si>
  <si>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</si>
  <si>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</si>
  <si>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</si>
  <si>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</si>
  <si>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</si>
  <si>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</si>
  <si>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</si>
  <si>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</si>
  <si>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</si>
  <si>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</si>
  <si>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</si>
  <si>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</si>
  <si>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</si>
  <si>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</si>
  <si>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</si>
  <si>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</si>
  <si>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</si>
  <si>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</si>
  <si>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</si>
  <si>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</si>
  <si>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</si>
  <si>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</si>
  <si>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</si>
  <si>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</si>
  <si>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</si>
  <si>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</si>
  <si>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</si>
  <si>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</si>
  <si>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</si>
  <si>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</si>
  <si>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</si>
  <si>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</si>
  <si>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</si>
  <si>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</si>
  <si>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</si>
  <si>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</si>
  <si>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</si>
  <si>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</si>
  <si>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</si>
  <si>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</si>
  <si>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</si>
  <si>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</si>
  <si>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</si>
  <si>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</si>
  <si>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</si>
  <si>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</si>
  <si>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</si>
  <si>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</si>
  <si>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</si>
  <si>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</si>
  <si>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</si>
  <si>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</si>
  <si>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</si>
  <si>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</si>
  <si>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</si>
  <si>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</si>
  <si>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</si>
  <si>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</si>
  <si>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</si>
  <si>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</si>
  <si>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</si>
  <si>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</si>
  <si>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</si>
  <si>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</si>
  <si>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</si>
  <si>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</si>
  <si>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</si>
  <si>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</si>
  <si>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</si>
  <si>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</si>
  <si>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</si>
  <si>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</si>
  <si>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</si>
  <si>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</si>
  <si>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</si>
  <si>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</si>
  <si>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</si>
  <si>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</si>
  <si>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</si>
  <si>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</si>
  <si>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</si>
  <si>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</si>
  <si>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</si>
  <si>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</si>
  <si>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</si>
  <si>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</si>
  <si>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</si>
  <si>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</si>
  <si>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</si>
  <si>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</si>
  <si>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</si>
  <si>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</si>
  <si>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</si>
  <si>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</si>
  <si>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</si>
  <si>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</si>
  <si>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</si>
  <si>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</si>
  <si>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</si>
  <si>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</si>
  <si>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</si>
  <si>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</si>
  <si>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</si>
  <si>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</si>
  <si>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</si>
  <si>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</si>
  <si>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</si>
  <si>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</si>
  <si>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</si>
  <si>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</si>
  <si>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</si>
  <si>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</si>
  <si>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</si>
  <si>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</si>
  <si>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</si>
  <si>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</si>
  <si>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</si>
  <si>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</si>
  <si>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</si>
  <si>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</si>
  <si>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</si>
  <si>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</si>
  <si>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</si>
  <si>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</si>
  <si>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</si>
  <si>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</si>
  <si>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</si>
  <si>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</si>
  <si>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</si>
  <si>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</si>
  <si>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</si>
  <si>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</si>
  <si>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</si>
  <si>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</si>
  <si>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</si>
  <si>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</si>
  <si>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</si>
  <si>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</si>
  <si>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</si>
  <si>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</si>
  <si>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</si>
  <si>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</si>
  <si>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</si>
  <si>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</si>
  <si>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</si>
  <si>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</si>
  <si>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</si>
  <si>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</si>
  <si>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</si>
  <si>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</si>
  <si>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</si>
  <si>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</si>
  <si>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</si>
  <si>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</si>
  <si>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</si>
  <si>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</si>
  <si>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</si>
  <si>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</si>
  <si>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</si>
  <si>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</si>
  <si>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</si>
  <si>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</si>
  <si>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</si>
  <si>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</si>
  <si>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</si>
  <si>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</si>
  <si>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</si>
  <si>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</si>
  <si>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</si>
  <si>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</si>
  <si>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</si>
  <si>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</si>
  <si>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</si>
  <si>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</si>
  <si>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</si>
  <si>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</si>
  <si>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</si>
  <si>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</si>
  <si>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</si>
  <si>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</si>
  <si>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</si>
  <si>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</si>
  <si>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</si>
  <si>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</si>
  <si>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</si>
  <si>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</si>
  <si>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</si>
  <si>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</si>
  <si>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</si>
  <si>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</si>
  <si>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</si>
  <si>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</si>
  <si>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</si>
  <si>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</si>
  <si>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</si>
  <si>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</si>
  <si>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</si>
  <si>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</si>
  <si>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</si>
  <si>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</si>
  <si>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</si>
  <si>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</si>
  <si>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</si>
  <si>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</si>
  <si>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</si>
  <si>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</si>
  <si>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</si>
  <si>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</si>
  <si>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</si>
  <si>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</si>
  <si>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</si>
  <si>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</si>
  <si>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</si>
  <si>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</si>
  <si>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</si>
  <si>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</si>
  <si>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</si>
  <si>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</si>
  <si>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</si>
  <si>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</si>
  <si>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</si>
  <si>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</si>
  <si>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</si>
  <si>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</si>
  <si>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</si>
  <si>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</si>
  <si>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</si>
  <si>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</si>
  <si>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</si>
  <si>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</si>
  <si>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</si>
  <si>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</si>
  <si>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</si>
  <si>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</si>
  <si>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</si>
  <si>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</si>
  <si>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</si>
  <si>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</si>
  <si>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</si>
  <si>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</si>
  <si>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</si>
  <si>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</si>
  <si>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</si>
  <si>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</si>
  <si>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</si>
  <si>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</si>
  <si>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</si>
  <si>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</si>
  <si>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</si>
  <si>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</si>
  <si>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</si>
  <si>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</si>
  <si>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</si>
  <si>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</si>
  <si>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</si>
  <si>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</si>
  <si>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</si>
  <si>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</si>
  <si>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</si>
  <si>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</si>
  <si>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</si>
  <si>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</si>
  <si>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</si>
  <si>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</si>
  <si>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</si>
  <si>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</si>
  <si>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</si>
  <si>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</si>
  <si>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</si>
  <si>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</si>
  <si>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</si>
  <si>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</si>
  <si>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</si>
  <si>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</si>
  <si>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</si>
  <si>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</si>
  <si>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</si>
  <si>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</si>
  <si>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</si>
  <si>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</si>
  <si>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</si>
  <si>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</si>
  <si>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</si>
  <si>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</si>
  <si>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</si>
  <si>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</si>
  <si>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</si>
  <si>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</si>
  <si>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</si>
  <si>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</si>
  <si>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</si>
  <si>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</si>
  <si>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</si>
  <si>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</si>
  <si>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</si>
  <si>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</si>
  <si>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</si>
  <si>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</si>
  <si>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</si>
  <si>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</si>
  <si>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</si>
  <si>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</si>
  <si>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</si>
  <si>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</si>
  <si>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</si>
  <si>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</si>
  <si>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</si>
  <si>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</si>
  <si>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</si>
  <si>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</si>
  <si>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</si>
  <si>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</si>
  <si>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</si>
  <si>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</si>
  <si>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</si>
  <si>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</si>
  <si>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</si>
  <si>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</si>
  <si>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</si>
  <si>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</si>
  <si>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</si>
  <si>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</si>
  <si>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</si>
  <si>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</si>
  <si>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</si>
  <si>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</si>
  <si>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</si>
  <si>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</si>
  <si>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</si>
  <si>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</si>
  <si>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</si>
  <si>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</si>
  <si>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</si>
  <si>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</si>
  <si>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</si>
  <si>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</si>
  <si>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</si>
  <si>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</si>
  <si>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</si>
  <si>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</si>
  <si>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</si>
  <si>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</si>
  <si>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</si>
  <si>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</si>
  <si>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</si>
  <si>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</si>
  <si>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</si>
  <si>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</si>
  <si>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</si>
  <si>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</si>
  <si>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</si>
  <si>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</si>
  <si>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</si>
  <si>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</si>
  <si>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</si>
  <si>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</si>
  <si>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</si>
  <si>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</si>
  <si>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</si>
  <si>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</si>
  <si>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</si>
  <si>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</si>
  <si>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</si>
  <si>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</si>
  <si>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</si>
  <si>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</si>
  <si>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</si>
  <si>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</si>
  <si>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</si>
  <si>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</si>
  <si>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</si>
  <si>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</si>
  <si>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</si>
  <si>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</si>
  <si>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</si>
  <si>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</si>
  <si>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</si>
  <si>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</si>
  <si>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</si>
  <si>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</si>
  <si>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</si>
  <si>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</si>
  <si>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</si>
  <si>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</si>
  <si>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</si>
  <si>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</si>
  <si>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</si>
  <si>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</si>
  <si>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</si>
  <si>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</si>
  <si>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</si>
  <si>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</si>
  <si>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</si>
  <si>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</si>
  <si>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</si>
  <si>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</si>
  <si>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</si>
  <si>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</si>
  <si>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</si>
  <si>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</si>
  <si>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</si>
  <si>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</si>
  <si>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</si>
  <si>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</si>
  <si>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</si>
  <si>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</si>
  <si>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</si>
  <si>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</si>
  <si>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</si>
  <si>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</si>
  <si>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</si>
  <si>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</si>
  <si>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</si>
  <si>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</si>
  <si>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</si>
  <si>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</si>
  <si>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</si>
  <si>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</si>
  <si>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</si>
  <si>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</si>
  <si>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</si>
  <si>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</si>
  <si>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</si>
  <si>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</si>
  <si>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</si>
  <si>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</si>
  <si>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</si>
  <si>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</si>
  <si>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</si>
  <si>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</si>
  <si>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</si>
  <si>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</si>
  <si>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</si>
  <si>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</si>
  <si>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</si>
  <si>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</si>
  <si>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</si>
  <si>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</si>
  <si>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</si>
  <si>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</si>
  <si>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</si>
  <si>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</si>
  <si>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</si>
  <si>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</si>
  <si>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</si>
  <si>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</si>
  <si>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</si>
  <si>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</si>
  <si>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</si>
  <si>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</si>
  <si>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</si>
  <si>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</si>
  <si>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</si>
  <si>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</si>
  <si>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</si>
  <si>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</si>
  <si>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</si>
  <si>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</si>
  <si>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</si>
  <si>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</si>
  <si>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</si>
  <si>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</si>
  <si>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</si>
  <si>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</si>
  <si>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</si>
  <si>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</si>
  <si>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</si>
  <si>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</si>
  <si>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</si>
  <si>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</si>
  <si>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</si>
  <si>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</si>
  <si>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</si>
  <si>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</si>
  <si>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</si>
  <si>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</si>
  <si>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</si>
  <si>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</si>
  <si>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</si>
  <si>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</si>
  <si>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</si>
  <si>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</si>
  <si>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</si>
  <si>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</si>
  <si>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</si>
  <si>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</si>
  <si>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</si>
  <si>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</si>
  <si>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</si>
  <si>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</si>
  <si>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</si>
  <si>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</si>
  <si>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</si>
  <si>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</si>
  <si>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</si>
  <si>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</si>
  <si>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</si>
  <si>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</si>
  <si>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</si>
  <si>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</si>
  <si>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</si>
  <si>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</si>
  <si>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</si>
  <si>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</si>
  <si>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</si>
  <si>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</si>
  <si>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</si>
  <si>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</si>
  <si>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</si>
  <si>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</si>
  <si>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</si>
  <si>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</si>
  <si>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</si>
  <si>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</si>
  <si>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</si>
  <si>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</si>
  <si>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</si>
  <si>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</si>
  <si>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</si>
  <si>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</si>
  <si>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</si>
  <si>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</si>
  <si>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</si>
  <si>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</si>
  <si>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</si>
  <si>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</si>
  <si>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</si>
  <si>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</si>
  <si>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</si>
  <si>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</si>
  <si>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</si>
  <si>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</si>
  <si>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</si>
  <si>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</si>
  <si>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</si>
  <si>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</si>
  <si>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</si>
  <si>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</si>
  <si>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</si>
  <si>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</si>
  <si>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</si>
  <si>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</si>
  <si>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</si>
  <si>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</si>
  <si>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</si>
  <si>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</si>
  <si>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</si>
  <si>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</si>
  <si>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</si>
  <si>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</si>
  <si>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</si>
  <si>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</si>
  <si>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</si>
  <si>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</si>
  <si>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</si>
  <si>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</si>
  <si>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</si>
  <si>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</si>
  <si>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</si>
  <si>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</si>
  <si>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</si>
  <si>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</si>
  <si>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</si>
  <si>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</si>
  <si>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</si>
  <si>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</si>
  <si>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</si>
  <si>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</si>
  <si>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</si>
  <si>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</si>
  <si>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</si>
  <si>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</si>
  <si>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</si>
  <si>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</si>
  <si>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</si>
  <si>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</si>
  <si>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</si>
  <si>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</si>
  <si>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</si>
  <si>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</si>
  <si>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</si>
  <si>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</si>
  <si>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</si>
  <si>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</si>
  <si>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</si>
  <si>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</si>
  <si>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</si>
  <si>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</si>
  <si>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</si>
  <si>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</si>
  <si>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</si>
  <si>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</si>
  <si>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</si>
  <si>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</si>
  <si>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</si>
  <si>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</si>
  <si>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</si>
  <si>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Putting NICE guidance into practice</t>
  </si>
  <si>
    <t>Resource impact template:</t>
  </si>
  <si>
    <t xml:space="preserve">Olaparib for treating BRCA mutation-positive </t>
  </si>
  <si>
    <t>Published: February 2025</t>
  </si>
  <si>
    <t>Specialty area</t>
  </si>
  <si>
    <t>Cancer</t>
  </si>
  <si>
    <t>Disease area</t>
  </si>
  <si>
    <t>Breast</t>
  </si>
  <si>
    <t>Pathway position</t>
  </si>
  <si>
    <t>Second line treatment (after anthracycline or taxane or endocrine therapy)</t>
  </si>
  <si>
    <t>Administration method</t>
  </si>
  <si>
    <t>Oral</t>
  </si>
  <si>
    <t>Provider</t>
  </si>
  <si>
    <t>Secondary care - acute</t>
  </si>
  <si>
    <t>Commissioner</t>
  </si>
  <si>
    <t>NHS England</t>
  </si>
  <si>
    <t>Programme budget category</t>
  </si>
  <si>
    <t>02F cancer, breast</t>
  </si>
  <si>
    <t>Implementation period</t>
  </si>
  <si>
    <t>30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</si>
  <si>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</si>
  <si>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</si>
  <si>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</si>
  <si>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</si>
  <si>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</si>
  <si>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</si>
  <si>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</si>
  <si>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</si>
  <si>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</si>
  <si>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</si>
  <si>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</si>
  <si>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</si>
  <si>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</si>
  <si>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</si>
  <si>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</si>
  <si>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</si>
  <si>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</si>
  <si>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</si>
  <si>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</si>
  <si>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</si>
  <si>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</si>
  <si>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</si>
  <si>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</si>
  <si>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</si>
  <si>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2025.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</si>
  <si>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</si>
  <si>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</si>
  <si>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</si>
  <si>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</si>
  <si>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</si>
  <si>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</si>
  <si>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</si>
  <si>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</si>
  <si>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</si>
  <si>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</si>
  <si>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</si>
  <si>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</si>
  <si>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</si>
  <si>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</si>
  <si>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</si>
  <si>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</si>
  <si>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</si>
  <si>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</si>
  <si>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</si>
  <si>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Incidence of breast cancer</t>
  </si>
  <si>
    <t>Cancer Registration Statistics, England, 2022 - NHS England Digital</t>
  </si>
  <si>
    <t>People with stage III or IV disease on diagnosis</t>
  </si>
  <si>
    <t>Early Diagnosis (shinyapps.io)</t>
  </si>
  <si>
    <t>People with HER2 negative disease</t>
  </si>
  <si>
    <t>Receptors for breast cancer | Macmillan Cancer Support</t>
  </si>
  <si>
    <t>People with germline BRCA1/2 mutations</t>
  </si>
  <si>
    <t>Genetic-testing-for-BRCA-mutations-UK.pdf (healthpolicypartnership.com)</t>
  </si>
  <si>
    <t>People with stage I or II disease on diagnosis</t>
  </si>
  <si>
    <t>People with stage I or II disease who progress to stage III or IV each year</t>
  </si>
  <si>
    <t>Breast cancer consultant opinion &amp; TA952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</si>
  <si>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</si>
  <si>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</si>
  <si>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</si>
  <si>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</si>
  <si>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</si>
  <si>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</si>
  <si>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</si>
  <si>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</si>
  <si>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</si>
  <si>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</si>
  <si>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</si>
  <si>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</si>
  <si>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No of days given</t>
  </si>
  <si>
    <t>cycles year 1</t>
  </si>
  <si>
    <t>cycles year 2</t>
  </si>
  <si>
    <t>cycles year 3</t>
  </si>
  <si>
    <t>cycles year 4</t>
  </si>
  <si>
    <t>cycles year 5</t>
  </si>
  <si>
    <t>total</t>
  </si>
  <si>
    <t>Olaparib, oral</t>
  </si>
  <si>
    <t>Talazoparib, oral</t>
  </si>
  <si>
    <t xml:space="preserve">Olaparib, oral, secondary care </t>
  </si>
  <si>
    <t>150mg capsule, 56 capsules</t>
  </si>
  <si>
    <t>Enter discounted price</t>
  </si>
  <si>
    <t xml:space="preserve">Olaparib, oral, homecare </t>
  </si>
  <si>
    <t xml:space="preserve">Talazoparib, oral, secondary care </t>
  </si>
  <si>
    <t>1mg capsule, 30 capsules</t>
  </si>
  <si>
    <t xml:space="preserve">Talazoparib, oral, homecare </t>
  </si>
  <si>
    <t>Average weight (kg)</t>
  </si>
  <si>
    <t>Source; Health Survey for England, 2021.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</si>
  <si>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</si>
  <si>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Source: https://pmc.ncbi.nlm.nih.gov/articles/PMC2812484/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</si>
  <si>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</si>
  <si>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</si>
  <si>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</si>
  <si>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</si>
  <si>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</si>
  <si>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</si>
  <si>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</si>
  <si>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</si>
  <si>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People receiving olaparib</t>
  </si>
  <si>
    <t>People receiving talazoparib</t>
  </si>
  <si>
    <t>People receiving BSC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</si>
  <si>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</si>
  <si>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</si>
  <si>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</si>
  <si>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Please select pay scale used in your locality (Non HCAS/HCA type) in the payscales tab. Default is Non HCAS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</si>
  <si>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</si>
  <si>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</si>
  <si>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</si>
  <si>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</si>
  <si>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</si>
  <si>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</si>
  <si>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</si>
  <si>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</si>
  <si>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</si>
  <si>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</si>
  <si>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</si>
  <si>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</si>
  <si>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</si>
  <si>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</si>
  <si>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</si>
  <si>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</si>
  <si>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</si>
  <si>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</si>
  <si>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</si>
  <si>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Pharmacy support (see notes below)</t>
  </si>
  <si>
    <t>per patient per visit (Secondary care)</t>
  </si>
  <si>
    <t>Band 8a Bottom</t>
  </si>
  <si>
    <t>supporting specialty x</t>
  </si>
  <si>
    <t>Appointments with x specialty</t>
  </si>
  <si>
    <t>per patient/yr.</t>
  </si>
  <si>
    <t>pathology / diagnostics / radiology</t>
  </si>
  <si>
    <t>Blood monitoring</t>
  </si>
  <si>
    <t>Staff time per test (minutes)</t>
  </si>
  <si>
    <t>Band 6 Mid</t>
  </si>
  <si>
    <t>per patient</t>
  </si>
  <si>
    <t>Band 8a Mid</t>
  </si>
  <si>
    <t>Adverse events</t>
  </si>
  <si>
    <t>Adverse events, various (rate of cases)</t>
  </si>
  <si>
    <t>See Unit costs tab</t>
  </si>
  <si>
    <t>Notes</t>
  </si>
  <si>
    <t>Rates of adverse events and costs, based on company estimates. Grade 3 adverse events.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</si>
  <si>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</si>
  <si>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</si>
  <si>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</si>
  <si>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</si>
  <si>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</si>
  <si>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</si>
  <si>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</si>
  <si>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</si>
  <si>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</si>
  <si>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</si>
  <si>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</si>
  <si>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</si>
  <si>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</si>
  <si>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</si>
  <si>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</si>
  <si>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</si>
  <si>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</si>
  <si>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</si>
  <si>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</si>
  <si>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</si>
  <si>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</si>
  <si>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</si>
  <si>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</si>
  <si>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</si>
  <si>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</si>
  <si>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</si>
  <si>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</si>
  <si>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(28/30 days)</t>
  </si>
  <si>
    <t>Number of cycles</t>
  </si>
  <si>
    <t>Total dosage required (mg)</t>
  </si>
  <si>
    <t>Total number of packs required</t>
  </si>
  <si>
    <t>Weighting</t>
  </si>
  <si>
    <t>Cost per pack</t>
  </si>
  <si>
    <t>VAT rate</t>
  </si>
  <si>
    <t>Annual cost</t>
  </si>
  <si>
    <t>300mg orally twice daily (Secondary care)</t>
  </si>
  <si>
    <t>Olaparib</t>
  </si>
  <si>
    <t>tablet</t>
  </si>
  <si>
    <t>n/a</t>
  </si>
  <si>
    <t>300mg orally twice daily (Homecare)</t>
  </si>
  <si>
    <t>All components</t>
  </si>
  <si>
    <t>Weighted average</t>
  </si>
  <si>
    <t>1 mg once daily as an oral capsule (Secondary care)</t>
  </si>
  <si>
    <t>Talazoparib</t>
  </si>
  <si>
    <t>1 mg once daily as an oral capsule (Homecare)</t>
  </si>
  <si>
    <t>Administrations</t>
  </si>
  <si>
    <t xml:space="preserve">National  </t>
  </si>
  <si>
    <t>Treatment option</t>
  </si>
  <si>
    <t>HRG code</t>
  </si>
  <si>
    <t>day(s)</t>
  </si>
  <si>
    <t>HRG description</t>
  </si>
  <si>
    <t>Tariff</t>
  </si>
  <si>
    <t xml:space="preserve">prices </t>
  </si>
  <si>
    <t>Olaparib (secondary care)</t>
  </si>
  <si>
    <t>SB11Z</t>
  </si>
  <si>
    <t>SB11Z deliver exclusively oral chemotherapy</t>
  </si>
  <si>
    <t>are</t>
  </si>
  <si>
    <t>Olaparib (homecare)</t>
  </si>
  <si>
    <t>Assumed cost to pharmacy of administration of homecare service</t>
  </si>
  <si>
    <t>used</t>
  </si>
  <si>
    <t>Talazoparib (secondary care)</t>
  </si>
  <si>
    <t>on the</t>
  </si>
  <si>
    <t>Talazoparib (homecare)</t>
  </si>
  <si>
    <t>left.</t>
  </si>
  <si>
    <t>Based on 2023-25 NHS England national tariff payment system –  24-25 prices</t>
  </si>
  <si>
    <t>Local</t>
  </si>
  <si>
    <t>Appointments with specialist</t>
  </si>
  <si>
    <t>prices</t>
  </si>
  <si>
    <t xml:space="preserve">can be </t>
  </si>
  <si>
    <t>all options</t>
  </si>
  <si>
    <t>WF01A</t>
  </si>
  <si>
    <t>Follow Up Attendance - Single Professional.  TFC 370 medical oncology</t>
  </si>
  <si>
    <t xml:space="preserve">used as </t>
  </si>
  <si>
    <t>Based on 2023-25 National Tariff Payment System –  24-25 prices</t>
  </si>
  <si>
    <t xml:space="preserve">as an </t>
  </si>
  <si>
    <t>alternative.</t>
  </si>
  <si>
    <t>Appointments with x specialist</t>
  </si>
  <si>
    <t>MRI imaging</t>
  </si>
  <si>
    <t>Adverse events, annual costs and rates</t>
  </si>
  <si>
    <t>The</t>
  </si>
  <si>
    <t>Amend data in blue cells locally where necessary.</t>
  </si>
  <si>
    <t xml:space="preserve">selection </t>
  </si>
  <si>
    <t>Event</t>
  </si>
  <si>
    <t>Unit cost (£) 
national prices</t>
  </si>
  <si>
    <t>Unit cost (£) local prices</t>
  </si>
  <si>
    <t>between</t>
  </si>
  <si>
    <t>Anaemia</t>
  </si>
  <si>
    <t xml:space="preserve">using </t>
  </si>
  <si>
    <t>Neutropenia</t>
  </si>
  <si>
    <t>local or</t>
  </si>
  <si>
    <t>Diarrhoea</t>
  </si>
  <si>
    <t>national</t>
  </si>
  <si>
    <t>Thrombocytopenia</t>
  </si>
  <si>
    <t>is made</t>
  </si>
  <si>
    <t>Headache</t>
  </si>
  <si>
    <t>Leukopenia</t>
  </si>
  <si>
    <t>summary</t>
  </si>
  <si>
    <t>worksheet.</t>
  </si>
  <si>
    <t xml:space="preserve">Adverse events data from company model.  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</si>
  <si>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</si>
  <si>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</si>
  <si>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</si>
  <si>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</si>
  <si>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</si>
  <si>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</si>
  <si>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</si>
  <si>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Uptake of olaparib</t>
  </si>
  <si>
    <t>People choosing olaparib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</si>
  <si>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</si>
  <si>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</si>
  <si>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</si>
  <si>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</si>
  <si>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</si>
  <si>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</si>
  <si>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</si>
  <si>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</si>
  <si>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</si>
  <si>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</si>
  <si>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</si>
  <si>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</si>
  <si>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</si>
  <si>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</si>
  <si>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</si>
  <si>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</si>
  <si>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</si>
  <si>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</si>
  <si>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</si>
  <si>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Administrations - change in volume of HRGs oral treatment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</si>
  <si>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</si>
  <si>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</si>
  <si>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</si>
  <si>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</si>
  <si>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</si>
  <si>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</si>
  <si>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Support time (hours) - change to current practice</t>
  </si>
  <si>
    <t>Capacity impact on x service</t>
  </si>
  <si>
    <t>Appointments with x specialty - change</t>
  </si>
  <si>
    <t>Capacity impact on pathology/ radiology /diagnostics</t>
  </si>
  <si>
    <t>Blood monitoring - change in number to current practice</t>
  </si>
  <si>
    <t>Liver function tests - change in number to current practice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</si>
  <si>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</si>
  <si>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</si>
  <si>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</si>
  <si>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</si>
  <si>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</si>
  <si>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</si>
  <si>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</si>
  <si>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</si>
  <si>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</si>
  <si>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</si>
  <si>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</si>
  <si>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</si>
  <si>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</si>
  <si>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</si>
  <si>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</si>
  <si>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</si>
  <si>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</si>
  <si>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</si>
  <si>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</si>
  <si>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</si>
  <si>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</si>
  <si>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</si>
  <si>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</si>
  <si>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Number of administrations</t>
  </si>
  <si>
    <t>Homecare</t>
  </si>
  <si>
    <t>Administrations - change in volume of HRGs to current practice</t>
  </si>
  <si>
    <t>Administrations - number of cycles</t>
  </si>
  <si>
    <t>People receiving olaparib (Secondary care)</t>
  </si>
  <si>
    <t>People receiving olaparib (Homecare)</t>
  </si>
  <si>
    <t>People receiving talazoparib (Secondary care)</t>
  </si>
  <si>
    <t>People receiving talazoparib (Homecare)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</si>
  <si>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</si>
  <si>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</si>
  <si>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</si>
  <si>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</si>
  <si>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</si>
  <si>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</si>
  <si>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</si>
  <si>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</si>
  <si>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</si>
  <si>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</si>
  <si>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Pharmacy support (hours)</t>
  </si>
  <si>
    <t>Support time  (mins)</t>
  </si>
  <si>
    <t>X specialty</t>
  </si>
  <si>
    <t>Appointments with supporting specialty x</t>
  </si>
  <si>
    <t>Appointments with x specialty - change to current practice</t>
  </si>
  <si>
    <t>Pathology/ radiology/ diagnostics</t>
  </si>
  <si>
    <t>Liver function tests per person</t>
  </si>
  <si>
    <t>Number of liver function tests</t>
  </si>
  <si>
    <t>Genomic tests</t>
  </si>
  <si>
    <t>Genomics staffing impact (hours)</t>
  </si>
  <si>
    <t>Genomics staffing impact per test
 (mins)</t>
  </si>
  <si>
    <t>Adverse events, various (cases)</t>
  </si>
  <si>
    <t>Unit cost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</si>
  <si>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</si>
  <si>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</si>
  <si>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</si>
  <si>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</si>
  <si>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Genomics staffing impact - change in number to current practice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</si>
  <si>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</si>
  <si>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</si>
  <si>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</si>
  <si>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</si>
  <si>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</si>
  <si>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</si>
  <si>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</si>
  <si>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</si>
  <si>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</si>
  <si>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</si>
  <si>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</si>
  <si>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</si>
  <si>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</si>
  <si>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</si>
  <si>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</si>
  <si>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</si>
  <si>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</si>
  <si>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</si>
  <si>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</si>
  <si>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</si>
  <si>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</si>
  <si>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</si>
  <si>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</si>
  <si>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</si>
  <si>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</si>
  <si>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</si>
  <si>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</si>
  <si>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</si>
  <si>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</si>
  <si>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</si>
  <si>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</si>
  <si>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</si>
  <si>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</si>
  <si>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</si>
  <si>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</si>
  <si>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</si>
  <si>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</si>
  <si>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</si>
  <si>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</si>
  <si>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</si>
  <si>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</si>
  <si>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</si>
  <si>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</si>
  <si>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</si>
  <si>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</si>
  <si>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</si>
  <si>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</si>
  <si>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</si>
  <si>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</si>
  <si>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</si>
  <si>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</si>
  <si>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</si>
  <si>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</si>
  <si>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</si>
  <si>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</si>
  <si>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</si>
  <si>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</si>
  <si>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</si>
  <si>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</si>
  <si>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</si>
  <si>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</si>
  <si>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</si>
  <si>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</si>
  <si>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</si>
  <si>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</si>
  <si>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</si>
  <si>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</si>
  <si>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</si>
  <si>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</si>
  <si>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</si>
  <si>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</si>
  <si>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</si>
  <si>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</si>
  <si>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</si>
  <si>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</si>
  <si>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</si>
  <si>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</si>
  <si>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</si>
  <si>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Market share estimates based on breast cancer consultant opinion</t>
  </si>
  <si>
    <t>Oral drug so assumed no administration time.</t>
  </si>
  <si>
    <t>Pharmacy time, drug regimen prep is for illustration only, please amend locally.  Band 8a pharmacist.</t>
  </si>
  <si>
    <t>Appointments with specialist based on expert clinical opinion.  Clinical Oncologist.</t>
  </si>
  <si>
    <t>Adverse events rates driven by inputs in blue cells on unit costs worksheet.</t>
  </si>
  <si>
    <t>TA1040</t>
  </si>
  <si>
    <t xml:space="preserve">HER2-negative advanced breast cancer after chemotherapy </t>
  </si>
  <si>
    <t>Olaparib for treating BRCA mutation-positive HER2-negative advanced breast cancer after chemotherapy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</si>
</sst>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%"/>
  </numFmts>
  <fonts count="7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8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88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62" fillId="0" borderId="0" xfId="0" applyFont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48" fillId="0" borderId="11" xfId="92" applyNumberFormat="1" applyFont="1" applyFill="1" applyBorder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5" fillId="39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6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7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6" fillId="24" borderId="17" xfId="82" applyFont="1" applyFill="1" applyBorder="1"/>
    <xf numFmtId="0" fontId="6" fillId="25" borderId="0" xfId="82" applyFont="1" applyFill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5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5" fillId="24" borderId="0" xfId="0" applyFont="1" applyFill="1" applyAlignment="1">
      <alignment horizontal="center" vertical="center"/>
    </xf>
    <xf numFmtId="0" fontId="65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5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6" xfId="82" applyFont="1" applyFill="1" applyBorder="1"/>
    <xf numFmtId="0" fontId="46" fillId="24" borderId="16" xfId="82" applyFont="1" applyFill="1" applyBorder="1" applyAlignment="1">
      <alignment horizontal="center"/>
    </xf>
    <xf numFmtId="0" fontId="6" fillId="24" borderId="19" xfId="82" applyFont="1" applyFill="1" applyBorder="1"/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8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62" fillId="0" borderId="0" xfId="0" applyFont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10" fontId="0" fillId="0" borderId="35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9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9" xfId="0" applyFill="1" applyBorder="1" applyAlignment="1">
      <alignment horizontal="center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169" fontId="0" fillId="39" borderId="11" xfId="0" applyNumberFormat="1" applyFill="1" applyBorder="1" applyProtection="1">
      <protection locked="0"/>
    </xf>
    <xf numFmtId="0" fontId="0" fillId="39" borderId="38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35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46" fillId="0" borderId="11" xfId="82" applyFont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39" fillId="0" borderId="11" xfId="0" applyFont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0" xfId="82" applyFont="1" applyBorder="1"/>
    <xf numFmtId="0" fontId="46" fillId="0" borderId="41" xfId="82" applyFont="1" applyBorder="1"/>
    <xf numFmtId="0" fontId="46" fillId="0" borderId="42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5" fontId="48" fillId="0" borderId="0" xfId="82" applyNumberFormat="1" applyFont="1"/>
    <xf numFmtId="0" fontId="48" fillId="24" borderId="24" xfId="82" applyFont="1" applyFill="1" applyBorder="1" applyAlignment="1">
      <alignment horizontal="center"/>
    </xf>
    <xf numFmtId="166" fontId="46" fillId="39" borderId="24" xfId="56" applyNumberFormat="1" applyFont="1" applyFill="1" applyBorder="1" applyProtection="1">
      <protection locked="0"/>
    </xf>
    <xf numFmtId="165" fontId="46" fillId="39" borderId="37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3" xfId="82" applyFont="1" applyBorder="1"/>
    <xf numFmtId="165" fontId="46" fillId="0" borderId="44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8" fillId="0" borderId="0" xfId="82" applyFont="1" applyAlignment="1">
      <alignment horizontal="center" wrapText="1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7" xfId="0" applyNumberFormat="1" applyBorder="1"/>
    <xf numFmtId="9" fontId="27" fillId="0" borderId="37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1" fillId="44" borderId="0" xfId="0" applyFont="1" applyFill="1"/>
    <xf numFmtId="0" fontId="71" fillId="44" borderId="20" xfId="0" applyFont="1" applyFill="1" applyBorder="1" applyAlignment="1">
      <alignment horizontal="center"/>
    </xf>
    <xf numFmtId="4" fontId="71" fillId="44" borderId="20" xfId="0" applyNumberFormat="1" applyFont="1" applyFill="1" applyBorder="1"/>
    <xf numFmtId="164" fontId="71" fillId="44" borderId="20" xfId="0" applyNumberFormat="1" applyFont="1" applyFill="1" applyBorder="1"/>
    <xf numFmtId="0" fontId="71" fillId="44" borderId="20" xfId="0" applyFont="1" applyFill="1" applyBorder="1"/>
    <xf numFmtId="0" fontId="71" fillId="44" borderId="17" xfId="0" applyFont="1" applyFill="1" applyBorder="1"/>
    <xf numFmtId="0" fontId="73" fillId="0" borderId="0" xfId="0" applyFont="1"/>
    <xf numFmtId="0" fontId="48" fillId="44" borderId="12" xfId="0" applyFont="1" applyFill="1" applyBorder="1" applyAlignment="1">
      <alignment horizontal="left" vertical="center"/>
    </xf>
    <xf numFmtId="0" fontId="74" fillId="24" borderId="45" xfId="0" applyFont="1" applyFill="1" applyBorder="1" applyAlignment="1">
      <alignment horizontal="center" vertical="center"/>
    </xf>
    <xf numFmtId="0" fontId="40" fillId="24" borderId="44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5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46" xfId="0" applyFont="1" applyFill="1" applyBorder="1" applyAlignment="1">
      <alignment horizontal="center"/>
    </xf>
    <xf numFmtId="0" fontId="44" fillId="24" borderId="47" xfId="82" applyFont="1" applyFill="1" applyBorder="1" applyAlignment="1">
      <alignment horizontal="center"/>
    </xf>
    <xf numFmtId="0" fontId="44" fillId="24" borderId="47" xfId="110" applyFont="1" applyFill="1" applyBorder="1" applyAlignment="1">
      <alignment horizontal="center" wrapText="1"/>
    </xf>
    <xf numFmtId="3" fontId="44" fillId="24" borderId="47" xfId="110" applyNumberFormat="1" applyFont="1" applyFill="1" applyBorder="1" applyAlignment="1">
      <alignment horizontal="center" wrapText="1"/>
    </xf>
    <xf numFmtId="0" fontId="44" fillId="24" borderId="48" xfId="11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44" fillId="47" borderId="47" xfId="0" applyFont="1" applyFill="1" applyBorder="1" applyAlignment="1">
      <alignment horizontal="center" wrapText="1"/>
    </xf>
    <xf numFmtId="0" fontId="44" fillId="24" borderId="47" xfId="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3" fontId="0" fillId="0" borderId="19" xfId="0" applyNumberFormat="1" applyBorder="1"/>
    <xf numFmtId="3" fontId="0" fillId="0" borderId="29" xfId="0" applyNumberFormat="1" applyBorder="1"/>
    <xf numFmtId="0" fontId="28" fillId="0" borderId="12" xfId="72" applyBorder="1" applyAlignment="1" applyProtection="1">
      <alignment horizontal="left"/>
    </xf>
    <xf numFmtId="0" fontId="28" fillId="0" borderId="12" xfId="72" applyFill="1" applyBorder="1" applyAlignment="1" applyProtection="1">
      <alignment horizontal="left"/>
    </xf>
    <xf numFmtId="0" fontId="32" fillId="48" borderId="0" xfId="0" applyFont="1" applyFill="1" applyAlignment="1">
      <alignment horizontal="left"/>
    </xf>
    <xf numFmtId="10" fontId="44" fillId="39" borderId="11" xfId="92" applyNumberFormat="1" applyFont="1" applyFill="1" applyBorder="1" applyProtection="1">
      <protection locked="0"/>
    </xf>
    <xf numFmtId="3" fontId="44" fillId="39" borderId="11" xfId="0" applyNumberFormat="1" applyFont="1" applyFill="1" applyBorder="1" applyProtection="1">
      <protection locked="0"/>
    </xf>
    <xf numFmtId="0" fontId="28" fillId="0" borderId="20" xfId="72" applyFill="1" applyBorder="1" applyAlignment="1" applyProtection="1">
      <alignment horizontal="left" vertical="center"/>
    </xf>
    <xf numFmtId="0" fontId="28" fillId="0" borderId="12" xfId="72" applyBorder="1" applyAlignment="1" applyProtection="1"/>
    <xf numFmtId="0" fontId="28" fillId="0" borderId="23" xfId="72" applyBorder="1" applyAlignment="1" applyProtection="1"/>
    <xf numFmtId="0" fontId="58" fillId="0" borderId="0" xfId="72" applyFont="1" applyAlignment="1" applyProtection="1"/>
    <xf numFmtId="9" fontId="46" fillId="39" borderId="12" xfId="92" applyFont="1" applyFill="1" applyBorder="1" applyProtection="1">
      <protection locked="0"/>
    </xf>
    <xf numFmtId="0" fontId="6" fillId="0" borderId="10" xfId="82" applyFont="1" applyBorder="1"/>
    <xf numFmtId="0" fontId="0" fillId="0" borderId="20" xfId="0" applyBorder="1" applyAlignment="1">
      <alignment horizontal="left" vertical="center"/>
    </xf>
    <xf numFmtId="175" fontId="0" fillId="39" borderId="39" xfId="0" applyNumberFormat="1" applyFill="1" applyBorder="1" applyAlignment="1" applyProtection="1">
      <alignment horizontal="right"/>
      <protection locked="0"/>
    </xf>
    <xf numFmtId="175" fontId="0" fillId="39" borderId="31" xfId="0" applyNumberFormat="1" applyFill="1" applyBorder="1" applyAlignment="1" applyProtection="1">
      <alignment horizontal="right"/>
      <protection locked="0"/>
    </xf>
    <xf numFmtId="0" fontId="46" fillId="44" borderId="0" xfId="0" applyFont="1" applyFill="1"/>
    <xf numFmtId="0" fontId="29" fillId="26" borderId="51" xfId="0" applyFont="1" applyFill="1" applyBorder="1" applyAlignment="1">
      <alignment horizontal="left"/>
    </xf>
    <xf numFmtId="0" fontId="29" fillId="26" borderId="51" xfId="0" applyFont="1" applyFill="1" applyBorder="1"/>
    <xf numFmtId="0" fontId="32" fillId="30" borderId="51" xfId="0" applyFont="1" applyFill="1" applyBorder="1" applyAlignment="1">
      <alignment vertical="center" wrapText="1"/>
    </xf>
    <xf numFmtId="0" fontId="32" fillId="27" borderId="51" xfId="0" applyFont="1" applyFill="1" applyBorder="1"/>
    <xf numFmtId="0" fontId="29" fillId="0" borderId="51" xfId="0" applyFont="1" applyBorder="1"/>
    <xf numFmtId="3" fontId="32" fillId="0" borderId="51" xfId="0" applyNumberFormat="1" applyFont="1" applyBorder="1"/>
    <xf numFmtId="3" fontId="7" fillId="0" borderId="51" xfId="0" applyNumberFormat="1" applyFont="1" applyBorder="1"/>
    <xf numFmtId="3" fontId="29" fillId="0" borderId="51" xfId="0" applyNumberFormat="1" applyFont="1" applyBorder="1"/>
    <xf numFmtId="3" fontId="6" fillId="0" borderId="51" xfId="0" applyNumberFormat="1" applyFont="1" applyBorder="1"/>
    <xf numFmtId="0" fontId="6" fillId="0" borderId="51" xfId="0" applyFont="1" applyBorder="1"/>
    <xf numFmtId="0" fontId="0" fillId="0" borderId="51" xfId="0" applyBorder="1"/>
    <xf numFmtId="0" fontId="0" fillId="24" borderId="51" xfId="0" applyFill="1" applyBorder="1"/>
    <xf numFmtId="9" fontId="0" fillId="0" borderId="51" xfId="0" applyNumberFormat="1" applyBorder="1" applyAlignment="1">
      <alignment horizontal="right"/>
    </xf>
    <xf numFmtId="0" fontId="39" fillId="37" borderId="51" xfId="0" applyFont="1" applyFill="1" applyBorder="1" applyAlignment="1">
      <alignment horizontal="center" wrapText="1"/>
    </xf>
    <xf numFmtId="0" fontId="44" fillId="0" borderId="51" xfId="0" applyFont="1" applyBorder="1" applyAlignment="1">
      <alignment horizontal="right"/>
    </xf>
    <xf numFmtId="0" fontId="0" fillId="0" borderId="11" xfId="0" applyBorder="1" applyAlignment="1">
      <alignment wrapText="1"/>
    </xf>
    <xf numFmtId="0" fontId="46" fillId="0" borderId="10" xfId="82" applyFont="1" applyBorder="1" applyAlignment="1">
      <alignment horizontal="right"/>
    </xf>
    <xf numFmtId="10" fontId="27" fillId="39" borderId="11" xfId="92" applyNumberFormat="1" applyFont="1" applyFill="1" applyBorder="1" applyProtection="1"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166" fontId="46" fillId="39" borderId="11" xfId="82" applyNumberFormat="1" applyFont="1" applyFill="1" applyBorder="1" applyProtection="1">
      <protection locked="0"/>
    </xf>
    <xf numFmtId="165" fontId="48" fillId="39" borderId="19" xfId="82" applyNumberFormat="1" applyFont="1" applyFill="1" applyBorder="1" applyProtection="1">
      <protection locked="0"/>
    </xf>
    <xf numFmtId="170" fontId="46" fillId="39" borderId="37" xfId="57" applyNumberFormat="1" applyFont="1" applyFill="1" applyBorder="1" applyAlignment="1" applyProtection="1">
      <alignment horizontal="right"/>
      <protection locked="0"/>
    </xf>
    <xf numFmtId="170" fontId="46" fillId="39" borderId="37" xfId="57" applyNumberFormat="1" applyFont="1" applyFill="1" applyBorder="1" applyProtection="1">
      <protection locked="0"/>
    </xf>
    <xf numFmtId="10" fontId="46" fillId="39" borderId="37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althpolicypartnership.com/app/uploads/Genetic-testing-for-BRCA-mutations-UK.pdf" TargetMode="External"/><Relationship Id="rId13" Type="http://schemas.openxmlformats.org/officeDocument/2006/relationships/hyperlink" Target="https://digital.nhs.uk/data-and-information/publications/statistical/cancer-registration-statistics/england-2022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www.macmillan.org.uk/cancer-information-and-support/breast-cancer" TargetMode="External"/><Relationship Id="rId12" Type="http://schemas.openxmlformats.org/officeDocument/2006/relationships/hyperlink" Target="https://crukcancerintelligence.shinyapps.io/EarlyDiagnosis/" TargetMode="External"/><Relationship Id="rId2" Type="http://schemas.openxmlformats.org/officeDocument/2006/relationships/hyperlink" Target="https://www.nisra.gov.uk/statistics/population/mid-year-population-estimates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crukcancerintelligence.shinyapps.io/EarlyDiagnosis/" TargetMode="External"/><Relationship Id="rId11" Type="http://schemas.openxmlformats.org/officeDocument/2006/relationships/hyperlink" Target="https://www.macmillan.org.uk/cancer-information-and-support/breast-cancer" TargetMode="External"/><Relationship Id="rId5" Type="http://schemas.openxmlformats.org/officeDocument/2006/relationships/hyperlink" Target="https://pmc.ncbi.nlm.nih.gov/articles/PMC2812484/" TargetMode="External"/><Relationship Id="rId15" Type="http://schemas.openxmlformats.org/officeDocument/2006/relationships/vmlDrawing" Target="../drawings/vmlDrawing2.vml"/><Relationship Id="rId10" Type="http://schemas.openxmlformats.org/officeDocument/2006/relationships/hyperlink" Target="https://www.medicines.org.uk/emc" TargetMode="External"/><Relationship Id="rId4" Type="http://schemas.openxmlformats.org/officeDocument/2006/relationships/hyperlink" Target="https://digital.nhs.uk/data-and-information/publications/statistical/health-survey-for-england/2021/health-survey-for-england-2021-data-tables" TargetMode="External"/><Relationship Id="rId9" Type="http://schemas.openxmlformats.org/officeDocument/2006/relationships/hyperlink" Target="https://www.healthpolicypartnership.com/app/uploads/Genetic-testing-for-BRCA-mutations-UK.pdf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/>
  </sheetViews>
  <sheetFormatPr defaultColWidth="9.1796875" defaultRowHeight="14" x14ac:dyDescent="0.3"/>
  <cols>
    <col min="1" max="1" width="24.453125" style="10" customWidth="1"/>
    <col min="2" max="2" width="49.453125" style="10" customWidth="1"/>
    <col min="3" max="3" width="63.54296875" style="14" customWidth="1"/>
    <col min="4" max="4" width="20.453125" style="10" customWidth="1"/>
    <col min="5" max="12" width="21" style="10" customWidth="1"/>
    <col min="13" max="13" width="22.81640625" style="10" customWidth="1"/>
    <col min="14" max="14" width="22.54296875" style="10" customWidth="1"/>
    <col min="15" max="15" width="25.81640625" style="10" customWidth="1"/>
    <col min="16" max="16" width="10.81640625" style="10" customWidth="1"/>
    <col min="17" max="17" width="15.1796875" style="11" customWidth="1"/>
    <col min="18" max="18" width="20.1796875" style="11" customWidth="1"/>
    <col min="19" max="23" width="10.81640625" style="11" customWidth="1"/>
    <col min="24" max="42" width="10.81640625" style="11" hidden="1" customWidth="1"/>
    <col min="43" max="50" width="10.81640625" style="12" hidden="1" customWidth="1"/>
    <col min="51" max="100" width="10.81640625" style="1" hidden="1" customWidth="1"/>
    <col min="101" max="106" width="10.81640625" style="1" customWidth="1"/>
    <col min="107" max="190" width="10.81640625" style="10" hidden="1" customWidth="1"/>
    <col min="191" max="193" width="10.81640625" style="10" customWidth="1"/>
    <col min="194" max="194" width="10.453125" style="10" customWidth="1"/>
    <col min="195" max="16384" width="9.1796875" style="10"/>
  </cols>
  <sheetData>
    <row r="1" spans="2:106" x14ac:dyDescent="0.3">
      <c r="C1" s="744" t="s">
        <v>0</v>
      </c>
    </row>
    <row r="2" spans="2:106" x14ac:dyDescent="0.3">
      <c r="B2" s="9" t="s">
        <v>1</v>
      </c>
    </row>
    <row r="3" spans="2:106" x14ac:dyDescent="0.3">
      <c r="B3" s="91" t="s">
        <v>2</v>
      </c>
      <c r="C3" s="757"/>
      <c r="D3" s="758"/>
      <c r="E3" s="758"/>
      <c r="F3" s="758"/>
      <c r="G3" s="92"/>
    </row>
    <row r="4" spans="2:106" x14ac:dyDescent="0.3">
      <c r="B4" s="93"/>
      <c r="C4" s="94"/>
      <c r="D4" s="7"/>
      <c r="E4" s="7"/>
      <c r="F4" s="7"/>
      <c r="G4" s="95"/>
      <c r="L4" s="9" t="s">
        <v>3</v>
      </c>
      <c r="M4" s="9" t="s">
        <v>3</v>
      </c>
      <c r="N4" s="9" t="s">
        <v>4</v>
      </c>
      <c r="O4" s="9" t="s">
        <v>4</v>
      </c>
      <c r="P4" s="9" t="s">
        <v>5</v>
      </c>
      <c r="R4" s="167" t="s">
        <v>6</v>
      </c>
      <c r="S4" s="167" t="s">
        <v>7</v>
      </c>
      <c r="T4" s="167" t="s">
        <v>8</v>
      </c>
      <c r="V4" s="167" t="s">
        <v>9</v>
      </c>
    </row>
    <row r="5" spans="2:106" ht="28" x14ac:dyDescent="0.3">
      <c r="B5" s="96" t="s">
        <v>10</v>
      </c>
      <c r="C5" s="94"/>
      <c r="D5" s="7"/>
      <c r="E5" s="7"/>
      <c r="F5" s="7"/>
      <c r="G5" s="95"/>
      <c r="L5" s="15" t="s">
        <v>11</v>
      </c>
      <c r="M5" s="15" t="s">
        <v>12</v>
      </c>
      <c r="N5" s="15" t="s">
        <v>13</v>
      </c>
      <c r="O5" s="15" t="s">
        <v>14</v>
      </c>
      <c r="P5" s="18"/>
      <c r="Q5" s="16"/>
      <c r="R5" s="15" t="s">
        <v>14</v>
      </c>
      <c r="S5" s="136" t="s">
        <v>15</v>
      </c>
      <c r="V5" s="137">
        <v>4</v>
      </c>
    </row>
    <row r="6" spans="2:106" x14ac:dyDescent="0.3">
      <c r="B6" s="96" t="s">
        <v>16</v>
      </c>
      <c r="C6" s="94"/>
      <c r="D6" s="7"/>
      <c r="E6" s="7"/>
      <c r="F6" s="7"/>
      <c r="G6" s="95"/>
      <c r="J6" s="132"/>
      <c r="L6" s="20" t="s">
        <v>17</v>
      </c>
      <c r="M6" s="20" t="s">
        <v>18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89" t="s">
        <v>19</v>
      </c>
      <c r="S6" s="136" t="s">
        <v>20</v>
      </c>
      <c r="V6" s="137">
        <v>5</v>
      </c>
    </row>
    <row r="7" spans="2:106" x14ac:dyDescent="0.3">
      <c r="B7" s="93"/>
      <c r="C7" s="94"/>
      <c r="D7" s="7"/>
      <c r="E7" s="7"/>
      <c r="F7" s="7"/>
      <c r="G7" s="95"/>
      <c r="L7" s="20" t="s">
        <v>21</v>
      </c>
      <c r="M7" s="20" t="s">
        <v>22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89" t="s">
        <v>23</v>
      </c>
      <c r="S7" s="400"/>
      <c r="V7" s="137">
        <v>6</v>
      </c>
    </row>
    <row r="8" spans="2:106" ht="19.5" customHeight="1" x14ac:dyDescent="0.3">
      <c r="B8" s="97" t="s">
        <v>24</v>
      </c>
      <c r="C8" s="98"/>
      <c r="D8" s="99"/>
      <c r="E8" s="99"/>
      <c r="F8" s="99"/>
      <c r="G8" s="100"/>
      <c r="L8" s="20" t="s">
        <v>25</v>
      </c>
      <c r="M8" s="20" t="s">
        <v>26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7">
        <v>7</v>
      </c>
    </row>
    <row r="9" spans="2:106" ht="19.5" customHeight="1" x14ac:dyDescent="0.35">
      <c r="B9" s="13"/>
      <c r="L9" s="20" t="s">
        <v>27</v>
      </c>
      <c r="M9" s="20" t="s">
        <v>28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7" t="s">
        <v>29</v>
      </c>
    </row>
    <row r="10" spans="2:106" ht="14.5" x14ac:dyDescent="0.35">
      <c r="B10" s="13"/>
      <c r="K10" s="23"/>
      <c r="L10" s="20" t="s">
        <v>30</v>
      </c>
      <c r="M10" s="20" t="s">
        <v>31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7" t="s">
        <v>32</v>
      </c>
    </row>
    <row r="11" spans="2:106" x14ac:dyDescent="0.3">
      <c r="B11" s="9" t="s">
        <v>33</v>
      </c>
      <c r="C11" s="23"/>
      <c r="D11" s="23"/>
      <c r="E11" s="23"/>
      <c r="K11" s="23"/>
      <c r="L11" s="109" t="s">
        <v>34</v>
      </c>
      <c r="M11" s="20" t="s">
        <v>35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7" t="s">
        <v>36</v>
      </c>
    </row>
    <row r="12" spans="2:106" ht="43.5" customHeight="1" x14ac:dyDescent="0.3">
      <c r="B12" s="14"/>
      <c r="D12" s="199" t="s">
        <v>37</v>
      </c>
      <c r="E12" s="199" t="s">
        <v>37</v>
      </c>
      <c r="L12" s="20" t="s">
        <v>38</v>
      </c>
      <c r="M12" s="20" t="s">
        <v>39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7" t="s">
        <v>40</v>
      </c>
    </row>
    <row r="13" spans="2:106" s="18" customFormat="1" ht="46" customHeight="1" x14ac:dyDescent="0.3">
      <c r="B13" s="200" t="s">
        <v>41</v>
      </c>
      <c r="C13" s="200" t="s">
        <v>42</v>
      </c>
      <c r="D13" s="25" t="s">
        <v>43</v>
      </c>
      <c r="E13" s="25" t="s">
        <v>44</v>
      </c>
      <c r="F13" s="200" t="s">
        <v>45</v>
      </c>
      <c r="G13" s="10"/>
      <c r="H13" s="10"/>
      <c r="I13" s="10"/>
      <c r="K13" s="10"/>
      <c r="L13" s="20" t="s">
        <v>46</v>
      </c>
      <c r="M13" s="20" t="s">
        <v>47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411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201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L14" s="20" t="s">
        <v>48</v>
      </c>
      <c r="M14" s="20" t="s">
        <v>49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7" t="s">
        <v>50</v>
      </c>
    </row>
    <row r="15" spans="2:106" x14ac:dyDescent="0.3">
      <c r="B15" s="201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L15" s="20"/>
      <c r="M15" s="20"/>
      <c r="N15" s="20"/>
      <c r="O15" s="20"/>
      <c r="P15" s="20"/>
      <c r="V15" s="137" t="s">
        <v>51</v>
      </c>
    </row>
    <row r="16" spans="2:106" x14ac:dyDescent="0.3">
      <c r="B16" s="202" t="s">
        <v>52</v>
      </c>
      <c r="C16" s="203">
        <f>IF(C15&gt;0,C14,C15)</f>
        <v>57106398</v>
      </c>
      <c r="D16" s="203">
        <f>IF(D15&gt;0,D14,D15)</f>
        <v>21895402</v>
      </c>
      <c r="E16" s="203">
        <f>IF(E15&gt;0,E14,E15)</f>
        <v>23324090</v>
      </c>
      <c r="F16" s="203">
        <f>SUM(F15)</f>
        <v>45219492</v>
      </c>
      <c r="L16" s="21"/>
      <c r="M16" s="21"/>
      <c r="P16" s="398">
        <f>COUNTIF(P6:P14, TRUE)</f>
        <v>9</v>
      </c>
    </row>
    <row r="17" spans="1:194" x14ac:dyDescent="0.3">
      <c r="Q17" s="22"/>
      <c r="R17" s="22"/>
    </row>
    <row r="18" spans="1:194" ht="45.65" customHeight="1" x14ac:dyDescent="0.3">
      <c r="B18" s="89"/>
      <c r="C18" s="141"/>
      <c r="D18" s="25" t="s">
        <v>37</v>
      </c>
      <c r="E18" s="25" t="s">
        <v>37</v>
      </c>
      <c r="F18" s="89"/>
      <c r="I18" s="89"/>
      <c r="J18" s="89"/>
      <c r="K18" s="23"/>
      <c r="N18" s="23"/>
    </row>
    <row r="19" spans="1:194" ht="23.15" customHeight="1" x14ac:dyDescent="0.3">
      <c r="D19" s="204">
        <v>2</v>
      </c>
      <c r="E19" s="204">
        <v>3</v>
      </c>
      <c r="F19" s="204">
        <v>4</v>
      </c>
      <c r="G19" s="204">
        <v>5</v>
      </c>
      <c r="H19" s="204">
        <v>6</v>
      </c>
      <c r="K19" s="23"/>
    </row>
    <row r="20" spans="1:194" s="1" customFormat="1" ht="48" customHeight="1" x14ac:dyDescent="0.3">
      <c r="A20" s="122" t="s">
        <v>13</v>
      </c>
      <c r="B20" s="121" t="s">
        <v>53</v>
      </c>
      <c r="C20" s="121" t="s">
        <v>54</v>
      </c>
      <c r="D20" s="81" t="s">
        <v>55</v>
      </c>
      <c r="E20" s="81" t="s">
        <v>55</v>
      </c>
      <c r="F20" s="81" t="s">
        <v>56</v>
      </c>
      <c r="G20" s="81" t="s">
        <v>56</v>
      </c>
      <c r="H20" s="81" t="s">
        <v>56</v>
      </c>
      <c r="I20" s="121" t="s">
        <v>55</v>
      </c>
      <c r="J20" s="121" t="s">
        <v>55</v>
      </c>
      <c r="K20" s="121" t="s">
        <v>57</v>
      </c>
      <c r="L20" s="121" t="s">
        <v>57</v>
      </c>
      <c r="M20" s="123" t="s">
        <v>58</v>
      </c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59"/>
      <c r="AC20" s="759"/>
      <c r="AD20" s="759"/>
      <c r="AE20" s="759"/>
      <c r="AF20" s="759"/>
      <c r="AG20" s="759"/>
      <c r="AH20" s="759"/>
      <c r="AI20" s="759"/>
      <c r="AJ20" s="759"/>
      <c r="AK20" s="759"/>
      <c r="AL20" s="759"/>
      <c r="AM20" s="759"/>
      <c r="AN20" s="759"/>
      <c r="AO20" s="759"/>
      <c r="AP20" s="759"/>
      <c r="AQ20" s="759"/>
      <c r="AR20" s="759"/>
      <c r="AS20" s="759"/>
      <c r="AT20" s="759"/>
      <c r="AU20" s="759"/>
      <c r="AV20" s="759"/>
      <c r="AW20" s="759"/>
      <c r="AX20" s="759"/>
      <c r="AY20" s="759"/>
      <c r="AZ20" s="759"/>
      <c r="BA20" s="759"/>
      <c r="BB20" s="759"/>
      <c r="BC20" s="759"/>
      <c r="BD20" s="759"/>
      <c r="BE20" s="759"/>
      <c r="BF20" s="759"/>
      <c r="BG20" s="759"/>
      <c r="BH20" s="759"/>
      <c r="BI20" s="759"/>
      <c r="BJ20" s="759"/>
      <c r="BK20" s="759"/>
      <c r="BL20" s="759"/>
      <c r="BM20" s="759"/>
      <c r="BN20" s="759"/>
      <c r="BO20" s="759"/>
      <c r="BP20" s="759"/>
      <c r="BQ20" s="759"/>
      <c r="BR20" s="759"/>
      <c r="BS20" s="759"/>
      <c r="BT20" s="759"/>
      <c r="BU20" s="759"/>
      <c r="BV20" s="759"/>
      <c r="BW20" s="759"/>
      <c r="BX20" s="759"/>
      <c r="BY20" s="759"/>
      <c r="BZ20" s="759"/>
      <c r="CA20" s="759"/>
      <c r="CB20" s="759"/>
      <c r="CC20" s="759"/>
      <c r="CD20" s="759"/>
      <c r="CE20" s="759"/>
      <c r="CF20" s="759"/>
      <c r="CG20" s="759"/>
      <c r="CH20" s="759"/>
      <c r="CI20" s="759"/>
      <c r="CJ20" s="759"/>
      <c r="CK20" s="759"/>
      <c r="CL20" s="759"/>
      <c r="CM20" s="759"/>
      <c r="CN20" s="759"/>
      <c r="CO20" s="759"/>
      <c r="CP20" s="759"/>
      <c r="CQ20" s="759"/>
      <c r="CR20" s="759"/>
      <c r="CS20" s="759"/>
      <c r="CT20" s="759"/>
      <c r="CU20" s="759"/>
      <c r="CV20" s="759"/>
      <c r="CW20" s="759"/>
      <c r="CX20" s="759"/>
      <c r="CY20" s="124"/>
      <c r="CZ20" s="760" t="s">
        <v>59</v>
      </c>
      <c r="DA20" s="760"/>
      <c r="DB20" s="760"/>
      <c r="DC20" s="760"/>
      <c r="DD20" s="760"/>
      <c r="DE20" s="760"/>
      <c r="DF20" s="760"/>
      <c r="DG20" s="760"/>
      <c r="DH20" s="760"/>
      <c r="DI20" s="760"/>
      <c r="DJ20" s="760"/>
      <c r="DK20" s="760"/>
      <c r="DL20" s="760"/>
      <c r="DM20" s="760"/>
      <c r="DN20" s="760"/>
      <c r="DO20" s="760"/>
      <c r="DP20" s="760"/>
      <c r="DQ20" s="760"/>
      <c r="DR20" s="760"/>
      <c r="DS20" s="760"/>
      <c r="DT20" s="760"/>
      <c r="DU20" s="760"/>
      <c r="DV20" s="760"/>
      <c r="DW20" s="760"/>
      <c r="DX20" s="760"/>
      <c r="DY20" s="760"/>
      <c r="DZ20" s="760"/>
      <c r="EA20" s="760"/>
      <c r="EB20" s="760"/>
      <c r="EC20" s="760"/>
      <c r="ED20" s="760"/>
      <c r="EE20" s="760"/>
      <c r="EF20" s="760"/>
      <c r="EG20" s="760"/>
      <c r="EH20" s="760"/>
      <c r="EI20" s="760"/>
      <c r="EJ20" s="760"/>
      <c r="EK20" s="760"/>
      <c r="EL20" s="760"/>
      <c r="EM20" s="760"/>
      <c r="EN20" s="760"/>
      <c r="EO20" s="760"/>
      <c r="EP20" s="760"/>
      <c r="EQ20" s="760"/>
      <c r="ER20" s="760"/>
      <c r="ES20" s="760"/>
      <c r="ET20" s="760"/>
      <c r="EU20" s="760"/>
      <c r="EV20" s="760"/>
      <c r="EW20" s="760"/>
      <c r="EX20" s="760"/>
      <c r="EY20" s="760"/>
      <c r="EZ20" s="760"/>
      <c r="FA20" s="760"/>
      <c r="FB20" s="760"/>
      <c r="FC20" s="760"/>
      <c r="FD20" s="760"/>
      <c r="FE20" s="760"/>
      <c r="FF20" s="760"/>
      <c r="FG20" s="760"/>
      <c r="FH20" s="760"/>
      <c r="FI20" s="760"/>
      <c r="FJ20" s="760"/>
      <c r="FK20" s="760"/>
      <c r="FL20" s="760"/>
      <c r="FM20" s="760"/>
      <c r="FN20" s="760"/>
      <c r="FO20" s="760"/>
      <c r="FP20" s="760"/>
      <c r="FQ20" s="760"/>
      <c r="FR20" s="760"/>
      <c r="FS20" s="760"/>
      <c r="FT20" s="760"/>
      <c r="FU20" s="760"/>
      <c r="FV20" s="760"/>
      <c r="FW20" s="760"/>
      <c r="FX20" s="760"/>
      <c r="FY20" s="760"/>
      <c r="FZ20" s="760"/>
      <c r="GA20" s="760"/>
      <c r="GB20" s="760"/>
      <c r="GC20" s="760"/>
      <c r="GD20" s="760"/>
      <c r="GE20" s="760"/>
      <c r="GF20" s="760"/>
      <c r="GG20" s="760"/>
      <c r="GH20" s="760"/>
      <c r="GI20" s="760"/>
      <c r="GJ20" s="760"/>
      <c r="GK20" s="760"/>
      <c r="GL20" s="120"/>
    </row>
    <row r="21" spans="1:194" s="8" customFormat="1" ht="28" x14ac:dyDescent="0.3">
      <c r="A21" s="122"/>
      <c r="B21" s="121"/>
      <c r="C21" s="121"/>
      <c r="D21" s="24" t="s">
        <v>43</v>
      </c>
      <c r="E21" s="25" t="s">
        <v>44</v>
      </c>
      <c r="F21" s="81" t="s">
        <v>60</v>
      </c>
      <c r="G21" s="80" t="s">
        <v>58</v>
      </c>
      <c r="H21" s="80" t="s">
        <v>59</v>
      </c>
      <c r="I21" s="81" t="s">
        <v>58</v>
      </c>
      <c r="J21" s="80" t="s">
        <v>59</v>
      </c>
      <c r="K21" s="81" t="s">
        <v>58</v>
      </c>
      <c r="L21" s="26" t="s">
        <v>59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61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61</v>
      </c>
    </row>
    <row r="22" spans="1:194" s="1" customFormat="1" x14ac:dyDescent="0.3">
      <c r="A22" s="29"/>
      <c r="B22" s="71"/>
      <c r="C22" s="59"/>
      <c r="D22" s="77"/>
      <c r="E22" s="77"/>
      <c r="F22" s="761"/>
      <c r="G22" s="761"/>
      <c r="H22" s="77"/>
      <c r="I22" s="77"/>
      <c r="J22" s="77"/>
      <c r="K22" s="761"/>
      <c r="L22" s="77"/>
      <c r="M22" s="761"/>
      <c r="N22" s="761"/>
      <c r="O22" s="761"/>
      <c r="P22" s="761"/>
      <c r="Q22" s="761"/>
      <c r="R22" s="761"/>
      <c r="S22" s="761"/>
      <c r="T22" s="761"/>
      <c r="U22" s="761"/>
      <c r="V22" s="761"/>
      <c r="W22" s="761"/>
      <c r="X22" s="761"/>
      <c r="Y22" s="761"/>
      <c r="Z22" s="761"/>
      <c r="AA22" s="761"/>
      <c r="AB22" s="761"/>
      <c r="AC22" s="761"/>
      <c r="AD22" s="761"/>
      <c r="AE22" s="761"/>
      <c r="AF22" s="761"/>
      <c r="AG22" s="761"/>
      <c r="AH22" s="761"/>
      <c r="AI22" s="761"/>
      <c r="AJ22" s="761"/>
      <c r="AK22" s="761"/>
      <c r="AL22" s="761"/>
      <c r="AM22" s="761"/>
      <c r="AN22" s="761"/>
      <c r="AO22" s="761"/>
      <c r="AP22" s="761"/>
      <c r="AQ22" s="761"/>
      <c r="AR22" s="761"/>
      <c r="AS22" s="761"/>
      <c r="AT22" s="761"/>
      <c r="AU22" s="761"/>
      <c r="AV22" s="761"/>
      <c r="AW22" s="761"/>
      <c r="AX22" s="761"/>
      <c r="AY22" s="761"/>
      <c r="AZ22" s="761"/>
      <c r="BA22" s="761"/>
      <c r="BB22" s="761"/>
      <c r="BC22" s="761"/>
      <c r="BD22" s="761"/>
      <c r="BE22" s="761"/>
      <c r="BF22" s="761"/>
      <c r="BG22" s="761"/>
      <c r="BH22" s="761"/>
      <c r="BI22" s="761"/>
      <c r="BJ22" s="761"/>
      <c r="BK22" s="761"/>
      <c r="BL22" s="761"/>
      <c r="BM22" s="761"/>
      <c r="BN22" s="761"/>
      <c r="BO22" s="761"/>
      <c r="BP22" s="761"/>
      <c r="BQ22" s="761"/>
      <c r="BR22" s="761"/>
      <c r="BS22" s="761"/>
      <c r="BT22" s="761"/>
      <c r="BU22" s="761"/>
      <c r="BV22" s="761"/>
      <c r="BW22" s="761"/>
      <c r="BX22" s="761"/>
      <c r="BY22" s="761"/>
      <c r="BZ22" s="761"/>
      <c r="CA22" s="761"/>
      <c r="CB22" s="761"/>
      <c r="CC22" s="761"/>
      <c r="CD22" s="761"/>
      <c r="CE22" s="761"/>
      <c r="CF22" s="761"/>
      <c r="CG22" s="761"/>
      <c r="CH22" s="761"/>
      <c r="CI22" s="761"/>
      <c r="CJ22" s="761"/>
      <c r="CK22" s="761"/>
      <c r="CL22" s="761"/>
      <c r="CM22" s="761"/>
      <c r="CN22" s="761"/>
      <c r="CO22" s="761"/>
      <c r="CP22" s="761"/>
      <c r="CQ22" s="761"/>
      <c r="CR22" s="761"/>
      <c r="CS22" s="761"/>
      <c r="CT22" s="761"/>
      <c r="CU22" s="761"/>
      <c r="CV22" s="761"/>
      <c r="CW22" s="761"/>
      <c r="CX22" s="761"/>
      <c r="CY22" s="77"/>
      <c r="CZ22" s="761"/>
      <c r="DA22" s="761"/>
      <c r="DB22" s="761"/>
      <c r="DC22" s="761"/>
      <c r="DD22" s="761"/>
      <c r="DE22" s="761"/>
      <c r="DF22" s="761"/>
      <c r="DG22" s="761"/>
      <c r="DH22" s="761"/>
      <c r="DI22" s="761"/>
      <c r="DJ22" s="761"/>
      <c r="DK22" s="761"/>
      <c r="DL22" s="761"/>
      <c r="DM22" s="761"/>
      <c r="DN22" s="761"/>
      <c r="DO22" s="761"/>
      <c r="DP22" s="761"/>
      <c r="DQ22" s="761"/>
      <c r="DR22" s="761"/>
      <c r="DS22" s="761"/>
      <c r="DT22" s="761"/>
      <c r="DU22" s="761"/>
      <c r="DV22" s="761"/>
      <c r="DW22" s="761"/>
      <c r="DX22" s="761"/>
      <c r="DY22" s="761"/>
      <c r="DZ22" s="761"/>
      <c r="EA22" s="761"/>
      <c r="EB22" s="761"/>
      <c r="EC22" s="761"/>
      <c r="ED22" s="761"/>
      <c r="EE22" s="761"/>
      <c r="EF22" s="761"/>
      <c r="EG22" s="761"/>
      <c r="EH22" s="761"/>
      <c r="EI22" s="761"/>
      <c r="EJ22" s="761"/>
      <c r="EK22" s="761"/>
      <c r="EL22" s="761"/>
      <c r="EM22" s="761"/>
      <c r="EN22" s="761"/>
      <c r="EO22" s="761"/>
      <c r="EP22" s="761"/>
      <c r="EQ22" s="761"/>
      <c r="ER22" s="761"/>
      <c r="ES22" s="761"/>
      <c r="ET22" s="761"/>
      <c r="EU22" s="761"/>
      <c r="EV22" s="761"/>
      <c r="EW22" s="761"/>
      <c r="EX22" s="761"/>
      <c r="EY22" s="761"/>
      <c r="EZ22" s="761"/>
      <c r="FA22" s="761"/>
      <c r="FB22" s="761"/>
      <c r="FC22" s="761"/>
      <c r="FD22" s="761"/>
      <c r="FE22" s="761"/>
      <c r="FF22" s="761"/>
      <c r="FG22" s="761"/>
      <c r="FH22" s="761"/>
      <c r="FI22" s="761"/>
      <c r="FJ22" s="761"/>
      <c r="FK22" s="761"/>
      <c r="FL22" s="761"/>
      <c r="FM22" s="761"/>
      <c r="FN22" s="761"/>
      <c r="FO22" s="761"/>
      <c r="FP22" s="761"/>
      <c r="FQ22" s="761"/>
      <c r="FR22" s="761"/>
      <c r="FS22" s="761"/>
      <c r="FT22" s="761"/>
      <c r="FU22" s="761"/>
      <c r="FV22" s="761"/>
      <c r="FW22" s="761"/>
      <c r="FX22" s="761"/>
      <c r="FY22" s="761"/>
      <c r="FZ22" s="761"/>
      <c r="GA22" s="761"/>
      <c r="GB22" s="761"/>
      <c r="GC22" s="761"/>
      <c r="GD22" s="761"/>
      <c r="GE22" s="761"/>
      <c r="GF22" s="761"/>
      <c r="GG22" s="761"/>
      <c r="GH22" s="761"/>
      <c r="GI22" s="761"/>
      <c r="GJ22" s="761"/>
      <c r="GK22" s="761"/>
      <c r="GL22" s="77"/>
    </row>
    <row r="23" spans="1:194" s="69" customFormat="1" ht="21.75" customHeight="1" x14ac:dyDescent="0.3">
      <c r="A23" s="64" t="s">
        <v>11</v>
      </c>
      <c r="B23" s="65" t="s">
        <v>11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3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x14ac:dyDescent="0.3">
      <c r="A25" s="73" t="s">
        <v>21</v>
      </c>
      <c r="B25" s="575" t="s">
        <v>62</v>
      </c>
      <c r="C25" s="74" t="s">
        <v>63</v>
      </c>
      <c r="D25" s="76">
        <f t="shared" ref="D25:E27" si="3">I25</f>
        <v>21895402</v>
      </c>
      <c r="E25" s="76">
        <f t="shared" si="3"/>
        <v>23324090</v>
      </c>
      <c r="F25" s="762">
        <f>G25+H25</f>
        <v>57106398</v>
      </c>
      <c r="G25" s="762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763">
        <f>SUM(M25:AD25)</f>
        <v>6087888</v>
      </c>
      <c r="L25" s="76">
        <f>SUM(CZ25:DQ25)</f>
        <v>5799018</v>
      </c>
      <c r="M25" s="762">
        <v>305120</v>
      </c>
      <c r="N25" s="762">
        <v>303019</v>
      </c>
      <c r="O25" s="762">
        <v>314737</v>
      </c>
      <c r="P25" s="762">
        <v>321299</v>
      </c>
      <c r="Q25" s="762">
        <v>325230</v>
      </c>
      <c r="R25" s="762">
        <v>333023</v>
      </c>
      <c r="S25" s="762">
        <v>343154</v>
      </c>
      <c r="T25" s="762">
        <v>339729</v>
      </c>
      <c r="U25" s="762">
        <v>341966</v>
      </c>
      <c r="V25" s="762">
        <v>351482</v>
      </c>
      <c r="W25" s="762">
        <v>360539</v>
      </c>
      <c r="X25" s="762">
        <v>361688</v>
      </c>
      <c r="Y25" s="762">
        <v>356777</v>
      </c>
      <c r="Z25" s="762">
        <v>354079</v>
      </c>
      <c r="AA25" s="762">
        <v>357199</v>
      </c>
      <c r="AB25" s="762">
        <v>344190</v>
      </c>
      <c r="AC25" s="762">
        <v>336612</v>
      </c>
      <c r="AD25" s="762">
        <v>338045</v>
      </c>
      <c r="AE25" s="762">
        <v>339142</v>
      </c>
      <c r="AF25" s="762">
        <v>339234</v>
      </c>
      <c r="AG25" s="762">
        <v>338398</v>
      </c>
      <c r="AH25" s="762">
        <v>338465</v>
      </c>
      <c r="AI25" s="762">
        <v>345338</v>
      </c>
      <c r="AJ25" s="762">
        <v>358287</v>
      </c>
      <c r="AK25" s="762">
        <v>360304</v>
      </c>
      <c r="AL25" s="762">
        <v>365799</v>
      </c>
      <c r="AM25" s="762">
        <v>360324</v>
      </c>
      <c r="AN25" s="762">
        <v>364086</v>
      </c>
      <c r="AO25" s="762">
        <v>372653</v>
      </c>
      <c r="AP25" s="762">
        <v>372807</v>
      </c>
      <c r="AQ25" s="762">
        <v>383710</v>
      </c>
      <c r="AR25" s="762">
        <v>389563</v>
      </c>
      <c r="AS25" s="762">
        <v>387640</v>
      </c>
      <c r="AT25" s="762">
        <v>384620</v>
      </c>
      <c r="AU25" s="762">
        <v>387905</v>
      </c>
      <c r="AV25" s="762">
        <v>378829</v>
      </c>
      <c r="AW25" s="762">
        <v>378199</v>
      </c>
      <c r="AX25" s="762">
        <v>377186</v>
      </c>
      <c r="AY25" s="762">
        <v>365502</v>
      </c>
      <c r="AZ25" s="762">
        <v>366111</v>
      </c>
      <c r="BA25" s="762">
        <v>365728</v>
      </c>
      <c r="BB25" s="762">
        <v>369097</v>
      </c>
      <c r="BC25" s="762">
        <v>371802</v>
      </c>
      <c r="BD25" s="762">
        <v>357560</v>
      </c>
      <c r="BE25" s="762">
        <v>334069</v>
      </c>
      <c r="BF25" s="762">
        <v>328458</v>
      </c>
      <c r="BG25" s="762">
        <v>335746</v>
      </c>
      <c r="BH25" s="762">
        <v>342585</v>
      </c>
      <c r="BI25" s="762">
        <v>346685</v>
      </c>
      <c r="BJ25" s="762">
        <v>360442</v>
      </c>
      <c r="BK25" s="762">
        <v>373390</v>
      </c>
      <c r="BL25" s="762">
        <v>385375</v>
      </c>
      <c r="BM25" s="762">
        <v>375807</v>
      </c>
      <c r="BN25" s="762">
        <v>383988</v>
      </c>
      <c r="BO25" s="762">
        <v>382566</v>
      </c>
      <c r="BP25" s="762">
        <v>385629</v>
      </c>
      <c r="BQ25" s="762">
        <v>381742</v>
      </c>
      <c r="BR25" s="762">
        <v>381998</v>
      </c>
      <c r="BS25" s="762">
        <v>376164</v>
      </c>
      <c r="BT25" s="762">
        <v>367036</v>
      </c>
      <c r="BU25" s="762">
        <v>357672</v>
      </c>
      <c r="BV25" s="762">
        <v>344928</v>
      </c>
      <c r="BW25" s="762">
        <v>329857</v>
      </c>
      <c r="BX25" s="762">
        <v>319451</v>
      </c>
      <c r="BY25" s="762">
        <v>309724</v>
      </c>
      <c r="BZ25" s="762">
        <v>294558</v>
      </c>
      <c r="CA25" s="762">
        <v>282293</v>
      </c>
      <c r="CB25" s="762">
        <v>268536</v>
      </c>
      <c r="CC25" s="762">
        <v>266443</v>
      </c>
      <c r="CD25" s="762">
        <v>260410</v>
      </c>
      <c r="CE25" s="762">
        <v>249450</v>
      </c>
      <c r="CF25" s="762">
        <v>249080</v>
      </c>
      <c r="CG25" s="762">
        <v>249070</v>
      </c>
      <c r="CH25" s="762">
        <v>252982</v>
      </c>
      <c r="CI25" s="762">
        <v>263625</v>
      </c>
      <c r="CJ25" s="762">
        <v>283090</v>
      </c>
      <c r="CK25" s="762">
        <v>211587</v>
      </c>
      <c r="CL25" s="762">
        <v>200401</v>
      </c>
      <c r="CM25" s="762">
        <v>195036</v>
      </c>
      <c r="CN25" s="762">
        <v>174093</v>
      </c>
      <c r="CO25" s="762">
        <v>149572</v>
      </c>
      <c r="CP25" s="762">
        <v>127665</v>
      </c>
      <c r="CQ25" s="762">
        <v>127183</v>
      </c>
      <c r="CR25" s="762">
        <v>120061</v>
      </c>
      <c r="CS25" s="762">
        <v>109873</v>
      </c>
      <c r="CT25" s="762">
        <v>97456</v>
      </c>
      <c r="CU25" s="762">
        <v>84705</v>
      </c>
      <c r="CV25" s="762">
        <v>73428</v>
      </c>
      <c r="CW25" s="762">
        <v>60864</v>
      </c>
      <c r="CX25" s="762">
        <v>51376</v>
      </c>
      <c r="CY25" s="762">
        <v>170964</v>
      </c>
      <c r="CZ25" s="762">
        <v>291186</v>
      </c>
      <c r="DA25" s="762">
        <v>289546</v>
      </c>
      <c r="DB25" s="762">
        <v>300800</v>
      </c>
      <c r="DC25" s="762">
        <v>305906</v>
      </c>
      <c r="DD25" s="762">
        <v>310539</v>
      </c>
      <c r="DE25" s="762">
        <v>318263</v>
      </c>
      <c r="DF25" s="762">
        <v>326932</v>
      </c>
      <c r="DG25" s="762">
        <v>324633</v>
      </c>
      <c r="DH25" s="762">
        <v>326780</v>
      </c>
      <c r="DI25" s="762">
        <v>334543</v>
      </c>
      <c r="DJ25" s="762">
        <v>344341</v>
      </c>
      <c r="DK25" s="762">
        <v>343967</v>
      </c>
      <c r="DL25" s="762">
        <v>339949</v>
      </c>
      <c r="DM25" s="762">
        <v>337345</v>
      </c>
      <c r="DN25" s="762">
        <v>340474</v>
      </c>
      <c r="DO25" s="762">
        <v>326885</v>
      </c>
      <c r="DP25" s="762">
        <v>319023</v>
      </c>
      <c r="DQ25" s="762">
        <v>317906</v>
      </c>
      <c r="DR25" s="762">
        <v>318297</v>
      </c>
      <c r="DS25" s="762">
        <v>319325</v>
      </c>
      <c r="DT25" s="762">
        <v>325075</v>
      </c>
      <c r="DU25" s="762">
        <v>327194</v>
      </c>
      <c r="DV25" s="762">
        <v>333614</v>
      </c>
      <c r="DW25" s="762">
        <v>350669</v>
      </c>
      <c r="DX25" s="762">
        <v>358581</v>
      </c>
      <c r="DY25" s="762">
        <v>367839</v>
      </c>
      <c r="DZ25" s="762">
        <v>363988</v>
      </c>
      <c r="EA25" s="762">
        <v>374022</v>
      </c>
      <c r="EB25" s="762">
        <v>387522</v>
      </c>
      <c r="EC25" s="762">
        <v>390671</v>
      </c>
      <c r="ED25" s="762">
        <v>404331</v>
      </c>
      <c r="EE25" s="762">
        <v>410921</v>
      </c>
      <c r="EF25" s="762">
        <v>413176</v>
      </c>
      <c r="EG25" s="762">
        <v>411450</v>
      </c>
      <c r="EH25" s="762">
        <v>417983</v>
      </c>
      <c r="EI25" s="762">
        <v>409203</v>
      </c>
      <c r="EJ25" s="762">
        <v>404000</v>
      </c>
      <c r="EK25" s="762">
        <v>401928</v>
      </c>
      <c r="EL25" s="762">
        <v>389436</v>
      </c>
      <c r="EM25" s="762">
        <v>389518</v>
      </c>
      <c r="EN25" s="762">
        <v>386124</v>
      </c>
      <c r="EO25" s="762">
        <v>390735</v>
      </c>
      <c r="EP25" s="762">
        <v>390956</v>
      </c>
      <c r="EQ25" s="762">
        <v>373536</v>
      </c>
      <c r="ER25" s="762">
        <v>346385</v>
      </c>
      <c r="ES25" s="762">
        <v>339293</v>
      </c>
      <c r="ET25" s="762">
        <v>345871</v>
      </c>
      <c r="EU25" s="762">
        <v>353016</v>
      </c>
      <c r="EV25" s="762">
        <v>356906</v>
      </c>
      <c r="EW25" s="762">
        <v>370244</v>
      </c>
      <c r="EX25" s="762">
        <v>384214</v>
      </c>
      <c r="EY25" s="762">
        <v>399644</v>
      </c>
      <c r="EZ25" s="762">
        <v>389031</v>
      </c>
      <c r="FA25" s="762">
        <v>397139</v>
      </c>
      <c r="FB25" s="762">
        <v>395547</v>
      </c>
      <c r="FC25" s="762">
        <v>396676</v>
      </c>
      <c r="FD25" s="762">
        <v>396578</v>
      </c>
      <c r="FE25" s="762">
        <v>396708</v>
      </c>
      <c r="FF25" s="762">
        <v>390539</v>
      </c>
      <c r="FG25" s="762">
        <v>380695</v>
      </c>
      <c r="FH25" s="762">
        <v>371143</v>
      </c>
      <c r="FI25" s="762">
        <v>355407</v>
      </c>
      <c r="FJ25" s="762">
        <v>340408</v>
      </c>
      <c r="FK25" s="762">
        <v>331322</v>
      </c>
      <c r="FL25" s="762">
        <v>321164</v>
      </c>
      <c r="FM25" s="762">
        <v>308551</v>
      </c>
      <c r="FN25" s="762">
        <v>295719</v>
      </c>
      <c r="FO25" s="762">
        <v>284931</v>
      </c>
      <c r="FP25" s="762">
        <v>285437</v>
      </c>
      <c r="FQ25" s="762">
        <v>278929</v>
      </c>
      <c r="FR25" s="762">
        <v>271460</v>
      </c>
      <c r="FS25" s="762">
        <v>271487</v>
      </c>
      <c r="FT25" s="762">
        <v>275610</v>
      </c>
      <c r="FU25" s="762">
        <v>280129</v>
      </c>
      <c r="FV25" s="762">
        <v>294843</v>
      </c>
      <c r="FW25" s="762">
        <v>316380</v>
      </c>
      <c r="FX25" s="762">
        <v>240292</v>
      </c>
      <c r="FY25" s="762">
        <v>230370</v>
      </c>
      <c r="FZ25" s="762">
        <v>225985</v>
      </c>
      <c r="GA25" s="762">
        <v>206546</v>
      </c>
      <c r="GB25" s="762">
        <v>181398</v>
      </c>
      <c r="GC25" s="762">
        <v>159103</v>
      </c>
      <c r="GD25" s="762">
        <v>161482</v>
      </c>
      <c r="GE25" s="762">
        <v>155577</v>
      </c>
      <c r="GF25" s="762">
        <v>145759</v>
      </c>
      <c r="GG25" s="762">
        <v>132931</v>
      </c>
      <c r="GH25" s="762">
        <v>120255</v>
      </c>
      <c r="GI25" s="762">
        <v>107758</v>
      </c>
      <c r="GJ25" s="762">
        <v>93505</v>
      </c>
      <c r="GK25" s="762">
        <v>82264</v>
      </c>
      <c r="GL25" s="762">
        <v>349365</v>
      </c>
    </row>
    <row r="26" spans="1:194" s="8" customFormat="1" x14ac:dyDescent="0.3">
      <c r="A26" s="31" t="s">
        <v>21</v>
      </c>
      <c r="B26" s="576" t="s">
        <v>64</v>
      </c>
      <c r="C26" s="32" t="s">
        <v>65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8" customFormat="1" x14ac:dyDescent="0.3">
      <c r="A27" s="37" t="s">
        <v>21</v>
      </c>
      <c r="B27" s="577" t="s">
        <v>66</v>
      </c>
      <c r="C27" s="38" t="s">
        <v>67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3">
      <c r="A28" s="43"/>
      <c r="B28" s="578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3">
      <c r="A29" s="82" t="s">
        <v>48</v>
      </c>
      <c r="B29" s="579" t="s">
        <v>68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764">
        <f>G29+H29</f>
        <v>246482</v>
      </c>
      <c r="G29" s="764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765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3">
      <c r="A30" s="86" t="s">
        <v>48</v>
      </c>
      <c r="B30" s="579" t="s">
        <v>69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3">
      <c r="A31" s="86" t="s">
        <v>48</v>
      </c>
      <c r="B31" s="579" t="s">
        <v>70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3">
      <c r="A32" s="86" t="s">
        <v>48</v>
      </c>
      <c r="B32" s="579" t="s">
        <v>71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3">
      <c r="A33" s="86" t="s">
        <v>48</v>
      </c>
      <c r="B33" s="579" t="s">
        <v>72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3">
      <c r="A34" s="86" t="s">
        <v>48</v>
      </c>
      <c r="B34" s="579" t="s">
        <v>73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3">
      <c r="A35" s="86" t="s">
        <v>48</v>
      </c>
      <c r="B35" s="579" t="s">
        <v>74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3">
      <c r="A36" s="86" t="s">
        <v>48</v>
      </c>
      <c r="B36" s="579" t="s">
        <v>75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3">
      <c r="A37" s="86" t="s">
        <v>48</v>
      </c>
      <c r="B37" s="579" t="s">
        <v>76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3">
      <c r="A38" s="86" t="s">
        <v>48</v>
      </c>
      <c r="B38" s="579" t="s">
        <v>77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3">
      <c r="A39" s="86" t="s">
        <v>48</v>
      </c>
      <c r="B39" s="579" t="s">
        <v>78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3">
      <c r="A40" s="86" t="s">
        <v>48</v>
      </c>
      <c r="B40" s="579" t="s">
        <v>79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3">
      <c r="A41" s="86" t="s">
        <v>48</v>
      </c>
      <c r="B41" s="579" t="s">
        <v>80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3">
      <c r="A42" s="86" t="s">
        <v>48</v>
      </c>
      <c r="B42" s="579" t="s">
        <v>81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3">
      <c r="A43" s="86" t="s">
        <v>48</v>
      </c>
      <c r="B43" s="579" t="s">
        <v>82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3">
      <c r="A44" s="86" t="s">
        <v>48</v>
      </c>
      <c r="B44" s="579" t="s">
        <v>83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3">
      <c r="A45" s="86" t="s">
        <v>48</v>
      </c>
      <c r="B45" s="579" t="s">
        <v>84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3">
      <c r="A46" s="86" t="s">
        <v>48</v>
      </c>
      <c r="B46" s="579" t="s">
        <v>85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3">
      <c r="A47" s="86" t="s">
        <v>48</v>
      </c>
      <c r="B47" s="579" t="s">
        <v>86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3">
      <c r="A48" s="86" t="s">
        <v>48</v>
      </c>
      <c r="B48" s="579" t="s">
        <v>87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3">
      <c r="A49" s="86" t="s">
        <v>48</v>
      </c>
      <c r="B49" s="579" t="s">
        <v>88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3">
      <c r="A50" s="86" t="s">
        <v>48</v>
      </c>
      <c r="B50" s="579" t="s">
        <v>89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3">
      <c r="A51" s="86" t="s">
        <v>48</v>
      </c>
      <c r="B51" s="579" t="s">
        <v>90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3">
      <c r="A52" s="86" t="s">
        <v>48</v>
      </c>
      <c r="B52" s="579" t="s">
        <v>91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3">
      <c r="A53" s="86" t="s">
        <v>48</v>
      </c>
      <c r="B53" s="579" t="s">
        <v>92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3">
      <c r="A54" s="86" t="s">
        <v>48</v>
      </c>
      <c r="B54" s="579" t="s">
        <v>93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3">
      <c r="A55" s="86" t="s">
        <v>48</v>
      </c>
      <c r="B55" s="579" t="s">
        <v>94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3">
      <c r="A56" s="86" t="s">
        <v>48</v>
      </c>
      <c r="B56" s="579" t="s">
        <v>95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3">
      <c r="A57" s="86" t="s">
        <v>48</v>
      </c>
      <c r="B57" s="579" t="s">
        <v>96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3">
      <c r="A58" s="86" t="s">
        <v>48</v>
      </c>
      <c r="B58" s="579" t="s">
        <v>97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3">
      <c r="A59" s="86" t="s">
        <v>48</v>
      </c>
      <c r="B59" s="579" t="s">
        <v>98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3">
      <c r="A60" s="86" t="s">
        <v>48</v>
      </c>
      <c r="B60" s="579" t="s">
        <v>99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3">
      <c r="A61" s="86" t="s">
        <v>48</v>
      </c>
      <c r="B61" s="579" t="s">
        <v>100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3">
      <c r="A62" s="86" t="s">
        <v>48</v>
      </c>
      <c r="B62" s="579" t="s">
        <v>101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3">
      <c r="A63" s="86" t="s">
        <v>48</v>
      </c>
      <c r="B63" s="579" t="s">
        <v>102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3">
      <c r="A64" s="86" t="s">
        <v>48</v>
      </c>
      <c r="B64" s="579" t="s">
        <v>103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3">
      <c r="A65" s="86" t="s">
        <v>48</v>
      </c>
      <c r="B65" s="579" t="s">
        <v>104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3">
      <c r="A66" s="86" t="s">
        <v>48</v>
      </c>
      <c r="B66" s="579" t="s">
        <v>105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3">
      <c r="A67" s="86" t="s">
        <v>48</v>
      </c>
      <c r="B67" s="579" t="s">
        <v>106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3">
      <c r="A68" s="86" t="s">
        <v>48</v>
      </c>
      <c r="B68" s="579" t="s">
        <v>107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3">
      <c r="A69" s="86" t="s">
        <v>48</v>
      </c>
      <c r="B69" s="579" t="s">
        <v>108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3">
      <c r="A70" s="86" t="s">
        <v>48</v>
      </c>
      <c r="B70" s="579" t="s">
        <v>109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3">
      <c r="A71" s="86" t="s">
        <v>48</v>
      </c>
      <c r="B71" s="579" t="s">
        <v>110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3">
      <c r="A72" s="86" t="s">
        <v>48</v>
      </c>
      <c r="B72" s="579" t="s">
        <v>111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3">
      <c r="A73" s="86" t="s">
        <v>48</v>
      </c>
      <c r="B73" s="579" t="s">
        <v>112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3">
      <c r="A74" s="86" t="s">
        <v>48</v>
      </c>
      <c r="B74" s="579" t="s">
        <v>113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3">
      <c r="A75" s="86" t="s">
        <v>48</v>
      </c>
      <c r="B75" s="579" t="s">
        <v>114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3">
      <c r="A76" s="86" t="s">
        <v>48</v>
      </c>
      <c r="B76" s="579" t="s">
        <v>115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3">
      <c r="A77" s="86" t="s">
        <v>48</v>
      </c>
      <c r="B77" s="579" t="s">
        <v>116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3">
      <c r="A78" s="86" t="s">
        <v>48</v>
      </c>
      <c r="B78" s="579" t="s">
        <v>117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3">
      <c r="A79" s="86" t="s">
        <v>48</v>
      </c>
      <c r="B79" s="579" t="s">
        <v>118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3">
      <c r="A80" s="86" t="s">
        <v>48</v>
      </c>
      <c r="B80" s="579" t="s">
        <v>119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3">
      <c r="A81" s="86" t="s">
        <v>48</v>
      </c>
      <c r="B81" s="579" t="s">
        <v>120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3">
      <c r="A82" s="86" t="s">
        <v>48</v>
      </c>
      <c r="B82" s="579" t="s">
        <v>121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3">
      <c r="A83" s="86" t="s">
        <v>48</v>
      </c>
      <c r="B83" s="579" t="s">
        <v>122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3">
      <c r="A84" s="86" t="s">
        <v>48</v>
      </c>
      <c r="B84" s="579" t="s">
        <v>123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3">
      <c r="A85" s="86" t="s">
        <v>48</v>
      </c>
      <c r="B85" s="579" t="s">
        <v>124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3">
      <c r="A86" s="86" t="s">
        <v>48</v>
      </c>
      <c r="B86" s="579" t="s">
        <v>125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3">
      <c r="A87" s="86" t="s">
        <v>48</v>
      </c>
      <c r="B87" s="579" t="s">
        <v>126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3">
      <c r="A88" s="86" t="s">
        <v>48</v>
      </c>
      <c r="B88" s="579" t="s">
        <v>127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3">
      <c r="A89" s="86" t="s">
        <v>48</v>
      </c>
      <c r="B89" s="579" t="s">
        <v>128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3">
      <c r="A90" s="86" t="s">
        <v>48</v>
      </c>
      <c r="B90" s="579" t="s">
        <v>129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3">
      <c r="A91" s="86" t="s">
        <v>48</v>
      </c>
      <c r="B91" s="579" t="s">
        <v>130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3">
      <c r="A92" s="86" t="s">
        <v>48</v>
      </c>
      <c r="B92" s="579" t="s">
        <v>131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3">
      <c r="A93" s="86" t="s">
        <v>48</v>
      </c>
      <c r="B93" s="579" t="s">
        <v>132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3">
      <c r="A94" s="86" t="s">
        <v>48</v>
      </c>
      <c r="B94" s="579" t="s">
        <v>133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3">
      <c r="A95" s="86" t="s">
        <v>48</v>
      </c>
      <c r="B95" s="579" t="s">
        <v>134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3">
      <c r="A96" s="86" t="s">
        <v>48</v>
      </c>
      <c r="B96" s="579" t="s">
        <v>135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3">
      <c r="A97" s="86" t="s">
        <v>48</v>
      </c>
      <c r="B97" s="579" t="s">
        <v>136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3">
      <c r="A98" s="86" t="s">
        <v>48</v>
      </c>
      <c r="B98" s="579" t="s">
        <v>137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3">
      <c r="A99" s="86" t="s">
        <v>48</v>
      </c>
      <c r="B99" s="579" t="s">
        <v>138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3">
      <c r="A100" s="86" t="s">
        <v>48</v>
      </c>
      <c r="B100" s="579" t="s">
        <v>139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3">
      <c r="A101" s="86" t="s">
        <v>48</v>
      </c>
      <c r="B101" s="579" t="s">
        <v>140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3">
      <c r="A102" s="86" t="s">
        <v>48</v>
      </c>
      <c r="B102" s="579" t="s">
        <v>141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3">
      <c r="A103" s="86" t="s">
        <v>48</v>
      </c>
      <c r="B103" s="579" t="s">
        <v>142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3">
      <c r="A104" s="86" t="s">
        <v>48</v>
      </c>
      <c r="B104" s="579" t="s">
        <v>143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3">
      <c r="A105" s="86" t="s">
        <v>48</v>
      </c>
      <c r="B105" s="579" t="s">
        <v>144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3">
      <c r="A106" s="86" t="s">
        <v>48</v>
      </c>
      <c r="B106" s="579" t="s">
        <v>145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3">
      <c r="A107" s="86" t="s">
        <v>48</v>
      </c>
      <c r="B107" s="579" t="s">
        <v>146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3">
      <c r="A108" s="86" t="s">
        <v>48</v>
      </c>
      <c r="B108" s="579" t="s">
        <v>147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3">
      <c r="A109" s="86" t="s">
        <v>48</v>
      </c>
      <c r="B109" s="579" t="s">
        <v>148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3">
      <c r="A110" s="86" t="s">
        <v>48</v>
      </c>
      <c r="B110" s="579" t="s">
        <v>149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3">
      <c r="A111" s="86" t="s">
        <v>48</v>
      </c>
      <c r="B111" s="579" t="s">
        <v>150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3">
      <c r="A112" s="86" t="s">
        <v>48</v>
      </c>
      <c r="B112" s="579" t="s">
        <v>151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3">
      <c r="A113" s="86" t="s">
        <v>48</v>
      </c>
      <c r="B113" s="579" t="s">
        <v>152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3">
      <c r="A114" s="86" t="s">
        <v>48</v>
      </c>
      <c r="B114" s="579" t="s">
        <v>153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3">
      <c r="A115" s="86" t="s">
        <v>48</v>
      </c>
      <c r="B115" s="579" t="s">
        <v>154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3">
      <c r="A116" s="86" t="s">
        <v>48</v>
      </c>
      <c r="B116" s="579" t="s">
        <v>155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3">
      <c r="A117" s="86" t="s">
        <v>48</v>
      </c>
      <c r="B117" s="579" t="s">
        <v>156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3">
      <c r="A118" s="86" t="s">
        <v>48</v>
      </c>
      <c r="B118" s="579" t="s">
        <v>157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3">
      <c r="A119" s="86" t="s">
        <v>48</v>
      </c>
      <c r="B119" s="579" t="s">
        <v>158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3">
      <c r="A120" s="86" t="s">
        <v>48</v>
      </c>
      <c r="B120" s="579" t="s">
        <v>159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3">
      <c r="A121" s="86" t="s">
        <v>48</v>
      </c>
      <c r="B121" s="579" t="s">
        <v>160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3">
      <c r="A122" s="86" t="s">
        <v>48</v>
      </c>
      <c r="B122" s="579" t="s">
        <v>161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3">
      <c r="A123" s="86" t="s">
        <v>48</v>
      </c>
      <c r="B123" s="579" t="s">
        <v>162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3">
      <c r="A124" s="86" t="s">
        <v>48</v>
      </c>
      <c r="B124" s="579" t="s">
        <v>163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3">
      <c r="A125" s="86" t="s">
        <v>48</v>
      </c>
      <c r="B125" s="579" t="s">
        <v>164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3">
      <c r="A126" s="86" t="s">
        <v>48</v>
      </c>
      <c r="B126" s="579" t="s">
        <v>165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3">
      <c r="A127" s="86" t="s">
        <v>48</v>
      </c>
      <c r="B127" s="579" t="s">
        <v>166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3">
      <c r="A128" s="86" t="s">
        <v>48</v>
      </c>
      <c r="B128" s="579" t="s">
        <v>167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3">
      <c r="A129" s="86" t="s">
        <v>48</v>
      </c>
      <c r="B129" s="579" t="s">
        <v>168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3">
      <c r="A130" s="86" t="s">
        <v>48</v>
      </c>
      <c r="B130" s="579" t="s">
        <v>169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3">
      <c r="A131" s="86" t="s">
        <v>48</v>
      </c>
      <c r="B131" s="579" t="s">
        <v>170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3">
      <c r="A132" s="86" t="s">
        <v>48</v>
      </c>
      <c r="B132" s="579" t="s">
        <v>171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3">
      <c r="A133" s="86" t="s">
        <v>48</v>
      </c>
      <c r="B133" s="579" t="s">
        <v>172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3">
      <c r="A134" s="86" t="s">
        <v>48</v>
      </c>
      <c r="B134" s="579" t="s">
        <v>173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3">
      <c r="A135" s="111"/>
      <c r="B135" s="580"/>
      <c r="C135" s="111"/>
      <c r="D135" s="113">
        <f t="shared" ref="D135:L135" si="22">SUM(D29:D134)</f>
        <v>21895402</v>
      </c>
      <c r="E135" s="134">
        <f t="shared" si="22"/>
        <v>23324090</v>
      </c>
      <c r="F135" s="113">
        <f t="shared" si="22"/>
        <v>57106398</v>
      </c>
      <c r="G135" s="134">
        <f t="shared" si="22"/>
        <v>27983290</v>
      </c>
      <c r="H135" s="134">
        <f t="shared" si="22"/>
        <v>29123108</v>
      </c>
      <c r="I135" s="134">
        <f t="shared" si="22"/>
        <v>21895402</v>
      </c>
      <c r="J135" s="134">
        <f t="shared" si="22"/>
        <v>23324090</v>
      </c>
      <c r="K135" s="134">
        <f t="shared" si="22"/>
        <v>6087888</v>
      </c>
      <c r="L135" s="134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3">
      <c r="A136" s="53" t="s">
        <v>27</v>
      </c>
      <c r="B136" s="581" t="s">
        <v>174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3">
      <c r="A137" s="53" t="s">
        <v>27</v>
      </c>
      <c r="B137" s="582" t="s">
        <v>175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3">
      <c r="A138" s="53" t="s">
        <v>27</v>
      </c>
      <c r="B138" s="582" t="s">
        <v>176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3">
      <c r="A139" s="53" t="s">
        <v>27</v>
      </c>
      <c r="B139" s="582" t="s">
        <v>177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3">
      <c r="A140" s="53" t="s">
        <v>27</v>
      </c>
      <c r="B140" s="582" t="s">
        <v>178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3">
      <c r="A141" s="53" t="s">
        <v>27</v>
      </c>
      <c r="B141" s="582" t="s">
        <v>179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3">
      <c r="A142" s="54" t="s">
        <v>27</v>
      </c>
      <c r="B142" s="583" t="s">
        <v>180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3">
      <c r="A143" s="115"/>
      <c r="B143" s="584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3">
      <c r="A144" s="58" t="s">
        <v>30</v>
      </c>
      <c r="B144" s="581" t="s">
        <v>181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764">
        <f>G144+H144</f>
        <v>364103.61922965694</v>
      </c>
      <c r="G144" s="764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765">
        <f>SUM(M144:AD144)</f>
        <v>38954.196552201036</v>
      </c>
      <c r="L144" s="60">
        <f>SUM(CZ144:DQ144)</f>
        <v>37048.788099800979</v>
      </c>
      <c r="M144" s="765">
        <v>2017.8952120383037</v>
      </c>
      <c r="N144" s="765">
        <v>2031.4154300095463</v>
      </c>
      <c r="O144" s="765">
        <v>2025.5722779004586</v>
      </c>
      <c r="P144" s="765">
        <v>2036.6363244919048</v>
      </c>
      <c r="Q144" s="765">
        <v>2174.8657606103957</v>
      </c>
      <c r="R144" s="765">
        <v>2139.1275684252282</v>
      </c>
      <c r="S144" s="765">
        <v>2269.8788621098379</v>
      </c>
      <c r="T144" s="765">
        <v>2199.8731034482757</v>
      </c>
      <c r="U144" s="765">
        <v>2214.1918960244648</v>
      </c>
      <c r="V144" s="765">
        <v>2323.0202012443356</v>
      </c>
      <c r="W144" s="765">
        <v>2319.2258355916892</v>
      </c>
      <c r="X144" s="765">
        <v>2302.9974595842955</v>
      </c>
      <c r="Y144" s="765">
        <v>2256.5049293083684</v>
      </c>
      <c r="Z144" s="765">
        <v>2212.0418107754977</v>
      </c>
      <c r="AA144" s="765">
        <v>2229.1199141767324</v>
      </c>
      <c r="AB144" s="765">
        <v>2134.8894582108355</v>
      </c>
      <c r="AC144" s="765">
        <v>2012.6591474539725</v>
      </c>
      <c r="AD144" s="765">
        <v>2054.2813607968933</v>
      </c>
      <c r="AE144" s="765">
        <v>2265.0450211864404</v>
      </c>
      <c r="AF144" s="765">
        <v>2804.7232134687529</v>
      </c>
      <c r="AG144" s="765">
        <v>2878.6458486407055</v>
      </c>
      <c r="AH144" s="765">
        <v>2648.2416475163518</v>
      </c>
      <c r="AI144" s="765">
        <v>2812.8031562871206</v>
      </c>
      <c r="AJ144" s="765">
        <v>2819.1729711141679</v>
      </c>
      <c r="AK144" s="765">
        <v>2731.7522704339053</v>
      </c>
      <c r="AL144" s="765">
        <v>2754.8174718956493</v>
      </c>
      <c r="AM144" s="765">
        <v>2792.2450211225105</v>
      </c>
      <c r="AN144" s="765">
        <v>2709.9772329246935</v>
      </c>
      <c r="AO144" s="765">
        <v>2693.0545391183132</v>
      </c>
      <c r="AP144" s="765">
        <v>2739.741847362131</v>
      </c>
      <c r="AQ144" s="765">
        <v>2738.9105892047796</v>
      </c>
      <c r="AR144" s="765">
        <v>2711.0666008067833</v>
      </c>
      <c r="AS144" s="765">
        <v>2782.8070289619263</v>
      </c>
      <c r="AT144" s="765">
        <v>2691.3420944220152</v>
      </c>
      <c r="AU144" s="765">
        <v>2575.2371291098634</v>
      </c>
      <c r="AV144" s="765">
        <v>2616.3572226656024</v>
      </c>
      <c r="AW144" s="765">
        <v>2585.9089460686691</v>
      </c>
      <c r="AX144" s="765">
        <v>2533.264568094025</v>
      </c>
      <c r="AY144" s="765">
        <v>2413.1614349775782</v>
      </c>
      <c r="AZ144" s="765">
        <v>2431.4496314496314</v>
      </c>
      <c r="BA144" s="765">
        <v>2293.8903732491299</v>
      </c>
      <c r="BB144" s="765">
        <v>2344.819097470061</v>
      </c>
      <c r="BC144" s="765">
        <v>2403.7633319021038</v>
      </c>
      <c r="BD144" s="765">
        <v>2239.8626248466794</v>
      </c>
      <c r="BE144" s="765">
        <v>2047.4737312365976</v>
      </c>
      <c r="BF144" s="765">
        <v>2052.8353243075835</v>
      </c>
      <c r="BG144" s="765">
        <v>1984.3233076189651</v>
      </c>
      <c r="BH144" s="765">
        <v>1967.3126347206103</v>
      </c>
      <c r="BI144" s="765">
        <v>1977.5348837209303</v>
      </c>
      <c r="BJ144" s="765">
        <v>2084.857469993683</v>
      </c>
      <c r="BK144" s="765">
        <v>2131.2999446158715</v>
      </c>
      <c r="BL144" s="765">
        <v>2143.6819436775263</v>
      </c>
      <c r="BM144" s="765">
        <v>2073.8563380281689</v>
      </c>
      <c r="BN144" s="765">
        <v>2300.7910402197972</v>
      </c>
      <c r="BO144" s="765">
        <v>2326.6164287385909</v>
      </c>
      <c r="BP144" s="765">
        <v>2307.9060786106033</v>
      </c>
      <c r="BQ144" s="765">
        <v>2344.6145362640732</v>
      </c>
      <c r="BR144" s="765">
        <v>2368.012116504854</v>
      </c>
      <c r="BS144" s="765">
        <v>2252.978437722139</v>
      </c>
      <c r="BT144" s="765">
        <v>2241.3179516972359</v>
      </c>
      <c r="BU144" s="765">
        <v>2297.6054466954502</v>
      </c>
      <c r="BV144" s="765">
        <v>2198.0522088353414</v>
      </c>
      <c r="BW144" s="765">
        <v>2021.5031326614003</v>
      </c>
      <c r="BX144" s="765">
        <v>2002.5265144540601</v>
      </c>
      <c r="BY144" s="765">
        <v>1890.3538506703198</v>
      </c>
      <c r="BZ144" s="765">
        <v>1822.7951142631994</v>
      </c>
      <c r="CA144" s="765">
        <v>1687.8206664564279</v>
      </c>
      <c r="CB144" s="765">
        <v>1588.8602704443015</v>
      </c>
      <c r="CC144" s="765">
        <v>1552.3684032476319</v>
      </c>
      <c r="CD144" s="765">
        <v>1527.1244533743056</v>
      </c>
      <c r="CE144" s="765">
        <v>1273.9034871433603</v>
      </c>
      <c r="CF144" s="765">
        <v>1290.2680573978055</v>
      </c>
      <c r="CG144" s="765">
        <v>1292.323121170439</v>
      </c>
      <c r="CH144" s="765">
        <v>1203.3575933400607</v>
      </c>
      <c r="CI144" s="765">
        <v>1137.5975561687032</v>
      </c>
      <c r="CJ144" s="765">
        <v>1181.2559576345984</v>
      </c>
      <c r="CK144" s="765">
        <v>1033.272138554217</v>
      </c>
      <c r="CL144" s="765">
        <v>966.99722735674675</v>
      </c>
      <c r="CM144" s="765">
        <v>986.02355350742448</v>
      </c>
      <c r="CN144" s="765">
        <v>974.00968523002427</v>
      </c>
      <c r="CO144" s="765">
        <v>796.9</v>
      </c>
      <c r="CP144" s="765">
        <v>696.19117288466236</v>
      </c>
      <c r="CQ144" s="765">
        <v>621.99595857539782</v>
      </c>
      <c r="CR144" s="765">
        <v>600.77992957746471</v>
      </c>
      <c r="CS144" s="765">
        <v>583.85111740635818</v>
      </c>
      <c r="CT144" s="765">
        <v>522.79582712369597</v>
      </c>
      <c r="CU144" s="765">
        <v>452.41860465116281</v>
      </c>
      <c r="CV144" s="765">
        <v>372.84571129707109</v>
      </c>
      <c r="CW144" s="765">
        <v>312.34061135371184</v>
      </c>
      <c r="CX144" s="765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3">
      <c r="A145" s="58" t="s">
        <v>30</v>
      </c>
      <c r="B145" s="582" t="s">
        <v>182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3">
      <c r="A146" s="58" t="s">
        <v>30</v>
      </c>
      <c r="B146" s="582" t="s">
        <v>183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3">
      <c r="A147" s="58" t="s">
        <v>30</v>
      </c>
      <c r="B147" s="582" t="s">
        <v>184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3">
      <c r="A148" s="62" t="s">
        <v>30</v>
      </c>
      <c r="B148" s="583" t="s">
        <v>185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3">
      <c r="A149" s="115"/>
      <c r="B149" s="584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3">
      <c r="A150" s="72" t="s">
        <v>25</v>
      </c>
      <c r="B150" s="585" t="s">
        <v>186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764">
        <f t="shared" ref="F150:F156" si="36">G150+H150</f>
        <v>6398497</v>
      </c>
      <c r="G150" s="764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765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3">
      <c r="A151" s="63" t="s">
        <v>25</v>
      </c>
      <c r="B151" s="585" t="s">
        <v>187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3">
      <c r="A152" s="63" t="s">
        <v>25</v>
      </c>
      <c r="B152" s="585" t="s">
        <v>188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3">
      <c r="A153" s="63" t="s">
        <v>25</v>
      </c>
      <c r="B153" s="585" t="s">
        <v>189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3">
      <c r="A154" s="63" t="s">
        <v>25</v>
      </c>
      <c r="B154" s="585" t="s">
        <v>190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3">
      <c r="A155" s="63" t="s">
        <v>25</v>
      </c>
      <c r="B155" s="585" t="s">
        <v>191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3">
      <c r="A156" s="138" t="s">
        <v>25</v>
      </c>
      <c r="B156" s="585" t="s">
        <v>192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3">
      <c r="A157" s="116"/>
      <c r="B157" s="586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763"/>
      <c r="O157" s="763"/>
      <c r="P157" s="763"/>
      <c r="Q157" s="763"/>
      <c r="R157" s="763"/>
      <c r="S157" s="763"/>
      <c r="T157" s="763"/>
      <c r="U157" s="763"/>
      <c r="V157" s="763"/>
      <c r="W157" s="763"/>
      <c r="X157" s="763"/>
      <c r="Y157" s="763"/>
      <c r="Z157" s="763"/>
      <c r="AA157" s="763"/>
      <c r="AB157" s="763"/>
      <c r="AC157" s="763"/>
      <c r="AD157" s="763"/>
      <c r="AE157" s="763"/>
      <c r="AF157" s="763"/>
      <c r="AG157" s="763"/>
      <c r="AH157" s="763"/>
      <c r="AI157" s="763"/>
      <c r="AJ157" s="763"/>
      <c r="AK157" s="763"/>
      <c r="AL157" s="763"/>
      <c r="AM157" s="763"/>
      <c r="AN157" s="763"/>
      <c r="AO157" s="763"/>
      <c r="AP157" s="763"/>
      <c r="AQ157" s="763"/>
      <c r="AR157" s="763"/>
      <c r="AS157" s="763"/>
      <c r="AT157" s="763"/>
      <c r="AU157" s="763"/>
      <c r="AV157" s="763"/>
      <c r="AW157" s="763"/>
      <c r="AX157" s="763"/>
      <c r="AY157" s="763"/>
      <c r="AZ157" s="763"/>
      <c r="BA157" s="763"/>
      <c r="BB157" s="763"/>
      <c r="BC157" s="763"/>
      <c r="BD157" s="763"/>
      <c r="BE157" s="763"/>
      <c r="BF157" s="763"/>
      <c r="BG157" s="763"/>
      <c r="BH157" s="763"/>
      <c r="BI157" s="763"/>
      <c r="BJ157" s="763"/>
      <c r="BK157" s="763"/>
      <c r="BL157" s="763"/>
      <c r="BM157" s="763"/>
      <c r="BN157" s="763"/>
      <c r="BO157" s="763"/>
      <c r="BP157" s="763"/>
      <c r="BQ157" s="763"/>
      <c r="BR157" s="763"/>
      <c r="BS157" s="763"/>
      <c r="BT157" s="763"/>
      <c r="BU157" s="763"/>
      <c r="BV157" s="763"/>
      <c r="BW157" s="763"/>
      <c r="BX157" s="763"/>
      <c r="BY157" s="763"/>
      <c r="BZ157" s="763"/>
      <c r="CA157" s="763"/>
      <c r="CB157" s="763"/>
      <c r="CC157" s="763"/>
      <c r="CD157" s="763"/>
      <c r="CE157" s="763"/>
      <c r="CF157" s="763"/>
      <c r="CG157" s="763"/>
      <c r="CH157" s="763"/>
      <c r="CI157" s="763"/>
      <c r="CJ157" s="763"/>
      <c r="CK157" s="763"/>
      <c r="CL157" s="763"/>
      <c r="CM157" s="763"/>
      <c r="CN157" s="763"/>
      <c r="CO157" s="763"/>
      <c r="CP157" s="763"/>
      <c r="CQ157" s="763"/>
      <c r="CR157" s="763"/>
      <c r="CS157" s="763"/>
      <c r="CT157" s="763"/>
      <c r="CU157" s="763"/>
      <c r="CV157" s="763"/>
      <c r="CW157" s="763"/>
      <c r="CX157" s="763"/>
      <c r="CY157" s="76"/>
      <c r="CZ157" s="117"/>
      <c r="DA157" s="763"/>
      <c r="DB157" s="763"/>
      <c r="DC157" s="763"/>
      <c r="DD157" s="763"/>
      <c r="DE157" s="763"/>
      <c r="DF157" s="763"/>
      <c r="DG157" s="763"/>
      <c r="DH157" s="763"/>
      <c r="DI157" s="763"/>
      <c r="DJ157" s="763"/>
      <c r="DK157" s="763"/>
      <c r="DL157" s="763"/>
      <c r="DM157" s="763"/>
      <c r="DN157" s="763"/>
      <c r="DO157" s="763"/>
      <c r="DP157" s="763"/>
      <c r="DQ157" s="763"/>
      <c r="DR157" s="763"/>
      <c r="DS157" s="763"/>
      <c r="DT157" s="763"/>
      <c r="DU157" s="763"/>
      <c r="DV157" s="763"/>
      <c r="DW157" s="763"/>
      <c r="DX157" s="763"/>
      <c r="DY157" s="763"/>
      <c r="DZ157" s="763"/>
      <c r="EA157" s="763"/>
      <c r="EB157" s="763"/>
      <c r="EC157" s="763"/>
      <c r="ED157" s="763"/>
      <c r="EE157" s="763"/>
      <c r="EF157" s="763"/>
      <c r="EG157" s="763"/>
      <c r="EH157" s="763"/>
      <c r="EI157" s="763"/>
      <c r="EJ157" s="763"/>
      <c r="EK157" s="763"/>
      <c r="EL157" s="763"/>
      <c r="EM157" s="763"/>
      <c r="EN157" s="763"/>
      <c r="EO157" s="763"/>
      <c r="EP157" s="763"/>
      <c r="EQ157" s="763"/>
      <c r="ER157" s="763"/>
      <c r="ES157" s="763"/>
      <c r="ET157" s="763"/>
      <c r="EU157" s="763"/>
      <c r="EV157" s="763"/>
      <c r="EW157" s="763"/>
      <c r="EX157" s="763"/>
      <c r="EY157" s="763"/>
      <c r="EZ157" s="763"/>
      <c r="FA157" s="763"/>
      <c r="FB157" s="763"/>
      <c r="FC157" s="763"/>
      <c r="FD157" s="763"/>
      <c r="FE157" s="763"/>
      <c r="FF157" s="763"/>
      <c r="FG157" s="763"/>
      <c r="FH157" s="763"/>
      <c r="FI157" s="763"/>
      <c r="FJ157" s="763"/>
      <c r="FK157" s="763"/>
      <c r="FL157" s="763"/>
      <c r="FM157" s="763"/>
      <c r="FN157" s="763"/>
      <c r="FO157" s="763"/>
      <c r="FP157" s="763"/>
      <c r="FQ157" s="763"/>
      <c r="FR157" s="763"/>
      <c r="FS157" s="763"/>
      <c r="FT157" s="763"/>
      <c r="FU157" s="763"/>
      <c r="FV157" s="763"/>
      <c r="FW157" s="763"/>
      <c r="FX157" s="763"/>
      <c r="FY157" s="763"/>
      <c r="FZ157" s="763"/>
      <c r="GA157" s="763"/>
      <c r="GB157" s="763"/>
      <c r="GC157" s="763"/>
      <c r="GD157" s="763"/>
      <c r="GE157" s="763"/>
      <c r="GF157" s="763"/>
      <c r="GG157" s="763"/>
      <c r="GH157" s="763"/>
      <c r="GI157" s="763"/>
      <c r="GJ157" s="763"/>
      <c r="GK157" s="763"/>
      <c r="GL157" s="76"/>
    </row>
    <row r="158" spans="1:194" s="1" customFormat="1" x14ac:dyDescent="0.3">
      <c r="A158" s="106" t="s">
        <v>17</v>
      </c>
      <c r="B158" s="587" t="s">
        <v>193</v>
      </c>
      <c r="C158" s="766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7">
        <f t="shared" ref="F158:F163" si="46">G158+H158</f>
        <v>953852</v>
      </c>
      <c r="G158" s="764">
        <f t="shared" ref="G158:G163" si="47">SUM(M158:CY158)</f>
        <v>470982</v>
      </c>
      <c r="H158" s="61">
        <f t="shared" ref="H158:H163" si="48">SUM(CZ158:GL158)</f>
        <v>482870</v>
      </c>
      <c r="I158" s="764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60">
        <f t="shared" ref="L158:L163" si="52">SUM(CZ158:DQ158)</f>
        <v>94278</v>
      </c>
      <c r="M158" s="104">
        <v>4647</v>
      </c>
      <c r="N158" s="765">
        <v>4706</v>
      </c>
      <c r="O158" s="765">
        <v>4907</v>
      </c>
      <c r="P158" s="765">
        <v>5108</v>
      </c>
      <c r="Q158" s="765">
        <v>5293</v>
      </c>
      <c r="R158" s="765">
        <v>5287</v>
      </c>
      <c r="S158" s="765">
        <v>5628</v>
      </c>
      <c r="T158" s="765">
        <v>5623</v>
      </c>
      <c r="U158" s="765">
        <v>5617</v>
      </c>
      <c r="V158" s="765">
        <v>5799</v>
      </c>
      <c r="W158" s="765">
        <v>6160</v>
      </c>
      <c r="X158" s="765">
        <v>6033</v>
      </c>
      <c r="Y158" s="765">
        <v>5955</v>
      </c>
      <c r="Z158" s="765">
        <v>5803</v>
      </c>
      <c r="AA158" s="765">
        <v>5710</v>
      </c>
      <c r="AB158" s="765">
        <v>5605</v>
      </c>
      <c r="AC158" s="765">
        <v>5496</v>
      </c>
      <c r="AD158" s="765">
        <v>5413</v>
      </c>
      <c r="AE158" s="765">
        <v>5967</v>
      </c>
      <c r="AF158" s="765">
        <v>6678</v>
      </c>
      <c r="AG158" s="765">
        <v>6216</v>
      </c>
      <c r="AH158" s="765">
        <v>5569</v>
      </c>
      <c r="AI158" s="765">
        <v>5932</v>
      </c>
      <c r="AJ158" s="765">
        <v>5961</v>
      </c>
      <c r="AK158" s="765">
        <v>5644</v>
      </c>
      <c r="AL158" s="765">
        <v>5569</v>
      </c>
      <c r="AM158" s="765">
        <v>5603</v>
      </c>
      <c r="AN158" s="765">
        <v>5436</v>
      </c>
      <c r="AO158" s="765">
        <v>5723</v>
      </c>
      <c r="AP158" s="765">
        <v>5509</v>
      </c>
      <c r="AQ158" s="765">
        <v>5906</v>
      </c>
      <c r="AR158" s="765">
        <v>5926</v>
      </c>
      <c r="AS158" s="765">
        <v>5999</v>
      </c>
      <c r="AT158" s="765">
        <v>5968</v>
      </c>
      <c r="AU158" s="765">
        <v>6124</v>
      </c>
      <c r="AV158" s="765">
        <v>6089</v>
      </c>
      <c r="AW158" s="765">
        <v>6037</v>
      </c>
      <c r="AX158" s="765">
        <v>5950</v>
      </c>
      <c r="AY158" s="765">
        <v>6029</v>
      </c>
      <c r="AZ158" s="765">
        <v>5880</v>
      </c>
      <c r="BA158" s="765">
        <v>5821</v>
      </c>
      <c r="BB158" s="765">
        <v>5960</v>
      </c>
      <c r="BC158" s="765">
        <v>6033</v>
      </c>
      <c r="BD158" s="765">
        <v>5922</v>
      </c>
      <c r="BE158" s="765">
        <v>5375</v>
      </c>
      <c r="BF158" s="765">
        <v>5274</v>
      </c>
      <c r="BG158" s="765">
        <v>5437</v>
      </c>
      <c r="BH158" s="765">
        <v>5820</v>
      </c>
      <c r="BI158" s="765">
        <v>5866</v>
      </c>
      <c r="BJ158" s="765">
        <v>6432</v>
      </c>
      <c r="BK158" s="765">
        <v>6631</v>
      </c>
      <c r="BL158" s="765">
        <v>6700</v>
      </c>
      <c r="BM158" s="765">
        <v>6536</v>
      </c>
      <c r="BN158" s="765">
        <v>6527</v>
      </c>
      <c r="BO158" s="765">
        <v>6586</v>
      </c>
      <c r="BP158" s="765">
        <v>6746</v>
      </c>
      <c r="BQ158" s="765">
        <v>6723</v>
      </c>
      <c r="BR158" s="765">
        <v>6887</v>
      </c>
      <c r="BS158" s="765">
        <v>6661</v>
      </c>
      <c r="BT158" s="765">
        <v>6550</v>
      </c>
      <c r="BU158" s="765">
        <v>6440</v>
      </c>
      <c r="BV158" s="765">
        <v>6192</v>
      </c>
      <c r="BW158" s="765">
        <v>5977</v>
      </c>
      <c r="BX158" s="765">
        <v>5691</v>
      </c>
      <c r="BY158" s="765">
        <v>5371</v>
      </c>
      <c r="BZ158" s="765">
        <v>5135</v>
      </c>
      <c r="CA158" s="765">
        <v>4863</v>
      </c>
      <c r="CB158" s="765">
        <v>4730</v>
      </c>
      <c r="CC158" s="765">
        <v>4797</v>
      </c>
      <c r="CD158" s="765">
        <v>4544</v>
      </c>
      <c r="CE158" s="765">
        <v>4485</v>
      </c>
      <c r="CF158" s="765">
        <v>4422</v>
      </c>
      <c r="CG158" s="765">
        <v>4421</v>
      </c>
      <c r="CH158" s="765">
        <v>4529</v>
      </c>
      <c r="CI158" s="765">
        <v>4861</v>
      </c>
      <c r="CJ158" s="765">
        <v>5197</v>
      </c>
      <c r="CK158" s="765">
        <v>3865</v>
      </c>
      <c r="CL158" s="765">
        <v>3773</v>
      </c>
      <c r="CM158" s="765">
        <v>3497</v>
      </c>
      <c r="CN158" s="765">
        <v>3141</v>
      </c>
      <c r="CO158" s="765">
        <v>2804</v>
      </c>
      <c r="CP158" s="765">
        <v>2380</v>
      </c>
      <c r="CQ158" s="765">
        <v>2335</v>
      </c>
      <c r="CR158" s="765">
        <v>2209</v>
      </c>
      <c r="CS158" s="765">
        <v>2008</v>
      </c>
      <c r="CT158" s="765">
        <v>1804</v>
      </c>
      <c r="CU158" s="765">
        <v>1625</v>
      </c>
      <c r="CV158" s="765">
        <v>1368</v>
      </c>
      <c r="CW158" s="765">
        <v>1144</v>
      </c>
      <c r="CX158" s="765">
        <v>1023</v>
      </c>
      <c r="CY158" s="60">
        <v>3359</v>
      </c>
      <c r="CZ158" s="104">
        <v>4395</v>
      </c>
      <c r="DA158" s="765">
        <v>4569</v>
      </c>
      <c r="DB158" s="765">
        <v>4724</v>
      </c>
      <c r="DC158" s="765">
        <v>4830</v>
      </c>
      <c r="DD158" s="765">
        <v>5033</v>
      </c>
      <c r="DE158" s="765">
        <v>5193</v>
      </c>
      <c r="DF158" s="765">
        <v>5362</v>
      </c>
      <c r="DG158" s="765">
        <v>5295</v>
      </c>
      <c r="DH158" s="765">
        <v>5344</v>
      </c>
      <c r="DI158" s="765">
        <v>5565</v>
      </c>
      <c r="DJ158" s="765">
        <v>5551</v>
      </c>
      <c r="DK158" s="765">
        <v>5719</v>
      </c>
      <c r="DL158" s="765">
        <v>5546</v>
      </c>
      <c r="DM158" s="765">
        <v>5549</v>
      </c>
      <c r="DN158" s="765">
        <v>5624</v>
      </c>
      <c r="DO158" s="765">
        <v>5574</v>
      </c>
      <c r="DP158" s="765">
        <v>5184</v>
      </c>
      <c r="DQ158" s="765">
        <v>5221</v>
      </c>
      <c r="DR158" s="765">
        <v>5415</v>
      </c>
      <c r="DS158" s="765">
        <v>5600</v>
      </c>
      <c r="DT158" s="765">
        <v>5189</v>
      </c>
      <c r="DU158" s="765">
        <v>4912</v>
      </c>
      <c r="DV158" s="765">
        <v>5426</v>
      </c>
      <c r="DW158" s="765">
        <v>5137</v>
      </c>
      <c r="DX158" s="765">
        <v>5128</v>
      </c>
      <c r="DY158" s="765">
        <v>5294</v>
      </c>
      <c r="DZ158" s="765">
        <v>5013</v>
      </c>
      <c r="EA158" s="765">
        <v>5302</v>
      </c>
      <c r="EB158" s="765">
        <v>5698</v>
      </c>
      <c r="EC158" s="765">
        <v>5815</v>
      </c>
      <c r="ED158" s="765">
        <v>5939</v>
      </c>
      <c r="EE158" s="765">
        <v>6272</v>
      </c>
      <c r="EF158" s="765">
        <v>6263</v>
      </c>
      <c r="EG158" s="765">
        <v>6313</v>
      </c>
      <c r="EH158" s="765">
        <v>6318</v>
      </c>
      <c r="EI158" s="765">
        <v>6535</v>
      </c>
      <c r="EJ158" s="765">
        <v>6131</v>
      </c>
      <c r="EK158" s="765">
        <v>6244</v>
      </c>
      <c r="EL158" s="765">
        <v>6165</v>
      </c>
      <c r="EM158" s="765">
        <v>5942</v>
      </c>
      <c r="EN158" s="765">
        <v>6211</v>
      </c>
      <c r="EO158" s="765">
        <v>6218</v>
      </c>
      <c r="EP158" s="765">
        <v>6104</v>
      </c>
      <c r="EQ158" s="765">
        <v>5799</v>
      </c>
      <c r="ER158" s="765">
        <v>5574</v>
      </c>
      <c r="ES158" s="765">
        <v>5586</v>
      </c>
      <c r="ET158" s="765">
        <v>5770</v>
      </c>
      <c r="EU158" s="765">
        <v>5831</v>
      </c>
      <c r="EV158" s="765">
        <v>6251</v>
      </c>
      <c r="EW158" s="765">
        <v>6563</v>
      </c>
      <c r="EX158" s="765">
        <v>6923</v>
      </c>
      <c r="EY158" s="765">
        <v>6736</v>
      </c>
      <c r="EZ158" s="765">
        <v>6661</v>
      </c>
      <c r="FA158" s="765">
        <v>6860</v>
      </c>
      <c r="FB158" s="765">
        <v>6795</v>
      </c>
      <c r="FC158" s="765">
        <v>7093</v>
      </c>
      <c r="FD158" s="765">
        <v>7056</v>
      </c>
      <c r="FE158" s="765">
        <v>6890</v>
      </c>
      <c r="FF158" s="765">
        <v>6926</v>
      </c>
      <c r="FG158" s="765">
        <v>6551</v>
      </c>
      <c r="FH158" s="765">
        <v>6513</v>
      </c>
      <c r="FI158" s="765">
        <v>6413</v>
      </c>
      <c r="FJ158" s="765">
        <v>5897</v>
      </c>
      <c r="FK158" s="765">
        <v>5838</v>
      </c>
      <c r="FL158" s="765">
        <v>5643</v>
      </c>
      <c r="FM158" s="765">
        <v>5384</v>
      </c>
      <c r="FN158" s="765">
        <v>5189</v>
      </c>
      <c r="FO158" s="765">
        <v>5034</v>
      </c>
      <c r="FP158" s="765">
        <v>5088</v>
      </c>
      <c r="FQ158" s="765">
        <v>5112</v>
      </c>
      <c r="FR158" s="765">
        <v>4845</v>
      </c>
      <c r="FS158" s="765">
        <v>4831</v>
      </c>
      <c r="FT158" s="765">
        <v>4917</v>
      </c>
      <c r="FU158" s="765">
        <v>5074</v>
      </c>
      <c r="FV158" s="765">
        <v>5409</v>
      </c>
      <c r="FW158" s="765">
        <v>5546</v>
      </c>
      <c r="FX158" s="765">
        <v>4375</v>
      </c>
      <c r="FY158" s="765">
        <v>4296</v>
      </c>
      <c r="FZ158" s="765">
        <v>4189</v>
      </c>
      <c r="GA158" s="765">
        <v>3718</v>
      </c>
      <c r="GB158" s="765">
        <v>3306</v>
      </c>
      <c r="GC158" s="765">
        <v>2846</v>
      </c>
      <c r="GD158" s="765">
        <v>2931</v>
      </c>
      <c r="GE158" s="765">
        <v>2828</v>
      </c>
      <c r="GF158" s="765">
        <v>2632</v>
      </c>
      <c r="GG158" s="765">
        <v>2327</v>
      </c>
      <c r="GH158" s="765">
        <v>2137</v>
      </c>
      <c r="GI158" s="765">
        <v>1982</v>
      </c>
      <c r="GJ158" s="765">
        <v>1693</v>
      </c>
      <c r="GK158" s="765">
        <v>1476</v>
      </c>
      <c r="GL158" s="60">
        <v>6674</v>
      </c>
    </row>
    <row r="159" spans="1:194" s="1" customFormat="1" x14ac:dyDescent="0.3">
      <c r="A159" s="108" t="s">
        <v>17</v>
      </c>
      <c r="B159" s="588" t="s">
        <v>194</v>
      </c>
      <c r="C159" s="135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1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3">
        <f t="shared" si="50"/>
        <v>395348</v>
      </c>
      <c r="K159" s="105">
        <f t="shared" si="51"/>
        <v>123163</v>
      </c>
      <c r="L159" s="50">
        <f t="shared" si="52"/>
        <v>116851</v>
      </c>
      <c r="M159" s="105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5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3">
      <c r="A160" s="108" t="s">
        <v>17</v>
      </c>
      <c r="B160" s="588" t="s">
        <v>195</v>
      </c>
      <c r="C160" s="135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1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3">
        <f t="shared" si="50"/>
        <v>536150</v>
      </c>
      <c r="K160" s="105">
        <f t="shared" si="51"/>
        <v>171555</v>
      </c>
      <c r="L160" s="50">
        <f t="shared" si="52"/>
        <v>164204</v>
      </c>
      <c r="M160" s="105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5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3">
      <c r="A161" s="108" t="s">
        <v>17</v>
      </c>
      <c r="B161" s="588" t="s">
        <v>196</v>
      </c>
      <c r="C161" s="135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1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3">
        <f t="shared" si="50"/>
        <v>481312</v>
      </c>
      <c r="K161" s="105">
        <f t="shared" si="51"/>
        <v>147819</v>
      </c>
      <c r="L161" s="50">
        <f t="shared" si="52"/>
        <v>139910</v>
      </c>
      <c r="M161" s="105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5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3">
      <c r="A162" s="108" t="s">
        <v>17</v>
      </c>
      <c r="B162" s="588" t="s">
        <v>197</v>
      </c>
      <c r="C162" s="135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1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3">
        <f t="shared" si="50"/>
        <v>407039</v>
      </c>
      <c r="K162" s="105">
        <f t="shared" si="51"/>
        <v>99995</v>
      </c>
      <c r="L162" s="50">
        <f t="shared" si="52"/>
        <v>95118</v>
      </c>
      <c r="M162" s="105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5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3">
      <c r="A163" s="108" t="s">
        <v>17</v>
      </c>
      <c r="B163" s="588" t="s">
        <v>198</v>
      </c>
      <c r="C163" s="135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1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3">
        <f t="shared" si="50"/>
        <v>726442</v>
      </c>
      <c r="K163" s="105">
        <f t="shared" si="51"/>
        <v>198146</v>
      </c>
      <c r="L163" s="50">
        <f t="shared" si="52"/>
        <v>187898</v>
      </c>
      <c r="M163" s="105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5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3">
      <c r="A164" s="108" t="s">
        <v>17</v>
      </c>
      <c r="B164" s="588" t="s">
        <v>199</v>
      </c>
      <c r="C164" s="135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1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50">
        <f t="shared" ref="L164:L188" si="61">SUM(CZ164:DQ164)</f>
        <v>95295</v>
      </c>
      <c r="M164" s="105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5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3">
      <c r="A165" s="108" t="s">
        <v>17</v>
      </c>
      <c r="B165" s="588" t="s">
        <v>200</v>
      </c>
      <c r="C165" s="135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1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3">
        <f t="shared" si="59"/>
        <v>1059001</v>
      </c>
      <c r="K165" s="105">
        <f t="shared" si="60"/>
        <v>260431</v>
      </c>
      <c r="L165" s="50">
        <f t="shared" si="61"/>
        <v>246562</v>
      </c>
      <c r="M165" s="105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5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3">
      <c r="A166" s="108" t="s">
        <v>17</v>
      </c>
      <c r="B166" s="588" t="s">
        <v>201</v>
      </c>
      <c r="C166" s="135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1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3">
        <f t="shared" si="59"/>
        <v>245842</v>
      </c>
      <c r="K166" s="105">
        <f t="shared" si="60"/>
        <v>54268</v>
      </c>
      <c r="L166" s="50">
        <f t="shared" si="61"/>
        <v>51491</v>
      </c>
      <c r="M166" s="105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5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3">
      <c r="A167" s="108" t="s">
        <v>17</v>
      </c>
      <c r="B167" s="588" t="s">
        <v>202</v>
      </c>
      <c r="C167" s="135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1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3">
        <f t="shared" si="59"/>
        <v>386977</v>
      </c>
      <c r="K167" s="105">
        <f t="shared" si="60"/>
        <v>102916</v>
      </c>
      <c r="L167" s="50">
        <f t="shared" si="61"/>
        <v>98534</v>
      </c>
      <c r="M167" s="105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5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3">
      <c r="A168" s="108" t="s">
        <v>17</v>
      </c>
      <c r="B168" s="588" t="s">
        <v>203</v>
      </c>
      <c r="C168" s="135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1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3">
        <f t="shared" si="59"/>
        <v>437823</v>
      </c>
      <c r="K168" s="105">
        <f t="shared" si="60"/>
        <v>108322</v>
      </c>
      <c r="L168" s="50">
        <f t="shared" si="61"/>
        <v>104205</v>
      </c>
      <c r="M168" s="105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5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3">
      <c r="A169" s="108" t="s">
        <v>17</v>
      </c>
      <c r="B169" s="588" t="s">
        <v>204</v>
      </c>
      <c r="C169" s="135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1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3">
        <f t="shared" si="59"/>
        <v>522875</v>
      </c>
      <c r="K169" s="105">
        <f t="shared" si="60"/>
        <v>114913</v>
      </c>
      <c r="L169" s="50">
        <f t="shared" si="61"/>
        <v>108823</v>
      </c>
      <c r="M169" s="105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5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3">
      <c r="A170" s="108" t="s">
        <v>17</v>
      </c>
      <c r="B170" s="588" t="s">
        <v>205</v>
      </c>
      <c r="C170" s="135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1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3">
        <f t="shared" si="59"/>
        <v>334681</v>
      </c>
      <c r="K170" s="105">
        <f t="shared" si="60"/>
        <v>71711</v>
      </c>
      <c r="L170" s="50">
        <f t="shared" si="61"/>
        <v>68247</v>
      </c>
      <c r="M170" s="105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5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3">
      <c r="A171" s="108" t="s">
        <v>17</v>
      </c>
      <c r="B171" s="588" t="s">
        <v>206</v>
      </c>
      <c r="C171" s="135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1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3">
        <f t="shared" si="59"/>
        <v>305607</v>
      </c>
      <c r="K171" s="105">
        <f t="shared" si="60"/>
        <v>90835</v>
      </c>
      <c r="L171" s="50">
        <f t="shared" si="61"/>
        <v>85583</v>
      </c>
      <c r="M171" s="105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5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3">
      <c r="A172" s="108" t="s">
        <v>17</v>
      </c>
      <c r="B172" s="588" t="s">
        <v>207</v>
      </c>
      <c r="C172" s="135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1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3">
        <f t="shared" si="59"/>
        <v>270225</v>
      </c>
      <c r="K172" s="105">
        <f t="shared" si="60"/>
        <v>65468</v>
      </c>
      <c r="L172" s="50">
        <f t="shared" si="61"/>
        <v>63286</v>
      </c>
      <c r="M172" s="105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5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3">
      <c r="A173" s="108" t="s">
        <v>17</v>
      </c>
      <c r="B173" s="588" t="s">
        <v>208</v>
      </c>
      <c r="C173" s="135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1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3">
        <f t="shared" si="59"/>
        <v>1151812</v>
      </c>
      <c r="K173" s="105">
        <f t="shared" si="60"/>
        <v>339740</v>
      </c>
      <c r="L173" s="50">
        <f t="shared" si="61"/>
        <v>323202</v>
      </c>
      <c r="M173" s="105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5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3">
      <c r="A174" s="108" t="s">
        <v>17</v>
      </c>
      <c r="B174" s="588" t="s">
        <v>209</v>
      </c>
      <c r="C174" s="135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1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3">
        <f t="shared" si="59"/>
        <v>762541</v>
      </c>
      <c r="K174" s="105">
        <f t="shared" si="60"/>
        <v>185217</v>
      </c>
      <c r="L174" s="50">
        <f t="shared" si="61"/>
        <v>176190</v>
      </c>
      <c r="M174" s="105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5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3">
      <c r="A175" s="108" t="s">
        <v>17</v>
      </c>
      <c r="B175" s="588" t="s">
        <v>210</v>
      </c>
      <c r="C175" s="135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1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3">
        <f t="shared" si="59"/>
        <v>333199</v>
      </c>
      <c r="K175" s="105">
        <f t="shared" si="60"/>
        <v>78736</v>
      </c>
      <c r="L175" s="50">
        <f t="shared" si="61"/>
        <v>74229</v>
      </c>
      <c r="M175" s="105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5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3">
      <c r="A176" s="108" t="s">
        <v>17</v>
      </c>
      <c r="B176" s="588" t="s">
        <v>211</v>
      </c>
      <c r="C176" s="135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1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3">
        <f t="shared" si="59"/>
        <v>606349</v>
      </c>
      <c r="K176" s="105">
        <f t="shared" si="60"/>
        <v>172939</v>
      </c>
      <c r="L176" s="50">
        <f t="shared" si="61"/>
        <v>164868</v>
      </c>
      <c r="M176" s="105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5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3">
      <c r="A177" s="108" t="s">
        <v>17</v>
      </c>
      <c r="B177" s="588" t="s">
        <v>212</v>
      </c>
      <c r="C177" s="135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1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3">
        <f t="shared" si="59"/>
        <v>712297</v>
      </c>
      <c r="K177" s="105">
        <f t="shared" si="60"/>
        <v>168710</v>
      </c>
      <c r="L177" s="50">
        <f t="shared" si="61"/>
        <v>159739</v>
      </c>
      <c r="M177" s="105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5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3">
      <c r="A178" s="108" t="s">
        <v>17</v>
      </c>
      <c r="B178" s="588" t="s">
        <v>213</v>
      </c>
      <c r="C178" s="135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1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3">
        <f t="shared" si="59"/>
        <v>762802</v>
      </c>
      <c r="K178" s="105">
        <f t="shared" si="60"/>
        <v>209246</v>
      </c>
      <c r="L178" s="50">
        <f t="shared" si="61"/>
        <v>198454</v>
      </c>
      <c r="M178" s="105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5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3">
      <c r="A179" s="108" t="s">
        <v>17</v>
      </c>
      <c r="B179" s="588" t="s">
        <v>214</v>
      </c>
      <c r="C179" s="135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1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3">
        <f t="shared" si="59"/>
        <v>708629</v>
      </c>
      <c r="K179" s="105">
        <f t="shared" si="60"/>
        <v>181090</v>
      </c>
      <c r="L179" s="50">
        <f t="shared" si="61"/>
        <v>172950</v>
      </c>
      <c r="M179" s="105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5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3">
      <c r="A180" s="108" t="s">
        <v>17</v>
      </c>
      <c r="B180" s="588" t="s">
        <v>215</v>
      </c>
      <c r="C180" s="135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1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3">
        <f t="shared" si="59"/>
        <v>457187</v>
      </c>
      <c r="K180" s="105">
        <f t="shared" si="60"/>
        <v>123171</v>
      </c>
      <c r="L180" s="50">
        <f t="shared" si="61"/>
        <v>115537</v>
      </c>
      <c r="M180" s="105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5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3">
      <c r="A181" s="108" t="s">
        <v>17</v>
      </c>
      <c r="B181" s="588" t="s">
        <v>216</v>
      </c>
      <c r="C181" s="135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1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3">
        <f t="shared" si="59"/>
        <v>324135</v>
      </c>
      <c r="K181" s="105">
        <f t="shared" si="60"/>
        <v>74660</v>
      </c>
      <c r="L181" s="50">
        <f t="shared" si="61"/>
        <v>71352</v>
      </c>
      <c r="M181" s="105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5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3">
      <c r="A182" s="108" t="s">
        <v>17</v>
      </c>
      <c r="B182" s="588" t="s">
        <v>217</v>
      </c>
      <c r="C182" s="135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1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3">
        <f t="shared" si="59"/>
        <v>491909</v>
      </c>
      <c r="K182" s="105">
        <f t="shared" si="60"/>
        <v>134343</v>
      </c>
      <c r="L182" s="50">
        <f t="shared" si="61"/>
        <v>127659</v>
      </c>
      <c r="M182" s="105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5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3">
      <c r="A183" s="108" t="s">
        <v>17</v>
      </c>
      <c r="B183" s="588" t="s">
        <v>218</v>
      </c>
      <c r="C183" s="135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1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3">
        <f t="shared" si="59"/>
        <v>438783</v>
      </c>
      <c r="K183" s="105">
        <f t="shared" si="60"/>
        <v>97520</v>
      </c>
      <c r="L183" s="50">
        <f t="shared" si="61"/>
        <v>92577</v>
      </c>
      <c r="M183" s="105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5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3">
      <c r="A184" s="108" t="s">
        <v>17</v>
      </c>
      <c r="B184" s="588" t="s">
        <v>219</v>
      </c>
      <c r="C184" s="135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1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3">
        <f t="shared" si="59"/>
        <v>593171</v>
      </c>
      <c r="K184" s="105">
        <f t="shared" si="60"/>
        <v>152005</v>
      </c>
      <c r="L184" s="50">
        <f t="shared" si="61"/>
        <v>146000</v>
      </c>
      <c r="M184" s="105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5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3">
      <c r="A185" s="108" t="s">
        <v>17</v>
      </c>
      <c r="B185" s="588" t="s">
        <v>220</v>
      </c>
      <c r="C185" s="135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1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3">
        <f t="shared" si="59"/>
        <v>1245100</v>
      </c>
      <c r="K185" s="105">
        <f t="shared" si="60"/>
        <v>302986</v>
      </c>
      <c r="L185" s="50">
        <f t="shared" si="61"/>
        <v>287512</v>
      </c>
      <c r="M185" s="105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5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3">
      <c r="A186" s="108" t="s">
        <v>17</v>
      </c>
      <c r="B186" s="588" t="s">
        <v>221</v>
      </c>
      <c r="C186" s="135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1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3">
        <f t="shared" si="59"/>
        <v>800228</v>
      </c>
      <c r="K186" s="105">
        <f t="shared" si="60"/>
        <v>237875</v>
      </c>
      <c r="L186" s="50">
        <f t="shared" si="61"/>
        <v>229218</v>
      </c>
      <c r="M186" s="105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5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3">
      <c r="A187" s="108" t="s">
        <v>17</v>
      </c>
      <c r="B187" s="588" t="s">
        <v>222</v>
      </c>
      <c r="C187" s="135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1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3">
        <f>SUM(DR187:GL187)</f>
        <v>867923</v>
      </c>
      <c r="K187" s="105">
        <f>SUM(M187:AD187)</f>
        <v>223719</v>
      </c>
      <c r="L187" s="50">
        <f>SUM(CZ187:DQ187)</f>
        <v>212928</v>
      </c>
      <c r="M187" s="105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5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3">
      <c r="A188" s="108" t="s">
        <v>17</v>
      </c>
      <c r="B188" s="588" t="s">
        <v>223</v>
      </c>
      <c r="C188" s="135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1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3">
        <f t="shared" si="59"/>
        <v>316259</v>
      </c>
      <c r="K188" s="105">
        <f t="shared" si="60"/>
        <v>88599</v>
      </c>
      <c r="L188" s="50">
        <f t="shared" si="61"/>
        <v>85015</v>
      </c>
      <c r="M188" s="105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5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3">
      <c r="A189" s="108" t="s">
        <v>17</v>
      </c>
      <c r="B189" s="588" t="s">
        <v>224</v>
      </c>
      <c r="C189" s="135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1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3">
        <f>SUM(DR189:GL189)</f>
        <v>478147</v>
      </c>
      <c r="K189" s="105">
        <f>SUM(M189:AD189)</f>
        <v>119490</v>
      </c>
      <c r="L189" s="50">
        <f>SUM(CZ189:DQ189)</f>
        <v>113731</v>
      </c>
      <c r="M189" s="105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5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3">
      <c r="A190" s="108" t="s">
        <v>17</v>
      </c>
      <c r="B190" s="588" t="s">
        <v>225</v>
      </c>
      <c r="C190" s="135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1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3">
        <f>SUM(DR190:GL190)</f>
        <v>212592</v>
      </c>
      <c r="K190" s="105">
        <f>SUM(M190:AD190)</f>
        <v>51864</v>
      </c>
      <c r="L190" s="50">
        <f>SUM(CZ190:DQ190)</f>
        <v>49260</v>
      </c>
      <c r="M190" s="105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5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3">
      <c r="A191" s="108" t="s">
        <v>17</v>
      </c>
      <c r="B191" s="588" t="s">
        <v>226</v>
      </c>
      <c r="C191" s="135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1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3">
        <f>SUM(DR191:GL191)</f>
        <v>240687</v>
      </c>
      <c r="K191" s="105">
        <f>SUM(M191:AD191)</f>
        <v>56523</v>
      </c>
      <c r="L191" s="50">
        <f>SUM(CZ191:DQ191)</f>
        <v>53989</v>
      </c>
      <c r="M191" s="105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5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3">
      <c r="A192" s="108" t="s">
        <v>17</v>
      </c>
      <c r="B192" s="588" t="s">
        <v>227</v>
      </c>
      <c r="C192" s="135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1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3">
        <f>SUM(DR192:GL192)</f>
        <v>749378</v>
      </c>
      <c r="K192" s="105">
        <f>SUM(M192:AD192)</f>
        <v>188145</v>
      </c>
      <c r="L192" s="50">
        <f>SUM(CZ192:DQ192)</f>
        <v>180944</v>
      </c>
      <c r="M192" s="105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5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3">
      <c r="A193" s="108" t="s">
        <v>17</v>
      </c>
      <c r="B193" s="588" t="s">
        <v>228</v>
      </c>
      <c r="C193" s="135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1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3">
        <f>SUM(DR193:GL193)</f>
        <v>624396</v>
      </c>
      <c r="K193" s="105">
        <f>SUM(M193:AD193)</f>
        <v>166650</v>
      </c>
      <c r="L193" s="50">
        <f>SUM(CZ193:DQ193)</f>
        <v>159378</v>
      </c>
      <c r="M193" s="105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5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3">
      <c r="A194" s="108" t="s">
        <v>17</v>
      </c>
      <c r="B194" s="588" t="s">
        <v>229</v>
      </c>
      <c r="C194" s="135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1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50">
        <f t="shared" ref="L194:L199" si="71">SUM(CZ194:DQ194)</f>
        <v>139975</v>
      </c>
      <c r="M194" s="105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5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3">
      <c r="A195" s="108" t="s">
        <v>17</v>
      </c>
      <c r="B195" s="588" t="s">
        <v>230</v>
      </c>
      <c r="C195" s="135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1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3">
        <f t="shared" si="69"/>
        <v>466226</v>
      </c>
      <c r="K195" s="105">
        <f t="shared" si="70"/>
        <v>117384</v>
      </c>
      <c r="L195" s="50">
        <f t="shared" si="71"/>
        <v>112574</v>
      </c>
      <c r="M195" s="105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5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3">
      <c r="A196" s="108" t="s">
        <v>17</v>
      </c>
      <c r="B196" s="588" t="s">
        <v>231</v>
      </c>
      <c r="C196" s="135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1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3">
        <f t="shared" si="69"/>
        <v>412336</v>
      </c>
      <c r="K196" s="105">
        <f t="shared" si="70"/>
        <v>100012</v>
      </c>
      <c r="L196" s="50">
        <f t="shared" si="71"/>
        <v>95169</v>
      </c>
      <c r="M196" s="105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5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3">
      <c r="A197" s="108" t="s">
        <v>17</v>
      </c>
      <c r="B197" s="588" t="s">
        <v>232</v>
      </c>
      <c r="C197" s="135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1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3">
        <f t="shared" si="69"/>
        <v>429149</v>
      </c>
      <c r="K197" s="105">
        <f t="shared" si="70"/>
        <v>117646</v>
      </c>
      <c r="L197" s="50">
        <f t="shared" si="71"/>
        <v>112791</v>
      </c>
      <c r="M197" s="105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5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3">
      <c r="A198" s="108" t="s">
        <v>17</v>
      </c>
      <c r="B198" s="588" t="s">
        <v>233</v>
      </c>
      <c r="C198" s="135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1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3">
        <f t="shared" si="69"/>
        <v>728176</v>
      </c>
      <c r="K198" s="105">
        <f t="shared" si="70"/>
        <v>167654</v>
      </c>
      <c r="L198" s="50">
        <f t="shared" si="71"/>
        <v>159132</v>
      </c>
      <c r="M198" s="105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5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3">
      <c r="A199" s="108" t="s">
        <v>17</v>
      </c>
      <c r="B199" s="588" t="s">
        <v>234</v>
      </c>
      <c r="C199" s="135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1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3">
        <f t="shared" si="69"/>
        <v>974243</v>
      </c>
      <c r="K199" s="105">
        <f t="shared" si="70"/>
        <v>276503</v>
      </c>
      <c r="L199" s="50">
        <f t="shared" si="71"/>
        <v>264360</v>
      </c>
      <c r="M199" s="105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5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3">
      <c r="A200" s="111"/>
      <c r="B200" s="589"/>
      <c r="C200" s="118"/>
      <c r="D200" s="133">
        <f t="shared" ref="D200:L200" si="72">SUM(D158:D199)</f>
        <v>21895402</v>
      </c>
      <c r="E200" s="133">
        <f t="shared" si="72"/>
        <v>23324090</v>
      </c>
      <c r="F200" s="133">
        <f t="shared" si="72"/>
        <v>57106398</v>
      </c>
      <c r="G200" s="133">
        <f t="shared" si="72"/>
        <v>27983290</v>
      </c>
      <c r="H200" s="133">
        <f t="shared" si="72"/>
        <v>29123108</v>
      </c>
      <c r="I200" s="133">
        <f t="shared" si="72"/>
        <v>21895402</v>
      </c>
      <c r="J200" s="133">
        <f t="shared" si="72"/>
        <v>23324090</v>
      </c>
      <c r="K200" s="133">
        <f t="shared" si="72"/>
        <v>6087888</v>
      </c>
      <c r="L200" s="133">
        <f t="shared" si="72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3">
      <c r="A201" s="30" t="s">
        <v>46</v>
      </c>
      <c r="B201" s="1" t="s">
        <v>235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764">
        <f t="shared" ref="F201:F265" si="75">G201+H201</f>
        <v>64688</v>
      </c>
      <c r="G201" s="764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3">
      <c r="A202" s="30" t="s">
        <v>46</v>
      </c>
      <c r="B202" s="1" t="s">
        <v>236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3">
      <c r="A203" s="30" t="s">
        <v>46</v>
      </c>
      <c r="B203" s="1" t="s">
        <v>237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3">
      <c r="A204" s="30" t="s">
        <v>46</v>
      </c>
      <c r="B204" s="1" t="s">
        <v>238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3">
      <c r="A205" s="30" t="s">
        <v>46</v>
      </c>
      <c r="B205" s="1" t="s">
        <v>239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3">
      <c r="A206" s="30" t="s">
        <v>46</v>
      </c>
      <c r="B206" s="1" t="s">
        <v>240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3">
      <c r="A207" s="30" t="s">
        <v>46</v>
      </c>
      <c r="B207" s="1" t="s">
        <v>241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3">
      <c r="A208" s="30" t="s">
        <v>46</v>
      </c>
      <c r="B208" s="1" t="s">
        <v>242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3">
      <c r="A209" s="30" t="s">
        <v>46</v>
      </c>
      <c r="B209" s="1" t="s">
        <v>243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3">
      <c r="A210" s="30" t="s">
        <v>46</v>
      </c>
      <c r="B210" s="1" t="s">
        <v>244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3">
      <c r="A211" s="30" t="s">
        <v>46</v>
      </c>
      <c r="B211" s="1" t="s">
        <v>245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3">
      <c r="A212" s="30" t="s">
        <v>46</v>
      </c>
      <c r="B212" s="1" t="s">
        <v>246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3">
      <c r="A213" s="30" t="s">
        <v>46</v>
      </c>
      <c r="B213" s="1" t="s">
        <v>247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3">
      <c r="A214" s="30" t="s">
        <v>46</v>
      </c>
      <c r="B214" s="1" t="s">
        <v>248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3">
      <c r="A215" s="30" t="s">
        <v>46</v>
      </c>
      <c r="B215" s="1" t="s">
        <v>249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3">
      <c r="A216" s="30" t="s">
        <v>46</v>
      </c>
      <c r="B216" s="1" t="s">
        <v>250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3">
      <c r="A217" s="30" t="s">
        <v>46</v>
      </c>
      <c r="B217" s="1" t="s">
        <v>251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3">
      <c r="A218" s="30" t="s">
        <v>46</v>
      </c>
      <c r="B218" s="1" t="s">
        <v>252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3">
      <c r="A219" s="30" t="s">
        <v>46</v>
      </c>
      <c r="B219" s="1" t="s">
        <v>253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3">
      <c r="A220" s="30" t="s">
        <v>46</v>
      </c>
      <c r="B220" s="1" t="s">
        <v>254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3">
      <c r="A221" s="30" t="s">
        <v>46</v>
      </c>
      <c r="B221" s="1" t="s">
        <v>255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3">
      <c r="A222" s="30" t="s">
        <v>46</v>
      </c>
      <c r="B222" s="1" t="s">
        <v>256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3">
      <c r="A223" s="30" t="s">
        <v>46</v>
      </c>
      <c r="B223" s="1" t="s">
        <v>257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3">
      <c r="A224" s="30" t="s">
        <v>46</v>
      </c>
      <c r="B224" s="1" t="s">
        <v>258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3">
      <c r="A225" s="30" t="s">
        <v>46</v>
      </c>
      <c r="B225" s="1" t="s">
        <v>259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3">
      <c r="A226" s="30" t="s">
        <v>46</v>
      </c>
      <c r="B226" s="1" t="s">
        <v>260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3">
      <c r="A227" s="30" t="s">
        <v>46</v>
      </c>
      <c r="B227" s="1" t="s">
        <v>261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3">
      <c r="A228" s="30" t="s">
        <v>46</v>
      </c>
      <c r="B228" s="1" t="s">
        <v>262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3">
      <c r="A229" s="30" t="s">
        <v>46</v>
      </c>
      <c r="B229" s="1" t="s">
        <v>263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3">
      <c r="A230" s="30" t="s">
        <v>46</v>
      </c>
      <c r="B230" s="1" t="s">
        <v>264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3">
      <c r="A231" s="30" t="s">
        <v>46</v>
      </c>
      <c r="B231" s="1" t="s">
        <v>265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3">
      <c r="A232" s="30" t="s">
        <v>46</v>
      </c>
      <c r="B232" s="1" t="s">
        <v>266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3">
      <c r="A233" s="30" t="s">
        <v>46</v>
      </c>
      <c r="B233" s="1" t="s">
        <v>267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3">
      <c r="A234" s="30" t="s">
        <v>46</v>
      </c>
      <c r="B234" s="1" t="s">
        <v>268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3">
      <c r="A235" s="30" t="s">
        <v>46</v>
      </c>
      <c r="B235" s="1" t="s">
        <v>269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3">
      <c r="A236" s="30" t="s">
        <v>46</v>
      </c>
      <c r="B236" s="1" t="s">
        <v>270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3">
      <c r="A237" s="30" t="s">
        <v>46</v>
      </c>
      <c r="B237" s="1" t="s">
        <v>271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3">
      <c r="A238" s="30" t="s">
        <v>46</v>
      </c>
      <c r="B238" s="1" t="s">
        <v>272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3">
      <c r="A239" s="30" t="s">
        <v>46</v>
      </c>
      <c r="B239" s="1" t="s">
        <v>273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3">
      <c r="A240" s="30" t="s">
        <v>46</v>
      </c>
      <c r="B240" s="1" t="s">
        <v>274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3">
      <c r="A241" s="30" t="s">
        <v>46</v>
      </c>
      <c r="B241" s="1" t="s">
        <v>275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3">
      <c r="A242" s="30" t="s">
        <v>46</v>
      </c>
      <c r="B242" s="1" t="s">
        <v>276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3">
      <c r="A243" s="30" t="s">
        <v>46</v>
      </c>
      <c r="B243" s="1" t="s">
        <v>277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3">
      <c r="A244" s="30" t="s">
        <v>46</v>
      </c>
      <c r="B244" s="1" t="s">
        <v>278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3">
      <c r="A245" s="30" t="s">
        <v>46</v>
      </c>
      <c r="B245" s="1" t="s">
        <v>279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3">
      <c r="A246" s="30" t="s">
        <v>46</v>
      </c>
      <c r="B246" s="1" t="s">
        <v>280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3">
      <c r="A247" s="30" t="s">
        <v>46</v>
      </c>
      <c r="B247" s="1" t="s">
        <v>281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3">
      <c r="A248" s="30" t="s">
        <v>46</v>
      </c>
      <c r="B248" s="1" t="s">
        <v>282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3">
      <c r="A249" s="30" t="s">
        <v>46</v>
      </c>
      <c r="B249" s="1" t="s">
        <v>283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3">
      <c r="A250" s="30" t="s">
        <v>46</v>
      </c>
      <c r="B250" s="1" t="s">
        <v>284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3">
      <c r="A251" s="30" t="s">
        <v>46</v>
      </c>
      <c r="B251" s="1" t="s">
        <v>285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3">
      <c r="A252" s="30" t="s">
        <v>46</v>
      </c>
      <c r="B252" s="1" t="s">
        <v>286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3">
      <c r="A253" s="30" t="s">
        <v>46</v>
      </c>
      <c r="B253" s="1" t="s">
        <v>287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3">
      <c r="A254" s="30" t="s">
        <v>46</v>
      </c>
      <c r="B254" s="1" t="s">
        <v>288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3">
      <c r="A255" s="30" t="s">
        <v>46</v>
      </c>
      <c r="B255" s="1" t="s">
        <v>289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3">
      <c r="A256" s="30" t="s">
        <v>46</v>
      </c>
      <c r="B256" s="1" t="s">
        <v>290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3">
      <c r="A257" s="30" t="s">
        <v>46</v>
      </c>
      <c r="B257" s="1" t="s">
        <v>291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3">
      <c r="A258" s="30" t="s">
        <v>46</v>
      </c>
      <c r="B258" s="1" t="s">
        <v>292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3">
      <c r="A259" s="30" t="s">
        <v>46</v>
      </c>
      <c r="B259" s="1" t="s">
        <v>293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3">
      <c r="A260" s="30" t="s">
        <v>46</v>
      </c>
      <c r="B260" s="1" t="s">
        <v>294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3">
      <c r="A261" s="30" t="s">
        <v>46</v>
      </c>
      <c r="B261" s="1" t="s">
        <v>295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3">
      <c r="A262" s="30" t="s">
        <v>46</v>
      </c>
      <c r="B262" s="1" t="s">
        <v>296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3">
      <c r="A263" s="30" t="s">
        <v>46</v>
      </c>
      <c r="B263" s="1" t="s">
        <v>297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3">
      <c r="A264" s="30" t="s">
        <v>46</v>
      </c>
      <c r="B264" s="1" t="s">
        <v>298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3">
      <c r="A265" s="30" t="s">
        <v>46</v>
      </c>
      <c r="B265" s="1" t="s">
        <v>299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3">
      <c r="A266" s="30" t="s">
        <v>46</v>
      </c>
      <c r="B266" s="1" t="s">
        <v>300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3">
      <c r="A267" s="30" t="s">
        <v>46</v>
      </c>
      <c r="B267" s="1" t="s">
        <v>301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3">
      <c r="A268" s="30" t="s">
        <v>46</v>
      </c>
      <c r="B268" s="1" t="s">
        <v>302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3">
      <c r="A269" s="30" t="s">
        <v>46</v>
      </c>
      <c r="B269" s="1" t="s">
        <v>303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3">
      <c r="A270" s="30" t="s">
        <v>46</v>
      </c>
      <c r="B270" s="1" t="s">
        <v>304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3">
      <c r="A271" s="30" t="s">
        <v>46</v>
      </c>
      <c r="B271" s="1" t="s">
        <v>305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3">
      <c r="A272" s="30" t="s">
        <v>46</v>
      </c>
      <c r="B272" s="1" t="s">
        <v>306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3">
      <c r="A273" s="30" t="s">
        <v>46</v>
      </c>
      <c r="B273" s="1" t="s">
        <v>307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3">
      <c r="A274" s="30" t="s">
        <v>46</v>
      </c>
      <c r="B274" s="1" t="s">
        <v>308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3">
      <c r="A275" s="30" t="s">
        <v>46</v>
      </c>
      <c r="B275" s="1" t="s">
        <v>309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3">
      <c r="A276" s="30" t="s">
        <v>46</v>
      </c>
      <c r="B276" s="1" t="s">
        <v>310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3">
      <c r="A277" s="30" t="s">
        <v>46</v>
      </c>
      <c r="B277" s="1" t="s">
        <v>311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3">
      <c r="A278" s="30" t="s">
        <v>46</v>
      </c>
      <c r="B278" s="1" t="s">
        <v>312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3">
      <c r="A279" s="30" t="s">
        <v>46</v>
      </c>
      <c r="B279" s="1" t="s">
        <v>313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3">
      <c r="A280" s="30" t="s">
        <v>46</v>
      </c>
      <c r="B280" s="1" t="s">
        <v>314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3">
      <c r="A281" s="30" t="s">
        <v>46</v>
      </c>
      <c r="B281" s="1" t="s">
        <v>315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3">
      <c r="A282" s="30" t="s">
        <v>46</v>
      </c>
      <c r="B282" s="1" t="s">
        <v>316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3">
      <c r="A283" s="30" t="s">
        <v>46</v>
      </c>
      <c r="B283" s="1" t="s">
        <v>317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3">
      <c r="A284" s="30" t="s">
        <v>46</v>
      </c>
      <c r="B284" s="1" t="s">
        <v>318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3">
      <c r="A285" s="30" t="s">
        <v>46</v>
      </c>
      <c r="B285" s="1" t="s">
        <v>319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3">
      <c r="A286" s="30" t="s">
        <v>46</v>
      </c>
      <c r="B286" s="1" t="s">
        <v>320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3">
      <c r="A287" s="30" t="s">
        <v>46</v>
      </c>
      <c r="B287" s="1" t="s">
        <v>321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3">
      <c r="A288" s="30" t="s">
        <v>46</v>
      </c>
      <c r="B288" s="1" t="s">
        <v>322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3">
      <c r="A289" s="30" t="s">
        <v>46</v>
      </c>
      <c r="B289" s="1" t="s">
        <v>323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3">
      <c r="A290" s="30" t="s">
        <v>46</v>
      </c>
      <c r="B290" s="1" t="s">
        <v>324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3">
      <c r="A291" s="30" t="s">
        <v>46</v>
      </c>
      <c r="B291" s="1" t="s">
        <v>325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3">
      <c r="A292" s="30" t="s">
        <v>46</v>
      </c>
      <c r="B292" s="1" t="s">
        <v>326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3">
      <c r="A293" s="30" t="s">
        <v>46</v>
      </c>
      <c r="B293" s="1" t="s">
        <v>327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3">
      <c r="A294" s="30" t="s">
        <v>46</v>
      </c>
      <c r="B294" s="1" t="s">
        <v>328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3">
      <c r="A295" s="30" t="s">
        <v>46</v>
      </c>
      <c r="B295" s="1" t="s">
        <v>329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3">
      <c r="A296" s="30" t="s">
        <v>46</v>
      </c>
      <c r="B296" s="1" t="s">
        <v>330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3">
      <c r="A297" s="30" t="s">
        <v>46</v>
      </c>
      <c r="B297" s="1" t="s">
        <v>331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3">
      <c r="A298" s="30" t="s">
        <v>46</v>
      </c>
      <c r="B298" s="1" t="s">
        <v>332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3">
      <c r="A299" s="30" t="s">
        <v>46</v>
      </c>
      <c r="B299" s="1" t="s">
        <v>333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3">
      <c r="A300" s="30" t="s">
        <v>46</v>
      </c>
      <c r="B300" s="1" t="s">
        <v>334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3">
      <c r="A301" s="30" t="s">
        <v>46</v>
      </c>
      <c r="B301" s="1" t="s">
        <v>335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3">
      <c r="A302" s="30" t="s">
        <v>46</v>
      </c>
      <c r="B302" s="1" t="s">
        <v>336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3">
      <c r="A303" s="30" t="s">
        <v>46</v>
      </c>
      <c r="B303" s="1" t="s">
        <v>337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3">
      <c r="A304" s="30" t="s">
        <v>46</v>
      </c>
      <c r="B304" s="1" t="s">
        <v>338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3">
      <c r="A305" s="30" t="s">
        <v>46</v>
      </c>
      <c r="B305" s="1" t="s">
        <v>339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3">
      <c r="A306" s="30" t="s">
        <v>46</v>
      </c>
      <c r="B306" s="1" t="s">
        <v>340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3">
      <c r="A307" s="30" t="s">
        <v>46</v>
      </c>
      <c r="B307" s="1" t="s">
        <v>341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3">
      <c r="A308" s="30" t="s">
        <v>46</v>
      </c>
      <c r="B308" s="1" t="s">
        <v>342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3">
      <c r="A309" s="30" t="s">
        <v>46</v>
      </c>
      <c r="B309" s="1" t="s">
        <v>343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3">
      <c r="A310" s="30" t="s">
        <v>46</v>
      </c>
      <c r="B310" s="1" t="s">
        <v>344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3">
      <c r="A311" s="30" t="s">
        <v>46</v>
      </c>
      <c r="B311" s="1" t="s">
        <v>345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3">
      <c r="A312" s="30" t="s">
        <v>46</v>
      </c>
      <c r="B312" s="1" t="s">
        <v>346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3">
      <c r="A313" s="30" t="s">
        <v>46</v>
      </c>
      <c r="B313" s="1" t="s">
        <v>347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3">
      <c r="A314" s="30" t="s">
        <v>46</v>
      </c>
      <c r="B314" s="1" t="s">
        <v>348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3">
      <c r="A315" s="30" t="s">
        <v>46</v>
      </c>
      <c r="B315" s="1" t="s">
        <v>349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3">
      <c r="A316" s="30" t="s">
        <v>46</v>
      </c>
      <c r="B316" s="1" t="s">
        <v>350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3">
      <c r="A317" s="30" t="s">
        <v>46</v>
      </c>
      <c r="B317" s="1" t="s">
        <v>351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3">
      <c r="A318" s="30" t="s">
        <v>46</v>
      </c>
      <c r="B318" s="1" t="s">
        <v>352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3">
      <c r="A319" s="30" t="s">
        <v>46</v>
      </c>
      <c r="B319" s="1" t="s">
        <v>353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3">
      <c r="A320" s="30" t="s">
        <v>46</v>
      </c>
      <c r="B320" s="1" t="s">
        <v>354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3">
      <c r="A321" s="30" t="s">
        <v>46</v>
      </c>
      <c r="B321" s="1" t="s">
        <v>355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3">
      <c r="A322" s="30" t="s">
        <v>46</v>
      </c>
      <c r="B322" s="1" t="s">
        <v>356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3">
      <c r="A323" s="30" t="s">
        <v>46</v>
      </c>
      <c r="B323" s="1" t="s">
        <v>357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3">
      <c r="A324" s="30" t="s">
        <v>46</v>
      </c>
      <c r="B324" s="1" t="s">
        <v>358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3">
      <c r="A325" s="30" t="s">
        <v>46</v>
      </c>
      <c r="B325" s="1" t="s">
        <v>359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3">
      <c r="A326" s="30" t="s">
        <v>46</v>
      </c>
      <c r="B326" s="1" t="s">
        <v>360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3">
      <c r="A327" s="30" t="s">
        <v>46</v>
      </c>
      <c r="B327" s="1" t="s">
        <v>361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3">
      <c r="A328" s="30" t="s">
        <v>46</v>
      </c>
      <c r="B328" s="1" t="s">
        <v>362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3">
      <c r="A329" s="30" t="s">
        <v>46</v>
      </c>
      <c r="B329" s="1" t="s">
        <v>363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3">
      <c r="A330" s="30" t="s">
        <v>46</v>
      </c>
      <c r="B330" s="1" t="s">
        <v>364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3">
      <c r="A331" s="30" t="s">
        <v>46</v>
      </c>
      <c r="B331" s="1" t="s">
        <v>365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3">
      <c r="A332" s="30" t="s">
        <v>46</v>
      </c>
      <c r="B332" s="1" t="s">
        <v>366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3">
      <c r="A333" s="30" t="s">
        <v>46</v>
      </c>
      <c r="B333" s="1" t="s">
        <v>367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3">
      <c r="A334" s="30" t="s">
        <v>46</v>
      </c>
      <c r="B334" s="1" t="s">
        <v>368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3">
      <c r="A335" s="30" t="s">
        <v>46</v>
      </c>
      <c r="B335" s="1" t="s">
        <v>369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3">
      <c r="A336" s="30" t="s">
        <v>46</v>
      </c>
      <c r="B336" s="1" t="s">
        <v>370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3">
      <c r="A337" s="30" t="s">
        <v>46</v>
      </c>
      <c r="B337" s="1" t="s">
        <v>371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3">
      <c r="A338" s="30" t="s">
        <v>46</v>
      </c>
      <c r="B338" s="1" t="s">
        <v>372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3">
      <c r="A339" s="30" t="s">
        <v>46</v>
      </c>
      <c r="B339" s="1" t="s">
        <v>373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3">
      <c r="A340" s="30" t="s">
        <v>46</v>
      </c>
      <c r="B340" s="1" t="s">
        <v>374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3">
      <c r="A341" s="30" t="s">
        <v>46</v>
      </c>
      <c r="B341" s="1" t="s">
        <v>375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3">
      <c r="A342" s="30" t="s">
        <v>46</v>
      </c>
      <c r="B342" s="1" t="s">
        <v>376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3">
      <c r="A343" s="30" t="s">
        <v>46</v>
      </c>
      <c r="B343" s="1" t="s">
        <v>377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3">
      <c r="A344" s="30" t="s">
        <v>46</v>
      </c>
      <c r="B344" s="1" t="s">
        <v>378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3">
      <c r="A345" s="30" t="s">
        <v>46</v>
      </c>
      <c r="B345" s="1" t="s">
        <v>379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3">
      <c r="A346" s="30" t="s">
        <v>46</v>
      </c>
      <c r="B346" s="1" t="s">
        <v>380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3">
      <c r="A347" s="30" t="s">
        <v>46</v>
      </c>
      <c r="B347" s="1" t="s">
        <v>381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3">
      <c r="A348" s="30" t="s">
        <v>46</v>
      </c>
      <c r="B348" s="1" t="s">
        <v>382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3">
      <c r="A349" s="30" t="s">
        <v>46</v>
      </c>
      <c r="B349" s="1" t="s">
        <v>383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3">
      <c r="A350" s="30" t="s">
        <v>46</v>
      </c>
      <c r="B350" s="1" t="s">
        <v>384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3">
      <c r="A351" s="30" t="s">
        <v>46</v>
      </c>
      <c r="B351" s="1" t="s">
        <v>385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3">
      <c r="A352" s="30" t="s">
        <v>46</v>
      </c>
      <c r="B352" s="1" t="s">
        <v>386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3">
      <c r="A353" s="30" t="s">
        <v>46</v>
      </c>
      <c r="B353" s="1" t="s">
        <v>387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3">
      <c r="A354" s="30" t="s">
        <v>46</v>
      </c>
      <c r="B354" s="1" t="s">
        <v>388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3">
      <c r="A355" s="30" t="s">
        <v>46</v>
      </c>
      <c r="B355" s="1" t="s">
        <v>389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3">
      <c r="A356" s="30" t="s">
        <v>46</v>
      </c>
      <c r="B356" s="1" t="s">
        <v>390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3">
      <c r="A357" s="30" t="s">
        <v>46</v>
      </c>
      <c r="B357" s="1" t="s">
        <v>391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3">
      <c r="A358" s="30" t="s">
        <v>46</v>
      </c>
      <c r="B358" s="1" t="s">
        <v>392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3">
      <c r="A359" s="30" t="s">
        <v>46</v>
      </c>
      <c r="B359" s="1" t="s">
        <v>393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3">
      <c r="A360" s="30" t="s">
        <v>46</v>
      </c>
      <c r="B360" s="1" t="s">
        <v>394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3">
      <c r="A361" s="30" t="s">
        <v>46</v>
      </c>
      <c r="B361" s="1" t="s">
        <v>395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3">
      <c r="A362" s="30" t="s">
        <v>46</v>
      </c>
      <c r="B362" s="1" t="s">
        <v>396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3">
      <c r="A363" s="30" t="s">
        <v>46</v>
      </c>
      <c r="B363" s="1" t="s">
        <v>397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3">
      <c r="A364" s="30" t="s">
        <v>46</v>
      </c>
      <c r="B364" s="1" t="s">
        <v>398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3">
      <c r="A365" s="30" t="s">
        <v>46</v>
      </c>
      <c r="B365" s="1" t="s">
        <v>399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3">
      <c r="A366" s="30" t="s">
        <v>46</v>
      </c>
      <c r="B366" s="1" t="s">
        <v>400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3">
      <c r="A367" s="30" t="s">
        <v>46</v>
      </c>
      <c r="B367" s="1" t="s">
        <v>401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3">
      <c r="A368" s="30" t="s">
        <v>46</v>
      </c>
      <c r="B368" s="1" t="s">
        <v>402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3">
      <c r="A369" s="30" t="s">
        <v>46</v>
      </c>
      <c r="B369" s="1" t="s">
        <v>403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3">
      <c r="A370" s="30" t="s">
        <v>46</v>
      </c>
      <c r="B370" s="1" t="s">
        <v>404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3">
      <c r="A371" s="30" t="s">
        <v>46</v>
      </c>
      <c r="B371" s="1" t="s">
        <v>405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3">
      <c r="A372" s="30" t="s">
        <v>46</v>
      </c>
      <c r="B372" s="1" t="s">
        <v>406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3">
      <c r="A373" s="30" t="s">
        <v>46</v>
      </c>
      <c r="B373" s="1" t="s">
        <v>407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3">
      <c r="A374" s="30" t="s">
        <v>46</v>
      </c>
      <c r="B374" s="1" t="s">
        <v>408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3">
      <c r="A375" s="30" t="s">
        <v>46</v>
      </c>
      <c r="B375" s="1" t="s">
        <v>409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3">
      <c r="A376" s="30" t="s">
        <v>46</v>
      </c>
      <c r="B376" s="1" t="s">
        <v>410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3">
      <c r="A377" s="30" t="s">
        <v>46</v>
      </c>
      <c r="B377" s="1" t="s">
        <v>411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3">
      <c r="A378" s="30" t="s">
        <v>46</v>
      </c>
      <c r="B378" s="1" t="s">
        <v>412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3">
      <c r="A379" s="30" t="s">
        <v>46</v>
      </c>
      <c r="B379" s="1" t="s">
        <v>413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3">
      <c r="A380" s="30" t="s">
        <v>46</v>
      </c>
      <c r="B380" s="1" t="s">
        <v>414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3">
      <c r="A381" s="30" t="s">
        <v>46</v>
      </c>
      <c r="B381" s="1" t="s">
        <v>415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3">
      <c r="A382" s="30" t="s">
        <v>46</v>
      </c>
      <c r="B382" s="1" t="s">
        <v>416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3">
      <c r="A383" s="30" t="s">
        <v>46</v>
      </c>
      <c r="B383" s="1" t="s">
        <v>417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3">
      <c r="A384" s="30" t="s">
        <v>46</v>
      </c>
      <c r="B384" s="1" t="s">
        <v>418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3">
      <c r="A385" s="30" t="s">
        <v>46</v>
      </c>
      <c r="B385" s="1" t="s">
        <v>419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3">
      <c r="A386" s="30" t="s">
        <v>46</v>
      </c>
      <c r="B386" s="1" t="s">
        <v>420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3">
      <c r="A387" s="30" t="s">
        <v>46</v>
      </c>
      <c r="B387" s="1" t="s">
        <v>421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3">
      <c r="A388" s="30" t="s">
        <v>46</v>
      </c>
      <c r="B388" s="1" t="s">
        <v>422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3">
      <c r="A389" s="30" t="s">
        <v>46</v>
      </c>
      <c r="B389" s="1" t="s">
        <v>423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3">
      <c r="A390" s="30" t="s">
        <v>46</v>
      </c>
      <c r="B390" s="1" t="s">
        <v>424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3">
      <c r="A391" s="30" t="s">
        <v>46</v>
      </c>
      <c r="B391" s="1" t="s">
        <v>425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3">
      <c r="A392" s="30" t="s">
        <v>46</v>
      </c>
      <c r="B392" s="1" t="s">
        <v>426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3">
      <c r="A393" s="30" t="s">
        <v>46</v>
      </c>
      <c r="B393" s="1" t="s">
        <v>427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3">
      <c r="A394" s="30" t="s">
        <v>46</v>
      </c>
      <c r="B394" s="1" t="s">
        <v>428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3">
      <c r="A395" s="30" t="s">
        <v>46</v>
      </c>
      <c r="B395" s="1" t="s">
        <v>429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3">
      <c r="A396" s="30" t="s">
        <v>46</v>
      </c>
      <c r="B396" s="1" t="s">
        <v>430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3">
      <c r="A397" s="30" t="s">
        <v>46</v>
      </c>
      <c r="B397" s="1" t="s">
        <v>431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3">
      <c r="A398" s="30" t="s">
        <v>46</v>
      </c>
      <c r="B398" s="1" t="s">
        <v>432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3">
      <c r="A399" s="30" t="s">
        <v>46</v>
      </c>
      <c r="B399" s="1" t="s">
        <v>433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3">
      <c r="A400" s="30" t="s">
        <v>46</v>
      </c>
      <c r="B400" s="1" t="s">
        <v>434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3">
      <c r="A401" s="30" t="s">
        <v>46</v>
      </c>
      <c r="B401" s="1" t="s">
        <v>435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3">
      <c r="A402" s="30" t="s">
        <v>46</v>
      </c>
      <c r="B402" s="1" t="s">
        <v>436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3">
      <c r="A403" s="30" t="s">
        <v>46</v>
      </c>
      <c r="B403" s="1" t="s">
        <v>437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3">
      <c r="A404" s="30" t="s">
        <v>46</v>
      </c>
      <c r="B404" s="1" t="s">
        <v>438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3">
      <c r="A405" s="30" t="s">
        <v>46</v>
      </c>
      <c r="B405" s="1" t="s">
        <v>439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3">
      <c r="A406" s="30" t="s">
        <v>46</v>
      </c>
      <c r="B406" s="1" t="s">
        <v>440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3">
      <c r="A407" s="30" t="s">
        <v>46</v>
      </c>
      <c r="B407" s="1" t="s">
        <v>441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3">
      <c r="A408" s="30" t="s">
        <v>46</v>
      </c>
      <c r="B408" s="1" t="s">
        <v>442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3">
      <c r="A409" s="30" t="s">
        <v>46</v>
      </c>
      <c r="B409" s="1" t="s">
        <v>443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3">
      <c r="A410" s="30" t="s">
        <v>46</v>
      </c>
      <c r="B410" s="1" t="s">
        <v>444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3">
      <c r="A411" s="30" t="s">
        <v>46</v>
      </c>
      <c r="B411" s="1" t="s">
        <v>445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3">
      <c r="A412" s="30" t="s">
        <v>46</v>
      </c>
      <c r="B412" s="1" t="s">
        <v>446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3">
      <c r="A413" s="30" t="s">
        <v>46</v>
      </c>
      <c r="B413" s="1" t="s">
        <v>447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3">
      <c r="A414" s="30" t="s">
        <v>46</v>
      </c>
      <c r="B414" s="1" t="s">
        <v>448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3">
      <c r="A415" s="30" t="s">
        <v>46</v>
      </c>
      <c r="B415" s="1" t="s">
        <v>449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3">
      <c r="A416" s="30" t="s">
        <v>46</v>
      </c>
      <c r="B416" s="1" t="s">
        <v>450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3">
      <c r="A417" s="30" t="s">
        <v>46</v>
      </c>
      <c r="B417" s="1" t="s">
        <v>451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3">
      <c r="A418" s="30" t="s">
        <v>46</v>
      </c>
      <c r="B418" s="1" t="s">
        <v>452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3">
      <c r="A419" s="30" t="s">
        <v>46</v>
      </c>
      <c r="B419" s="1" t="s">
        <v>453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3">
      <c r="A420" s="30" t="s">
        <v>46</v>
      </c>
      <c r="B420" s="1" t="s">
        <v>454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3">
      <c r="A421" s="30" t="s">
        <v>46</v>
      </c>
      <c r="B421" s="1" t="s">
        <v>455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3">
      <c r="A422" s="30" t="s">
        <v>46</v>
      </c>
      <c r="B422" s="1" t="s">
        <v>456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3">
      <c r="A423" s="30" t="s">
        <v>46</v>
      </c>
      <c r="B423" s="1" t="s">
        <v>457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3">
      <c r="A424" s="30" t="s">
        <v>46</v>
      </c>
      <c r="B424" s="1" t="s">
        <v>458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3">
      <c r="A425" s="30" t="s">
        <v>46</v>
      </c>
      <c r="B425" s="1" t="s">
        <v>459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3">
      <c r="A426" s="30" t="s">
        <v>46</v>
      </c>
      <c r="B426" s="1" t="s">
        <v>460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3">
      <c r="A427" s="30" t="s">
        <v>46</v>
      </c>
      <c r="B427" s="1" t="s">
        <v>461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3">
      <c r="A428" s="30" t="s">
        <v>46</v>
      </c>
      <c r="B428" s="1" t="s">
        <v>462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3">
      <c r="A429" s="30" t="s">
        <v>46</v>
      </c>
      <c r="B429" s="1" t="s">
        <v>463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3">
      <c r="A430" s="30" t="s">
        <v>46</v>
      </c>
      <c r="B430" s="1" t="s">
        <v>464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3">
      <c r="A431" s="30" t="s">
        <v>46</v>
      </c>
      <c r="B431" s="1" t="s">
        <v>465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3">
      <c r="A432" s="30" t="s">
        <v>46</v>
      </c>
      <c r="B432" s="1" t="s">
        <v>466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3">
      <c r="A433" s="30" t="s">
        <v>46</v>
      </c>
      <c r="B433" s="1" t="s">
        <v>467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3">
      <c r="A434" s="30" t="s">
        <v>46</v>
      </c>
      <c r="B434" s="1" t="s">
        <v>468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3">
      <c r="A435" s="30" t="s">
        <v>46</v>
      </c>
      <c r="B435" s="1" t="s">
        <v>469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3">
      <c r="A436" s="30" t="s">
        <v>46</v>
      </c>
      <c r="B436" s="1" t="s">
        <v>470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3">
      <c r="A437" s="30" t="s">
        <v>46</v>
      </c>
      <c r="B437" s="1" t="s">
        <v>471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3">
      <c r="A438" s="30" t="s">
        <v>46</v>
      </c>
      <c r="B438" s="1" t="s">
        <v>472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3">
      <c r="A439" s="30" t="s">
        <v>46</v>
      </c>
      <c r="B439" s="1" t="s">
        <v>473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3">
      <c r="A440" s="30" t="s">
        <v>46</v>
      </c>
      <c r="B440" s="1" t="s">
        <v>474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3">
      <c r="A441" s="30" t="s">
        <v>46</v>
      </c>
      <c r="B441" s="1" t="s">
        <v>475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3">
      <c r="A442" s="30" t="s">
        <v>46</v>
      </c>
      <c r="B442" s="1" t="s">
        <v>476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3">
      <c r="A443" s="30" t="s">
        <v>46</v>
      </c>
      <c r="B443" s="1" t="s">
        <v>477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3">
      <c r="A444" s="30" t="s">
        <v>46</v>
      </c>
      <c r="B444" s="1" t="s">
        <v>478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3">
      <c r="A445" s="30" t="s">
        <v>46</v>
      </c>
      <c r="B445" s="1" t="s">
        <v>479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3">
      <c r="A446" s="30" t="s">
        <v>46</v>
      </c>
      <c r="B446" s="1" t="s">
        <v>480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3">
      <c r="A447" s="30" t="s">
        <v>46</v>
      </c>
      <c r="B447" s="1" t="s">
        <v>481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3">
      <c r="A448" s="30" t="s">
        <v>46</v>
      </c>
      <c r="B448" s="1" t="s">
        <v>482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3">
      <c r="A449" s="30" t="s">
        <v>46</v>
      </c>
      <c r="B449" s="1" t="s">
        <v>483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3">
      <c r="A450" s="30" t="s">
        <v>46</v>
      </c>
      <c r="B450" s="1" t="s">
        <v>484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3">
      <c r="A451" s="30" t="s">
        <v>46</v>
      </c>
      <c r="B451" s="1" t="s">
        <v>485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3">
      <c r="A452" s="30" t="s">
        <v>46</v>
      </c>
      <c r="B452" s="1" t="s">
        <v>486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3">
      <c r="A453" s="30" t="s">
        <v>46</v>
      </c>
      <c r="B453" s="1" t="s">
        <v>487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3">
      <c r="A454" s="30" t="s">
        <v>46</v>
      </c>
      <c r="B454" s="1" t="s">
        <v>488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3">
      <c r="A455" s="30" t="s">
        <v>46</v>
      </c>
      <c r="B455" s="1" t="s">
        <v>489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3">
      <c r="A456" s="30" t="s">
        <v>46</v>
      </c>
      <c r="B456" s="1" t="s">
        <v>490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3">
      <c r="A457" s="30" t="s">
        <v>46</v>
      </c>
      <c r="B457" s="1" t="s">
        <v>491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3">
      <c r="A458" s="30" t="s">
        <v>46</v>
      </c>
      <c r="B458" s="1" t="s">
        <v>492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3">
      <c r="A459" s="30" t="s">
        <v>46</v>
      </c>
      <c r="B459" s="1" t="s">
        <v>493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3">
      <c r="A460" s="30" t="s">
        <v>46</v>
      </c>
      <c r="B460" s="1" t="s">
        <v>494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3">
      <c r="A461" s="30" t="s">
        <v>46</v>
      </c>
      <c r="B461" s="1" t="s">
        <v>495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3">
      <c r="A462" s="30" t="s">
        <v>46</v>
      </c>
      <c r="B462" s="1" t="s">
        <v>496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3">
      <c r="A463" s="30" t="s">
        <v>46</v>
      </c>
      <c r="B463" s="1" t="s">
        <v>497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3">
      <c r="A464" s="30" t="s">
        <v>46</v>
      </c>
      <c r="B464" s="1" t="s">
        <v>498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3">
      <c r="A465" s="30" t="s">
        <v>46</v>
      </c>
      <c r="B465" s="1" t="s">
        <v>499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3">
      <c r="A466" s="30" t="s">
        <v>46</v>
      </c>
      <c r="B466" s="1" t="s">
        <v>500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3">
      <c r="A467" s="30" t="s">
        <v>46</v>
      </c>
      <c r="B467" s="1" t="s">
        <v>501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3">
      <c r="A468" s="30" t="s">
        <v>46</v>
      </c>
      <c r="B468" s="1" t="s">
        <v>502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3">
      <c r="A469" s="30" t="s">
        <v>46</v>
      </c>
      <c r="B469" s="1" t="s">
        <v>503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3">
      <c r="A470" s="30" t="s">
        <v>46</v>
      </c>
      <c r="B470" s="1" t="s">
        <v>504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3">
      <c r="A471" s="30" t="s">
        <v>46</v>
      </c>
      <c r="B471" s="1" t="s">
        <v>505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3">
      <c r="A472" s="30" t="s">
        <v>46</v>
      </c>
      <c r="B472" s="1" t="s">
        <v>506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3">
      <c r="A473" s="30" t="s">
        <v>46</v>
      </c>
      <c r="B473" s="1" t="s">
        <v>507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3">
      <c r="A474" s="30" t="s">
        <v>46</v>
      </c>
      <c r="B474" s="1" t="s">
        <v>508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3">
      <c r="A475" s="30" t="s">
        <v>46</v>
      </c>
      <c r="B475" s="1" t="s">
        <v>509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3">
      <c r="A476" s="30" t="s">
        <v>46</v>
      </c>
      <c r="B476" s="1" t="s">
        <v>510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3">
      <c r="A477" s="30" t="s">
        <v>46</v>
      </c>
      <c r="B477" s="1" t="s">
        <v>511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3">
      <c r="A478" s="30" t="s">
        <v>46</v>
      </c>
      <c r="B478" s="1" t="s">
        <v>512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3">
      <c r="A479" s="30" t="s">
        <v>46</v>
      </c>
      <c r="B479" s="1" t="s">
        <v>513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3">
      <c r="A480" s="30" t="s">
        <v>46</v>
      </c>
      <c r="B480" s="1" t="s">
        <v>514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3">
      <c r="A481" s="30" t="s">
        <v>46</v>
      </c>
      <c r="B481" s="1" t="s">
        <v>515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3">
      <c r="A482" s="30" t="s">
        <v>46</v>
      </c>
      <c r="B482" s="1" t="s">
        <v>516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3">
      <c r="A483" s="30" t="s">
        <v>46</v>
      </c>
      <c r="B483" s="1" t="s">
        <v>517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3">
      <c r="A484" s="30" t="s">
        <v>46</v>
      </c>
      <c r="B484" s="1" t="s">
        <v>518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3">
      <c r="A485" s="30" t="s">
        <v>46</v>
      </c>
      <c r="B485" s="1" t="s">
        <v>519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3">
      <c r="A486" s="30" t="s">
        <v>46</v>
      </c>
      <c r="B486" s="1" t="s">
        <v>520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3">
      <c r="A487" s="30" t="s">
        <v>46</v>
      </c>
      <c r="B487" s="1" t="s">
        <v>521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3">
      <c r="A488" s="30" t="s">
        <v>46</v>
      </c>
      <c r="B488" s="1" t="s">
        <v>522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3">
      <c r="A489" s="30" t="s">
        <v>46</v>
      </c>
      <c r="B489" s="1" t="s">
        <v>523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3">
      <c r="A490" s="30" t="s">
        <v>46</v>
      </c>
      <c r="B490" s="1" t="s">
        <v>524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3">
      <c r="A491" s="30" t="s">
        <v>46</v>
      </c>
      <c r="B491" s="1" t="s">
        <v>525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3">
      <c r="A492" s="30" t="s">
        <v>46</v>
      </c>
      <c r="B492" s="1" t="s">
        <v>526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3">
      <c r="A493" s="30" t="s">
        <v>46</v>
      </c>
      <c r="B493" s="1" t="s">
        <v>527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3">
      <c r="A494" s="30" t="s">
        <v>46</v>
      </c>
      <c r="B494" s="1" t="s">
        <v>528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3">
      <c r="A495" s="30" t="s">
        <v>46</v>
      </c>
      <c r="B495" s="1" t="s">
        <v>529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3">
      <c r="A496" s="30" t="s">
        <v>46</v>
      </c>
      <c r="B496" s="1" t="s">
        <v>530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3">
      <c r="A497" s="111"/>
      <c r="B497" s="118"/>
      <c r="C497" s="111"/>
      <c r="D497" s="134">
        <f t="shared" ref="D497:L497" si="123">SUM(D201:D496)</f>
        <v>21895402</v>
      </c>
      <c r="E497" s="134">
        <f t="shared" si="123"/>
        <v>23324090</v>
      </c>
      <c r="F497" s="134">
        <f t="shared" si="123"/>
        <v>57106398</v>
      </c>
      <c r="G497" s="134">
        <f t="shared" si="123"/>
        <v>27983290</v>
      </c>
      <c r="H497" s="134">
        <f t="shared" si="123"/>
        <v>29123108</v>
      </c>
      <c r="I497" s="134">
        <f t="shared" si="123"/>
        <v>21895402</v>
      </c>
      <c r="J497" s="134">
        <f t="shared" si="123"/>
        <v>23324090</v>
      </c>
      <c r="K497" s="134">
        <f t="shared" si="123"/>
        <v>6087888</v>
      </c>
      <c r="L497" s="134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3">
      <c r="A498" s="30" t="s">
        <v>531</v>
      </c>
      <c r="B498" s="1" t="s">
        <v>532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574">
        <v>391</v>
      </c>
      <c r="N498" s="574">
        <v>334</v>
      </c>
      <c r="O498" s="574">
        <v>374</v>
      </c>
      <c r="P498" s="574">
        <v>393</v>
      </c>
      <c r="Q498" s="574">
        <v>365</v>
      </c>
      <c r="R498" s="574">
        <v>333</v>
      </c>
      <c r="S498" s="574">
        <v>365</v>
      </c>
      <c r="T498" s="574">
        <v>388</v>
      </c>
      <c r="U498" s="574">
        <v>394</v>
      </c>
      <c r="V498" s="574">
        <v>392</v>
      </c>
      <c r="W498" s="574">
        <v>375</v>
      </c>
      <c r="X498" s="574">
        <v>423</v>
      </c>
      <c r="Y498" s="574">
        <v>403</v>
      </c>
      <c r="Z498" s="574">
        <v>425</v>
      </c>
      <c r="AA498" s="574">
        <v>394</v>
      </c>
      <c r="AB498" s="574">
        <v>319</v>
      </c>
      <c r="AC498" s="574">
        <v>337</v>
      </c>
      <c r="AD498" s="574">
        <v>363</v>
      </c>
      <c r="AE498" s="574">
        <v>363</v>
      </c>
      <c r="AF498" s="574">
        <v>317</v>
      </c>
      <c r="AG498" s="574">
        <v>288</v>
      </c>
      <c r="AH498" s="574">
        <v>332</v>
      </c>
      <c r="AI498" s="574">
        <v>374</v>
      </c>
      <c r="AJ498" s="574">
        <v>338</v>
      </c>
      <c r="AK498" s="574">
        <v>389</v>
      </c>
      <c r="AL498" s="574">
        <v>412</v>
      </c>
      <c r="AM498" s="574">
        <v>367</v>
      </c>
      <c r="AN498" s="574">
        <v>361</v>
      </c>
      <c r="AO498" s="574">
        <v>441</v>
      </c>
      <c r="AP498" s="574">
        <v>438</v>
      </c>
      <c r="AQ498" s="574">
        <v>468</v>
      </c>
      <c r="AR498" s="574">
        <v>465</v>
      </c>
      <c r="AS498" s="574">
        <v>442</v>
      </c>
      <c r="AT498" s="574">
        <v>467</v>
      </c>
      <c r="AU498" s="574">
        <v>398</v>
      </c>
      <c r="AV498" s="574">
        <v>423</v>
      </c>
      <c r="AW498" s="574">
        <v>418</v>
      </c>
      <c r="AX498" s="574">
        <v>449</v>
      </c>
      <c r="AY498" s="574">
        <v>389</v>
      </c>
      <c r="AZ498" s="574">
        <v>409</v>
      </c>
      <c r="BA498" s="574">
        <v>365</v>
      </c>
      <c r="BB498" s="574">
        <v>396</v>
      </c>
      <c r="BC498" s="574">
        <v>373</v>
      </c>
      <c r="BD498" s="574">
        <v>369</v>
      </c>
      <c r="BE498" s="574">
        <v>348</v>
      </c>
      <c r="BF498" s="574">
        <v>299</v>
      </c>
      <c r="BG498" s="574">
        <v>345</v>
      </c>
      <c r="BH498" s="574">
        <v>417</v>
      </c>
      <c r="BI498" s="574">
        <v>386</v>
      </c>
      <c r="BJ498" s="574">
        <v>430</v>
      </c>
      <c r="BK498" s="574">
        <v>495</v>
      </c>
      <c r="BL498" s="574">
        <v>469</v>
      </c>
      <c r="BM498" s="574">
        <v>471</v>
      </c>
      <c r="BN498" s="574">
        <v>521</v>
      </c>
      <c r="BO498" s="574">
        <v>498</v>
      </c>
      <c r="BP498" s="574">
        <v>491</v>
      </c>
      <c r="BQ498" s="574">
        <v>525</v>
      </c>
      <c r="BR498" s="574">
        <v>529</v>
      </c>
      <c r="BS498" s="574">
        <v>512</v>
      </c>
      <c r="BT498" s="574">
        <v>493</v>
      </c>
      <c r="BU498" s="574">
        <v>503</v>
      </c>
      <c r="BV498" s="574">
        <v>432</v>
      </c>
      <c r="BW498" s="574">
        <v>445</v>
      </c>
      <c r="BX498" s="574">
        <v>434</v>
      </c>
      <c r="BY498" s="574">
        <v>364</v>
      </c>
      <c r="BZ498" s="574">
        <v>441</v>
      </c>
      <c r="CA498" s="574">
        <v>389</v>
      </c>
      <c r="CB498" s="574">
        <v>372</v>
      </c>
      <c r="CC498" s="574">
        <v>364</v>
      </c>
      <c r="CD498" s="574">
        <v>375</v>
      </c>
      <c r="CE498" s="574">
        <v>341</v>
      </c>
      <c r="CF498" s="574">
        <v>358</v>
      </c>
      <c r="CG498" s="574">
        <v>351</v>
      </c>
      <c r="CH498" s="574">
        <v>359</v>
      </c>
      <c r="CI498" s="574">
        <v>343</v>
      </c>
      <c r="CJ498" s="574">
        <v>401</v>
      </c>
      <c r="CK498" s="574">
        <v>297</v>
      </c>
      <c r="CL498" s="574">
        <v>262</v>
      </c>
      <c r="CM498" s="574">
        <v>235</v>
      </c>
      <c r="CN498" s="574">
        <v>261</v>
      </c>
      <c r="CO498" s="574">
        <v>210</v>
      </c>
      <c r="CP498" s="574">
        <v>179</v>
      </c>
      <c r="CQ498" s="574">
        <v>155</v>
      </c>
      <c r="CR498" s="574">
        <v>164</v>
      </c>
      <c r="CS498" s="574">
        <v>135</v>
      </c>
      <c r="CT498" s="574">
        <v>101</v>
      </c>
      <c r="CU498" s="574">
        <v>100</v>
      </c>
      <c r="CV498" s="574">
        <v>87</v>
      </c>
      <c r="CW498" s="574">
        <v>55</v>
      </c>
      <c r="CX498" s="574">
        <v>58</v>
      </c>
      <c r="CY498" s="574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3">
      <c r="A499" s="30" t="s">
        <v>34</v>
      </c>
      <c r="B499" s="1" t="s">
        <v>533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574">
        <v>731</v>
      </c>
      <c r="N499" s="574">
        <v>689</v>
      </c>
      <c r="O499" s="574">
        <v>714</v>
      </c>
      <c r="P499" s="574">
        <v>751</v>
      </c>
      <c r="Q499" s="574">
        <v>788</v>
      </c>
      <c r="R499" s="574">
        <v>823</v>
      </c>
      <c r="S499" s="574">
        <v>811</v>
      </c>
      <c r="T499" s="574">
        <v>852</v>
      </c>
      <c r="U499" s="574">
        <v>862</v>
      </c>
      <c r="V499" s="574">
        <v>879</v>
      </c>
      <c r="W499" s="574">
        <v>884</v>
      </c>
      <c r="X499" s="574">
        <v>978</v>
      </c>
      <c r="Y499" s="574">
        <v>895</v>
      </c>
      <c r="Z499" s="574">
        <v>924</v>
      </c>
      <c r="AA499" s="574">
        <v>890</v>
      </c>
      <c r="AB499" s="574">
        <v>868</v>
      </c>
      <c r="AC499" s="574">
        <v>836</v>
      </c>
      <c r="AD499" s="574">
        <v>905</v>
      </c>
      <c r="AE499" s="574">
        <v>777</v>
      </c>
      <c r="AF499" s="574">
        <v>641</v>
      </c>
      <c r="AG499" s="574">
        <v>674</v>
      </c>
      <c r="AH499" s="574">
        <v>686</v>
      </c>
      <c r="AI499" s="574">
        <v>727</v>
      </c>
      <c r="AJ499" s="574">
        <v>840</v>
      </c>
      <c r="AK499" s="574">
        <v>858</v>
      </c>
      <c r="AL499" s="574">
        <v>945</v>
      </c>
      <c r="AM499" s="574">
        <v>890</v>
      </c>
      <c r="AN499" s="574">
        <v>816</v>
      </c>
      <c r="AO499" s="574">
        <v>944</v>
      </c>
      <c r="AP499" s="574">
        <v>857</v>
      </c>
      <c r="AQ499" s="574">
        <v>968</v>
      </c>
      <c r="AR499" s="574">
        <v>910</v>
      </c>
      <c r="AS499" s="574">
        <v>982</v>
      </c>
      <c r="AT499" s="574">
        <v>986</v>
      </c>
      <c r="AU499" s="574">
        <v>996</v>
      </c>
      <c r="AV499" s="574">
        <v>984</v>
      </c>
      <c r="AW499" s="574">
        <v>944</v>
      </c>
      <c r="AX499" s="574">
        <v>937</v>
      </c>
      <c r="AY499" s="574">
        <v>874</v>
      </c>
      <c r="AZ499" s="574">
        <v>882</v>
      </c>
      <c r="BA499" s="574">
        <v>860</v>
      </c>
      <c r="BB499" s="574">
        <v>916</v>
      </c>
      <c r="BC499" s="574">
        <v>935</v>
      </c>
      <c r="BD499" s="574">
        <v>885</v>
      </c>
      <c r="BE499" s="574">
        <v>798</v>
      </c>
      <c r="BF499" s="574">
        <v>764</v>
      </c>
      <c r="BG499" s="574">
        <v>821</v>
      </c>
      <c r="BH499" s="574">
        <v>816</v>
      </c>
      <c r="BI499" s="574">
        <v>884</v>
      </c>
      <c r="BJ499" s="574">
        <v>901</v>
      </c>
      <c r="BK499" s="574">
        <v>1009</v>
      </c>
      <c r="BL499" s="574">
        <v>1091</v>
      </c>
      <c r="BM499" s="574">
        <v>977</v>
      </c>
      <c r="BN499" s="574">
        <v>1017</v>
      </c>
      <c r="BO499" s="574">
        <v>1078</v>
      </c>
      <c r="BP499" s="574">
        <v>1056</v>
      </c>
      <c r="BQ499" s="574">
        <v>1081</v>
      </c>
      <c r="BR499" s="574">
        <v>1062</v>
      </c>
      <c r="BS499" s="574">
        <v>1067</v>
      </c>
      <c r="BT499" s="574">
        <v>1000</v>
      </c>
      <c r="BU499" s="574">
        <v>1035</v>
      </c>
      <c r="BV499" s="574">
        <v>984</v>
      </c>
      <c r="BW499" s="574">
        <v>918</v>
      </c>
      <c r="BX499" s="574">
        <v>903</v>
      </c>
      <c r="BY499" s="574">
        <v>907</v>
      </c>
      <c r="BZ499" s="574">
        <v>835</v>
      </c>
      <c r="CA499" s="574">
        <v>831</v>
      </c>
      <c r="CB499" s="574">
        <v>766</v>
      </c>
      <c r="CC499" s="574">
        <v>742</v>
      </c>
      <c r="CD499" s="574">
        <v>776</v>
      </c>
      <c r="CE499" s="574">
        <v>736</v>
      </c>
      <c r="CF499" s="574">
        <v>767</v>
      </c>
      <c r="CG499" s="574">
        <v>726</v>
      </c>
      <c r="CH499" s="574">
        <v>780</v>
      </c>
      <c r="CI499" s="574">
        <v>754</v>
      </c>
      <c r="CJ499" s="574">
        <v>809</v>
      </c>
      <c r="CK499" s="574">
        <v>632</v>
      </c>
      <c r="CL499" s="574">
        <v>617</v>
      </c>
      <c r="CM499" s="574">
        <v>572</v>
      </c>
      <c r="CN499" s="574">
        <v>506</v>
      </c>
      <c r="CO499" s="574">
        <v>443</v>
      </c>
      <c r="CP499" s="574">
        <v>449</v>
      </c>
      <c r="CQ499" s="574">
        <v>367</v>
      </c>
      <c r="CR499" s="574">
        <v>336</v>
      </c>
      <c r="CS499" s="574">
        <v>314</v>
      </c>
      <c r="CT499" s="574">
        <v>257</v>
      </c>
      <c r="CU499" s="574">
        <v>226</v>
      </c>
      <c r="CV499" s="574">
        <v>223</v>
      </c>
      <c r="CW499" s="574">
        <v>154</v>
      </c>
      <c r="CX499" s="574">
        <v>144</v>
      </c>
      <c r="CY499" s="574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3">
      <c r="A500" s="30" t="s">
        <v>34</v>
      </c>
      <c r="B500" s="1" t="s">
        <v>534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574">
        <v>834</v>
      </c>
      <c r="N500" s="574">
        <v>824</v>
      </c>
      <c r="O500" s="574">
        <v>908</v>
      </c>
      <c r="P500" s="574">
        <v>935</v>
      </c>
      <c r="Q500" s="574">
        <v>1007</v>
      </c>
      <c r="R500" s="574">
        <v>996</v>
      </c>
      <c r="S500" s="574">
        <v>1029</v>
      </c>
      <c r="T500" s="574">
        <v>1072</v>
      </c>
      <c r="U500" s="574">
        <v>1068</v>
      </c>
      <c r="V500" s="574">
        <v>1056</v>
      </c>
      <c r="W500" s="574">
        <v>1069</v>
      </c>
      <c r="X500" s="574">
        <v>1095</v>
      </c>
      <c r="Y500" s="574">
        <v>1148</v>
      </c>
      <c r="Z500" s="574">
        <v>1126</v>
      </c>
      <c r="AA500" s="574">
        <v>1141</v>
      </c>
      <c r="AB500" s="574">
        <v>1053</v>
      </c>
      <c r="AC500" s="574">
        <v>1026</v>
      </c>
      <c r="AD500" s="574">
        <v>1028</v>
      </c>
      <c r="AE500" s="574">
        <v>1108</v>
      </c>
      <c r="AF500" s="574">
        <v>875</v>
      </c>
      <c r="AG500" s="574">
        <v>817</v>
      </c>
      <c r="AH500" s="574">
        <v>888</v>
      </c>
      <c r="AI500" s="574">
        <v>942</v>
      </c>
      <c r="AJ500" s="574">
        <v>891</v>
      </c>
      <c r="AK500" s="574">
        <v>901</v>
      </c>
      <c r="AL500" s="574">
        <v>1103</v>
      </c>
      <c r="AM500" s="574">
        <v>1005</v>
      </c>
      <c r="AN500" s="574">
        <v>987</v>
      </c>
      <c r="AO500" s="574">
        <v>1032</v>
      </c>
      <c r="AP500" s="574">
        <v>1030</v>
      </c>
      <c r="AQ500" s="574">
        <v>1074</v>
      </c>
      <c r="AR500" s="574">
        <v>1182</v>
      </c>
      <c r="AS500" s="574">
        <v>1115</v>
      </c>
      <c r="AT500" s="574">
        <v>1132</v>
      </c>
      <c r="AU500" s="574">
        <v>1167</v>
      </c>
      <c r="AV500" s="574">
        <v>1071</v>
      </c>
      <c r="AW500" s="574">
        <v>1140</v>
      </c>
      <c r="AX500" s="574">
        <v>1077</v>
      </c>
      <c r="AY500" s="574">
        <v>1079</v>
      </c>
      <c r="AZ500" s="574">
        <v>1060</v>
      </c>
      <c r="BA500" s="574">
        <v>1012</v>
      </c>
      <c r="BB500" s="574">
        <v>1070</v>
      </c>
      <c r="BC500" s="574">
        <v>1085</v>
      </c>
      <c r="BD500" s="574">
        <v>1002</v>
      </c>
      <c r="BE500" s="574">
        <v>958</v>
      </c>
      <c r="BF500" s="574">
        <v>997</v>
      </c>
      <c r="BG500" s="574">
        <v>992</v>
      </c>
      <c r="BH500" s="574">
        <v>988</v>
      </c>
      <c r="BI500" s="574">
        <v>1077</v>
      </c>
      <c r="BJ500" s="574">
        <v>1113</v>
      </c>
      <c r="BK500" s="574">
        <v>1157</v>
      </c>
      <c r="BL500" s="574">
        <v>1232</v>
      </c>
      <c r="BM500" s="574">
        <v>1129</v>
      </c>
      <c r="BN500" s="574">
        <v>1299</v>
      </c>
      <c r="BO500" s="574">
        <v>1259</v>
      </c>
      <c r="BP500" s="574">
        <v>1214</v>
      </c>
      <c r="BQ500" s="574">
        <v>1265</v>
      </c>
      <c r="BR500" s="574">
        <v>1277</v>
      </c>
      <c r="BS500" s="574">
        <v>1255</v>
      </c>
      <c r="BT500" s="574">
        <v>1273</v>
      </c>
      <c r="BU500" s="574">
        <v>1181</v>
      </c>
      <c r="BV500" s="574">
        <v>1146</v>
      </c>
      <c r="BW500" s="574">
        <v>1118</v>
      </c>
      <c r="BX500" s="574">
        <v>1064</v>
      </c>
      <c r="BY500" s="574">
        <v>1058</v>
      </c>
      <c r="BZ500" s="574">
        <v>1029</v>
      </c>
      <c r="CA500" s="574">
        <v>925</v>
      </c>
      <c r="CB500" s="574">
        <v>870</v>
      </c>
      <c r="CC500" s="574">
        <v>989</v>
      </c>
      <c r="CD500" s="574">
        <v>948</v>
      </c>
      <c r="CE500" s="574">
        <v>880</v>
      </c>
      <c r="CF500" s="574">
        <v>910</v>
      </c>
      <c r="CG500" s="574">
        <v>938</v>
      </c>
      <c r="CH500" s="574">
        <v>837</v>
      </c>
      <c r="CI500" s="574">
        <v>970</v>
      </c>
      <c r="CJ500" s="574">
        <v>989</v>
      </c>
      <c r="CK500" s="574">
        <v>740</v>
      </c>
      <c r="CL500" s="574">
        <v>691</v>
      </c>
      <c r="CM500" s="574">
        <v>645</v>
      </c>
      <c r="CN500" s="574">
        <v>570</v>
      </c>
      <c r="CO500" s="574">
        <v>578</v>
      </c>
      <c r="CP500" s="574">
        <v>442</v>
      </c>
      <c r="CQ500" s="574">
        <v>426</v>
      </c>
      <c r="CR500" s="574">
        <v>410</v>
      </c>
      <c r="CS500" s="574">
        <v>355</v>
      </c>
      <c r="CT500" s="574">
        <v>296</v>
      </c>
      <c r="CU500" s="574">
        <v>259</v>
      </c>
      <c r="CV500" s="574">
        <v>215</v>
      </c>
      <c r="CW500" s="574">
        <v>176</v>
      </c>
      <c r="CX500" s="574">
        <v>150</v>
      </c>
      <c r="CY500" s="574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3">
      <c r="A501" s="30" t="s">
        <v>34</v>
      </c>
      <c r="B501" s="1" t="s">
        <v>535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574">
        <v>1950</v>
      </c>
      <c r="N501" s="574">
        <v>1875</v>
      </c>
      <c r="O501" s="574">
        <v>1880</v>
      </c>
      <c r="P501" s="574">
        <v>1977</v>
      </c>
      <c r="Q501" s="574">
        <v>2035</v>
      </c>
      <c r="R501" s="574">
        <v>2099</v>
      </c>
      <c r="S501" s="574">
        <v>2234</v>
      </c>
      <c r="T501" s="574">
        <v>2194</v>
      </c>
      <c r="U501" s="574">
        <v>2213</v>
      </c>
      <c r="V501" s="574">
        <v>2181</v>
      </c>
      <c r="W501" s="574">
        <v>2303</v>
      </c>
      <c r="X501" s="574">
        <v>2380</v>
      </c>
      <c r="Y501" s="574">
        <v>2271</v>
      </c>
      <c r="Z501" s="574">
        <v>2188</v>
      </c>
      <c r="AA501" s="574">
        <v>2173</v>
      </c>
      <c r="AB501" s="574">
        <v>2117</v>
      </c>
      <c r="AC501" s="574">
        <v>2130</v>
      </c>
      <c r="AD501" s="574">
        <v>2130</v>
      </c>
      <c r="AE501" s="574">
        <v>2327</v>
      </c>
      <c r="AF501" s="574">
        <v>4164</v>
      </c>
      <c r="AG501" s="574">
        <v>4565</v>
      </c>
      <c r="AH501" s="574">
        <v>4249</v>
      </c>
      <c r="AI501" s="574">
        <v>3797</v>
      </c>
      <c r="AJ501" s="574">
        <v>3628</v>
      </c>
      <c r="AK501" s="574">
        <v>3513</v>
      </c>
      <c r="AL501" s="574">
        <v>3439</v>
      </c>
      <c r="AM501" s="574">
        <v>3420</v>
      </c>
      <c r="AN501" s="574">
        <v>3228</v>
      </c>
      <c r="AO501" s="574">
        <v>3077</v>
      </c>
      <c r="AP501" s="574">
        <v>2999</v>
      </c>
      <c r="AQ501" s="574">
        <v>2824</v>
      </c>
      <c r="AR501" s="574">
        <v>2846</v>
      </c>
      <c r="AS501" s="574">
        <v>2776</v>
      </c>
      <c r="AT501" s="574">
        <v>2588</v>
      </c>
      <c r="AU501" s="574">
        <v>2705</v>
      </c>
      <c r="AV501" s="574">
        <v>2608</v>
      </c>
      <c r="AW501" s="574">
        <v>2669</v>
      </c>
      <c r="AX501" s="574">
        <v>2467</v>
      </c>
      <c r="AY501" s="574">
        <v>2494</v>
      </c>
      <c r="AZ501" s="574">
        <v>2498</v>
      </c>
      <c r="BA501" s="574">
        <v>2343</v>
      </c>
      <c r="BB501" s="574">
        <v>2361</v>
      </c>
      <c r="BC501" s="574">
        <v>2324</v>
      </c>
      <c r="BD501" s="574">
        <v>2260</v>
      </c>
      <c r="BE501" s="574">
        <v>2022</v>
      </c>
      <c r="BF501" s="574">
        <v>2128</v>
      </c>
      <c r="BG501" s="574">
        <v>2019</v>
      </c>
      <c r="BH501" s="574">
        <v>2027</v>
      </c>
      <c r="BI501" s="574">
        <v>2070</v>
      </c>
      <c r="BJ501" s="574">
        <v>1928</v>
      </c>
      <c r="BK501" s="574">
        <v>1966</v>
      </c>
      <c r="BL501" s="574">
        <v>2100</v>
      </c>
      <c r="BM501" s="574">
        <v>2061</v>
      </c>
      <c r="BN501" s="574">
        <v>2078</v>
      </c>
      <c r="BO501" s="574">
        <v>1992</v>
      </c>
      <c r="BP501" s="574">
        <v>2070</v>
      </c>
      <c r="BQ501" s="574">
        <v>1888</v>
      </c>
      <c r="BR501" s="574">
        <v>2027</v>
      </c>
      <c r="BS501" s="574">
        <v>1976</v>
      </c>
      <c r="BT501" s="574">
        <v>1918</v>
      </c>
      <c r="BU501" s="574">
        <v>1994</v>
      </c>
      <c r="BV501" s="574">
        <v>1814</v>
      </c>
      <c r="BW501" s="574">
        <v>1830</v>
      </c>
      <c r="BX501" s="574">
        <v>1808</v>
      </c>
      <c r="BY501" s="574">
        <v>1654</v>
      </c>
      <c r="BZ501" s="574">
        <v>1666</v>
      </c>
      <c r="CA501" s="574">
        <v>1538</v>
      </c>
      <c r="CB501" s="574">
        <v>1449</v>
      </c>
      <c r="CC501" s="574">
        <v>1467</v>
      </c>
      <c r="CD501" s="574">
        <v>1364</v>
      </c>
      <c r="CE501" s="574">
        <v>1286</v>
      </c>
      <c r="CF501" s="574">
        <v>1359</v>
      </c>
      <c r="CG501" s="574">
        <v>1353</v>
      </c>
      <c r="CH501" s="574">
        <v>1306</v>
      </c>
      <c r="CI501" s="574">
        <v>1244</v>
      </c>
      <c r="CJ501" s="574">
        <v>1342</v>
      </c>
      <c r="CK501" s="574">
        <v>991</v>
      </c>
      <c r="CL501" s="574">
        <v>942</v>
      </c>
      <c r="CM501" s="574">
        <v>905</v>
      </c>
      <c r="CN501" s="574">
        <v>742</v>
      </c>
      <c r="CO501" s="574">
        <v>691</v>
      </c>
      <c r="CP501" s="574">
        <v>611</v>
      </c>
      <c r="CQ501" s="574">
        <v>589</v>
      </c>
      <c r="CR501" s="574">
        <v>538</v>
      </c>
      <c r="CS501" s="574">
        <v>490</v>
      </c>
      <c r="CT501" s="574">
        <v>446</v>
      </c>
      <c r="CU501" s="574">
        <v>394</v>
      </c>
      <c r="CV501" s="574">
        <v>368</v>
      </c>
      <c r="CW501" s="574">
        <v>281</v>
      </c>
      <c r="CX501" s="574">
        <v>249</v>
      </c>
      <c r="CY501" s="574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3">
      <c r="A502" s="30" t="s">
        <v>34</v>
      </c>
      <c r="B502" s="1" t="s">
        <v>536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574">
        <v>856</v>
      </c>
      <c r="N502" s="574">
        <v>866</v>
      </c>
      <c r="O502" s="574">
        <v>854</v>
      </c>
      <c r="P502" s="574">
        <v>934</v>
      </c>
      <c r="Q502" s="574">
        <v>976</v>
      </c>
      <c r="R502" s="574">
        <v>1016</v>
      </c>
      <c r="S502" s="574">
        <v>1068</v>
      </c>
      <c r="T502" s="574">
        <v>1057</v>
      </c>
      <c r="U502" s="574">
        <v>1032</v>
      </c>
      <c r="V502" s="574">
        <v>1077</v>
      </c>
      <c r="W502" s="574">
        <v>1158</v>
      </c>
      <c r="X502" s="574">
        <v>1168</v>
      </c>
      <c r="Y502" s="574">
        <v>1148</v>
      </c>
      <c r="Z502" s="574">
        <v>1099</v>
      </c>
      <c r="AA502" s="574">
        <v>1137</v>
      </c>
      <c r="AB502" s="574">
        <v>1146</v>
      </c>
      <c r="AC502" s="574">
        <v>1150</v>
      </c>
      <c r="AD502" s="574">
        <v>1098</v>
      </c>
      <c r="AE502" s="574">
        <v>1071</v>
      </c>
      <c r="AF502" s="574">
        <v>898</v>
      </c>
      <c r="AG502" s="574">
        <v>829</v>
      </c>
      <c r="AH502" s="574">
        <v>834</v>
      </c>
      <c r="AI502" s="574">
        <v>847</v>
      </c>
      <c r="AJ502" s="574">
        <v>907</v>
      </c>
      <c r="AK502" s="574">
        <v>957</v>
      </c>
      <c r="AL502" s="574">
        <v>1013</v>
      </c>
      <c r="AM502" s="574">
        <v>1000</v>
      </c>
      <c r="AN502" s="574">
        <v>923</v>
      </c>
      <c r="AO502" s="574">
        <v>977</v>
      </c>
      <c r="AP502" s="574">
        <v>975</v>
      </c>
      <c r="AQ502" s="574">
        <v>1005</v>
      </c>
      <c r="AR502" s="574">
        <v>1049</v>
      </c>
      <c r="AS502" s="574">
        <v>1077</v>
      </c>
      <c r="AT502" s="574">
        <v>1035</v>
      </c>
      <c r="AU502" s="574">
        <v>1116</v>
      </c>
      <c r="AV502" s="574">
        <v>1060</v>
      </c>
      <c r="AW502" s="574">
        <v>1050</v>
      </c>
      <c r="AX502" s="574">
        <v>991</v>
      </c>
      <c r="AY502" s="574">
        <v>1021</v>
      </c>
      <c r="AZ502" s="574">
        <v>1015</v>
      </c>
      <c r="BA502" s="574">
        <v>996</v>
      </c>
      <c r="BB502" s="574">
        <v>1033</v>
      </c>
      <c r="BC502" s="574">
        <v>1042</v>
      </c>
      <c r="BD502" s="574">
        <v>1003</v>
      </c>
      <c r="BE502" s="574">
        <v>929</v>
      </c>
      <c r="BF502" s="574">
        <v>918</v>
      </c>
      <c r="BG502" s="574">
        <v>1008</v>
      </c>
      <c r="BH502" s="574">
        <v>1037</v>
      </c>
      <c r="BI502" s="574">
        <v>1074</v>
      </c>
      <c r="BJ502" s="574">
        <v>1130</v>
      </c>
      <c r="BK502" s="574">
        <v>1203</v>
      </c>
      <c r="BL502" s="574">
        <v>1281</v>
      </c>
      <c r="BM502" s="574">
        <v>1243</v>
      </c>
      <c r="BN502" s="574">
        <v>1231</v>
      </c>
      <c r="BO502" s="574">
        <v>1260</v>
      </c>
      <c r="BP502" s="574">
        <v>1356</v>
      </c>
      <c r="BQ502" s="574">
        <v>1372</v>
      </c>
      <c r="BR502" s="574">
        <v>1413</v>
      </c>
      <c r="BS502" s="574">
        <v>1455</v>
      </c>
      <c r="BT502" s="574">
        <v>1317</v>
      </c>
      <c r="BU502" s="574">
        <v>1416</v>
      </c>
      <c r="BV502" s="574">
        <v>1373</v>
      </c>
      <c r="BW502" s="574">
        <v>1349</v>
      </c>
      <c r="BX502" s="574">
        <v>1279</v>
      </c>
      <c r="BY502" s="574">
        <v>1311</v>
      </c>
      <c r="BZ502" s="574">
        <v>1261</v>
      </c>
      <c r="CA502" s="574">
        <v>1172</v>
      </c>
      <c r="CB502" s="574">
        <v>1270</v>
      </c>
      <c r="CC502" s="574">
        <v>1212</v>
      </c>
      <c r="CD502" s="574">
        <v>1197</v>
      </c>
      <c r="CE502" s="574">
        <v>1164</v>
      </c>
      <c r="CF502" s="574">
        <v>1112</v>
      </c>
      <c r="CG502" s="574">
        <v>1141</v>
      </c>
      <c r="CH502" s="574">
        <v>1175</v>
      </c>
      <c r="CI502" s="574">
        <v>1186</v>
      </c>
      <c r="CJ502" s="574">
        <v>1175</v>
      </c>
      <c r="CK502" s="574">
        <v>999</v>
      </c>
      <c r="CL502" s="574">
        <v>920</v>
      </c>
      <c r="CM502" s="574">
        <v>863</v>
      </c>
      <c r="CN502" s="574">
        <v>789</v>
      </c>
      <c r="CO502" s="574">
        <v>736</v>
      </c>
      <c r="CP502" s="574">
        <v>619</v>
      </c>
      <c r="CQ502" s="574">
        <v>561</v>
      </c>
      <c r="CR502" s="574">
        <v>506</v>
      </c>
      <c r="CS502" s="574">
        <v>445</v>
      </c>
      <c r="CT502" s="574">
        <v>454</v>
      </c>
      <c r="CU502" s="574">
        <v>361</v>
      </c>
      <c r="CV502" s="574">
        <v>330</v>
      </c>
      <c r="CW502" s="574">
        <v>265</v>
      </c>
      <c r="CX502" s="574">
        <v>198</v>
      </c>
      <c r="CY502" s="574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3">
      <c r="A503" s="30" t="s">
        <v>34</v>
      </c>
      <c r="B503" s="1" t="s">
        <v>537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574">
        <v>276</v>
      </c>
      <c r="N503" s="574">
        <v>237</v>
      </c>
      <c r="O503" s="574">
        <v>271</v>
      </c>
      <c r="P503" s="574">
        <v>294</v>
      </c>
      <c r="Q503" s="574">
        <v>285</v>
      </c>
      <c r="R503" s="574">
        <v>312</v>
      </c>
      <c r="S503" s="574">
        <v>341</v>
      </c>
      <c r="T503" s="574">
        <v>317</v>
      </c>
      <c r="U503" s="574">
        <v>309</v>
      </c>
      <c r="V503" s="574">
        <v>360</v>
      </c>
      <c r="W503" s="574">
        <v>360</v>
      </c>
      <c r="X503" s="574">
        <v>370</v>
      </c>
      <c r="Y503" s="574">
        <v>368</v>
      </c>
      <c r="Z503" s="574">
        <v>326</v>
      </c>
      <c r="AA503" s="574">
        <v>334</v>
      </c>
      <c r="AB503" s="574">
        <v>346</v>
      </c>
      <c r="AC503" s="574">
        <v>355</v>
      </c>
      <c r="AD503" s="574">
        <v>378</v>
      </c>
      <c r="AE503" s="574">
        <v>435</v>
      </c>
      <c r="AF503" s="574">
        <v>855</v>
      </c>
      <c r="AG503" s="574">
        <v>809</v>
      </c>
      <c r="AH503" s="574">
        <v>767</v>
      </c>
      <c r="AI503" s="574">
        <v>615</v>
      </c>
      <c r="AJ503" s="574">
        <v>548</v>
      </c>
      <c r="AK503" s="574">
        <v>432</v>
      </c>
      <c r="AL503" s="574">
        <v>350</v>
      </c>
      <c r="AM503" s="574">
        <v>336</v>
      </c>
      <c r="AN503" s="574">
        <v>361</v>
      </c>
      <c r="AO503" s="574">
        <v>363</v>
      </c>
      <c r="AP503" s="574">
        <v>307</v>
      </c>
      <c r="AQ503" s="574">
        <v>338</v>
      </c>
      <c r="AR503" s="574">
        <v>347</v>
      </c>
      <c r="AS503" s="574">
        <v>354</v>
      </c>
      <c r="AT503" s="574">
        <v>356</v>
      </c>
      <c r="AU503" s="574">
        <v>352</v>
      </c>
      <c r="AV503" s="574">
        <v>311</v>
      </c>
      <c r="AW503" s="574">
        <v>316</v>
      </c>
      <c r="AX503" s="574">
        <v>334</v>
      </c>
      <c r="AY503" s="574">
        <v>320</v>
      </c>
      <c r="AZ503" s="574">
        <v>335</v>
      </c>
      <c r="BA503" s="574">
        <v>353</v>
      </c>
      <c r="BB503" s="574">
        <v>347</v>
      </c>
      <c r="BC503" s="574">
        <v>316</v>
      </c>
      <c r="BD503" s="574">
        <v>308</v>
      </c>
      <c r="BE503" s="574">
        <v>280</v>
      </c>
      <c r="BF503" s="574">
        <v>309</v>
      </c>
      <c r="BG503" s="574">
        <v>342</v>
      </c>
      <c r="BH503" s="574">
        <v>348</v>
      </c>
      <c r="BI503" s="574">
        <v>356</v>
      </c>
      <c r="BJ503" s="574">
        <v>339</v>
      </c>
      <c r="BK503" s="574">
        <v>402</v>
      </c>
      <c r="BL503" s="574">
        <v>431</v>
      </c>
      <c r="BM503" s="574">
        <v>435</v>
      </c>
      <c r="BN503" s="574">
        <v>504</v>
      </c>
      <c r="BO503" s="574">
        <v>475</v>
      </c>
      <c r="BP503" s="574">
        <v>496</v>
      </c>
      <c r="BQ503" s="574">
        <v>511</v>
      </c>
      <c r="BR503" s="574">
        <v>501</v>
      </c>
      <c r="BS503" s="574">
        <v>541</v>
      </c>
      <c r="BT503" s="574">
        <v>553</v>
      </c>
      <c r="BU503" s="574">
        <v>538</v>
      </c>
      <c r="BV503" s="574">
        <v>517</v>
      </c>
      <c r="BW503" s="574">
        <v>495</v>
      </c>
      <c r="BX503" s="574">
        <v>529</v>
      </c>
      <c r="BY503" s="574">
        <v>518</v>
      </c>
      <c r="BZ503" s="574">
        <v>495</v>
      </c>
      <c r="CA503" s="574">
        <v>519</v>
      </c>
      <c r="CB503" s="574">
        <v>491</v>
      </c>
      <c r="CC503" s="574">
        <v>490</v>
      </c>
      <c r="CD503" s="574">
        <v>448</v>
      </c>
      <c r="CE503" s="574">
        <v>472</v>
      </c>
      <c r="CF503" s="574">
        <v>453</v>
      </c>
      <c r="CG503" s="574">
        <v>454</v>
      </c>
      <c r="CH503" s="574">
        <v>509</v>
      </c>
      <c r="CI503" s="574">
        <v>531</v>
      </c>
      <c r="CJ503" s="574">
        <v>500</v>
      </c>
      <c r="CK503" s="574">
        <v>376</v>
      </c>
      <c r="CL503" s="574">
        <v>376</v>
      </c>
      <c r="CM503" s="574">
        <v>354</v>
      </c>
      <c r="CN503" s="574">
        <v>347</v>
      </c>
      <c r="CO503" s="574">
        <v>289</v>
      </c>
      <c r="CP503" s="574">
        <v>213</v>
      </c>
      <c r="CQ503" s="574">
        <v>241</v>
      </c>
      <c r="CR503" s="574">
        <v>198</v>
      </c>
      <c r="CS503" s="574">
        <v>175</v>
      </c>
      <c r="CT503" s="574">
        <v>168</v>
      </c>
      <c r="CU503" s="574">
        <v>134</v>
      </c>
      <c r="CV503" s="574">
        <v>115</v>
      </c>
      <c r="CW503" s="574">
        <v>97</v>
      </c>
      <c r="CX503" s="574">
        <v>84</v>
      </c>
      <c r="CY503" s="574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3">
      <c r="A504" s="30" t="s">
        <v>34</v>
      </c>
      <c r="B504" s="1" t="s">
        <v>538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574">
        <v>483</v>
      </c>
      <c r="N504" s="574">
        <v>469</v>
      </c>
      <c r="O504" s="574">
        <v>522</v>
      </c>
      <c r="P504" s="574">
        <v>523</v>
      </c>
      <c r="Q504" s="574">
        <v>549</v>
      </c>
      <c r="R504" s="574">
        <v>540</v>
      </c>
      <c r="S504" s="574">
        <v>563</v>
      </c>
      <c r="T504" s="574">
        <v>620</v>
      </c>
      <c r="U504" s="574">
        <v>583</v>
      </c>
      <c r="V504" s="574">
        <v>622</v>
      </c>
      <c r="W504" s="574">
        <v>611</v>
      </c>
      <c r="X504" s="574">
        <v>686</v>
      </c>
      <c r="Y504" s="574">
        <v>621</v>
      </c>
      <c r="Z504" s="574">
        <v>634</v>
      </c>
      <c r="AA504" s="574">
        <v>601</v>
      </c>
      <c r="AB504" s="574">
        <v>642</v>
      </c>
      <c r="AC504" s="574">
        <v>627</v>
      </c>
      <c r="AD504" s="574">
        <v>641</v>
      </c>
      <c r="AE504" s="574">
        <v>613</v>
      </c>
      <c r="AF504" s="574">
        <v>404</v>
      </c>
      <c r="AG504" s="574">
        <v>422</v>
      </c>
      <c r="AH504" s="574">
        <v>441</v>
      </c>
      <c r="AI504" s="574">
        <v>543</v>
      </c>
      <c r="AJ504" s="574">
        <v>525</v>
      </c>
      <c r="AK504" s="574">
        <v>583</v>
      </c>
      <c r="AL504" s="574">
        <v>572</v>
      </c>
      <c r="AM504" s="574">
        <v>471</v>
      </c>
      <c r="AN504" s="574">
        <v>561</v>
      </c>
      <c r="AO504" s="574">
        <v>538</v>
      </c>
      <c r="AP504" s="574">
        <v>526</v>
      </c>
      <c r="AQ504" s="574">
        <v>576</v>
      </c>
      <c r="AR504" s="574">
        <v>623</v>
      </c>
      <c r="AS504" s="574">
        <v>576</v>
      </c>
      <c r="AT504" s="574">
        <v>615</v>
      </c>
      <c r="AU504" s="574">
        <v>597</v>
      </c>
      <c r="AV504" s="574">
        <v>594</v>
      </c>
      <c r="AW504" s="574">
        <v>552</v>
      </c>
      <c r="AX504" s="574">
        <v>589</v>
      </c>
      <c r="AY504" s="574">
        <v>559</v>
      </c>
      <c r="AZ504" s="574">
        <v>543</v>
      </c>
      <c r="BA504" s="574">
        <v>551</v>
      </c>
      <c r="BB504" s="574">
        <v>596</v>
      </c>
      <c r="BC504" s="574">
        <v>626</v>
      </c>
      <c r="BD504" s="574">
        <v>555</v>
      </c>
      <c r="BE504" s="574">
        <v>470</v>
      </c>
      <c r="BF504" s="574">
        <v>555</v>
      </c>
      <c r="BG504" s="574">
        <v>559</v>
      </c>
      <c r="BH504" s="574">
        <v>569</v>
      </c>
      <c r="BI504" s="574">
        <v>603</v>
      </c>
      <c r="BJ504" s="574">
        <v>679</v>
      </c>
      <c r="BK504" s="574">
        <v>788</v>
      </c>
      <c r="BL504" s="574">
        <v>775</v>
      </c>
      <c r="BM504" s="574">
        <v>750</v>
      </c>
      <c r="BN504" s="574">
        <v>805</v>
      </c>
      <c r="BO504" s="574">
        <v>775</v>
      </c>
      <c r="BP504" s="574">
        <v>819</v>
      </c>
      <c r="BQ504" s="574">
        <v>862</v>
      </c>
      <c r="BR504" s="574">
        <v>890</v>
      </c>
      <c r="BS504" s="574">
        <v>870</v>
      </c>
      <c r="BT504" s="574">
        <v>881</v>
      </c>
      <c r="BU504" s="574">
        <v>879</v>
      </c>
      <c r="BV504" s="574">
        <v>894</v>
      </c>
      <c r="BW504" s="574">
        <v>876</v>
      </c>
      <c r="BX504" s="574">
        <v>830</v>
      </c>
      <c r="BY504" s="574">
        <v>792</v>
      </c>
      <c r="BZ504" s="574">
        <v>785</v>
      </c>
      <c r="CA504" s="574">
        <v>740</v>
      </c>
      <c r="CB504" s="574">
        <v>717</v>
      </c>
      <c r="CC504" s="574">
        <v>789</v>
      </c>
      <c r="CD504" s="574">
        <v>744</v>
      </c>
      <c r="CE504" s="574">
        <v>734</v>
      </c>
      <c r="CF504" s="574">
        <v>780</v>
      </c>
      <c r="CG504" s="574">
        <v>723</v>
      </c>
      <c r="CH504" s="574">
        <v>809</v>
      </c>
      <c r="CI504" s="574">
        <v>853</v>
      </c>
      <c r="CJ504" s="574">
        <v>851</v>
      </c>
      <c r="CK504" s="574">
        <v>673</v>
      </c>
      <c r="CL504" s="574">
        <v>628</v>
      </c>
      <c r="CM504" s="574">
        <v>602</v>
      </c>
      <c r="CN504" s="574">
        <v>548</v>
      </c>
      <c r="CO504" s="574">
        <v>479</v>
      </c>
      <c r="CP504" s="574">
        <v>400</v>
      </c>
      <c r="CQ504" s="574">
        <v>367</v>
      </c>
      <c r="CR504" s="574">
        <v>373</v>
      </c>
      <c r="CS504" s="574">
        <v>296</v>
      </c>
      <c r="CT504" s="574">
        <v>289</v>
      </c>
      <c r="CU504" s="574">
        <v>267</v>
      </c>
      <c r="CV504" s="574">
        <v>251</v>
      </c>
      <c r="CW504" s="574">
        <v>195</v>
      </c>
      <c r="CX504" s="574">
        <v>194</v>
      </c>
      <c r="CY504" s="574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3">
      <c r="A505" s="30" t="s">
        <v>34</v>
      </c>
      <c r="B505" s="1" t="s">
        <v>539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574">
        <v>457</v>
      </c>
      <c r="N505" s="574">
        <v>493</v>
      </c>
      <c r="O505" s="574">
        <v>520</v>
      </c>
      <c r="P505" s="574">
        <v>480</v>
      </c>
      <c r="Q505" s="574">
        <v>486</v>
      </c>
      <c r="R505" s="574">
        <v>551</v>
      </c>
      <c r="S505" s="574">
        <v>523</v>
      </c>
      <c r="T505" s="574">
        <v>558</v>
      </c>
      <c r="U505" s="574">
        <v>524</v>
      </c>
      <c r="V505" s="574">
        <v>561</v>
      </c>
      <c r="W505" s="574">
        <v>567</v>
      </c>
      <c r="X505" s="574">
        <v>592</v>
      </c>
      <c r="Y505" s="574">
        <v>615</v>
      </c>
      <c r="Z505" s="574">
        <v>593</v>
      </c>
      <c r="AA505" s="574">
        <v>609</v>
      </c>
      <c r="AB505" s="574">
        <v>587</v>
      </c>
      <c r="AC505" s="574">
        <v>587</v>
      </c>
      <c r="AD505" s="574">
        <v>627</v>
      </c>
      <c r="AE505" s="574">
        <v>551</v>
      </c>
      <c r="AF505" s="574">
        <v>439</v>
      </c>
      <c r="AG505" s="574">
        <v>422</v>
      </c>
      <c r="AH505" s="574">
        <v>434</v>
      </c>
      <c r="AI505" s="574">
        <v>423</v>
      </c>
      <c r="AJ505" s="574">
        <v>470</v>
      </c>
      <c r="AK505" s="574">
        <v>490</v>
      </c>
      <c r="AL505" s="574">
        <v>482</v>
      </c>
      <c r="AM505" s="574">
        <v>514</v>
      </c>
      <c r="AN505" s="574">
        <v>470</v>
      </c>
      <c r="AO505" s="574">
        <v>500</v>
      </c>
      <c r="AP505" s="574">
        <v>483</v>
      </c>
      <c r="AQ505" s="574">
        <v>507</v>
      </c>
      <c r="AR505" s="574">
        <v>516</v>
      </c>
      <c r="AS505" s="574">
        <v>511</v>
      </c>
      <c r="AT505" s="574">
        <v>471</v>
      </c>
      <c r="AU505" s="574">
        <v>530</v>
      </c>
      <c r="AV505" s="574">
        <v>513</v>
      </c>
      <c r="AW505" s="574">
        <v>510</v>
      </c>
      <c r="AX505" s="574">
        <v>477</v>
      </c>
      <c r="AY505" s="574">
        <v>509</v>
      </c>
      <c r="AZ505" s="574">
        <v>424</v>
      </c>
      <c r="BA505" s="574">
        <v>488</v>
      </c>
      <c r="BB505" s="574">
        <v>496</v>
      </c>
      <c r="BC505" s="574">
        <v>500</v>
      </c>
      <c r="BD505" s="574">
        <v>478</v>
      </c>
      <c r="BE505" s="574">
        <v>422</v>
      </c>
      <c r="BF505" s="574">
        <v>464</v>
      </c>
      <c r="BG505" s="574">
        <v>515</v>
      </c>
      <c r="BH505" s="574">
        <v>516</v>
      </c>
      <c r="BI505" s="574">
        <v>525</v>
      </c>
      <c r="BJ505" s="574">
        <v>532</v>
      </c>
      <c r="BK505" s="574">
        <v>646</v>
      </c>
      <c r="BL505" s="574">
        <v>654</v>
      </c>
      <c r="BM505" s="574">
        <v>645</v>
      </c>
      <c r="BN505" s="574">
        <v>662</v>
      </c>
      <c r="BO505" s="574">
        <v>643</v>
      </c>
      <c r="BP505" s="574">
        <v>715</v>
      </c>
      <c r="BQ505" s="574">
        <v>681</v>
      </c>
      <c r="BR505" s="574">
        <v>758</v>
      </c>
      <c r="BS505" s="574">
        <v>746</v>
      </c>
      <c r="BT505" s="574">
        <v>697</v>
      </c>
      <c r="BU505" s="574">
        <v>737</v>
      </c>
      <c r="BV505" s="574">
        <v>654</v>
      </c>
      <c r="BW505" s="574">
        <v>713</v>
      </c>
      <c r="BX505" s="574">
        <v>665</v>
      </c>
      <c r="BY505" s="574">
        <v>635</v>
      </c>
      <c r="BZ505" s="574">
        <v>637</v>
      </c>
      <c r="CA505" s="574">
        <v>603</v>
      </c>
      <c r="CB505" s="574">
        <v>603</v>
      </c>
      <c r="CC505" s="574">
        <v>596</v>
      </c>
      <c r="CD505" s="574">
        <v>599</v>
      </c>
      <c r="CE505" s="574">
        <v>543</v>
      </c>
      <c r="CF505" s="574">
        <v>547</v>
      </c>
      <c r="CG505" s="574">
        <v>614</v>
      </c>
      <c r="CH505" s="574">
        <v>653</v>
      </c>
      <c r="CI505" s="574">
        <v>674</v>
      </c>
      <c r="CJ505" s="574">
        <v>666</v>
      </c>
      <c r="CK505" s="574">
        <v>469</v>
      </c>
      <c r="CL505" s="574">
        <v>446</v>
      </c>
      <c r="CM505" s="574">
        <v>473</v>
      </c>
      <c r="CN505" s="574">
        <v>443</v>
      </c>
      <c r="CO505" s="574">
        <v>359</v>
      </c>
      <c r="CP505" s="574">
        <v>328</v>
      </c>
      <c r="CQ505" s="574">
        <v>290</v>
      </c>
      <c r="CR505" s="574">
        <v>259</v>
      </c>
      <c r="CS505" s="574">
        <v>236</v>
      </c>
      <c r="CT505" s="574">
        <v>224</v>
      </c>
      <c r="CU505" s="574">
        <v>181</v>
      </c>
      <c r="CV505" s="574">
        <v>162</v>
      </c>
      <c r="CW505" s="574">
        <v>127</v>
      </c>
      <c r="CX505" s="574">
        <v>108</v>
      </c>
      <c r="CY505" s="574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3">
      <c r="A506" s="30" t="s">
        <v>34</v>
      </c>
      <c r="B506" s="1" t="s">
        <v>540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574">
        <v>701</v>
      </c>
      <c r="N506" s="574">
        <v>780</v>
      </c>
      <c r="O506" s="574">
        <v>775</v>
      </c>
      <c r="P506" s="574">
        <v>770</v>
      </c>
      <c r="Q506" s="574">
        <v>817</v>
      </c>
      <c r="R506" s="574">
        <v>825</v>
      </c>
      <c r="S506" s="574">
        <v>849</v>
      </c>
      <c r="T506" s="574">
        <v>888</v>
      </c>
      <c r="U506" s="574">
        <v>904</v>
      </c>
      <c r="V506" s="574">
        <v>899</v>
      </c>
      <c r="W506" s="574">
        <v>971</v>
      </c>
      <c r="X506" s="574">
        <v>933</v>
      </c>
      <c r="Y506" s="574">
        <v>1008</v>
      </c>
      <c r="Z506" s="574">
        <v>933</v>
      </c>
      <c r="AA506" s="574">
        <v>1033</v>
      </c>
      <c r="AB506" s="574">
        <v>950</v>
      </c>
      <c r="AC506" s="574">
        <v>903</v>
      </c>
      <c r="AD506" s="574">
        <v>944</v>
      </c>
      <c r="AE506" s="574">
        <v>881</v>
      </c>
      <c r="AF506" s="574">
        <v>661</v>
      </c>
      <c r="AG506" s="574">
        <v>648</v>
      </c>
      <c r="AH506" s="574">
        <v>673</v>
      </c>
      <c r="AI506" s="574">
        <v>728</v>
      </c>
      <c r="AJ506" s="574">
        <v>844</v>
      </c>
      <c r="AK506" s="574">
        <v>853</v>
      </c>
      <c r="AL506" s="574">
        <v>829</v>
      </c>
      <c r="AM506" s="574">
        <v>799</v>
      </c>
      <c r="AN506" s="574">
        <v>822</v>
      </c>
      <c r="AO506" s="574">
        <v>837</v>
      </c>
      <c r="AP506" s="574">
        <v>879</v>
      </c>
      <c r="AQ506" s="574">
        <v>1004</v>
      </c>
      <c r="AR506" s="574">
        <v>928</v>
      </c>
      <c r="AS506" s="574">
        <v>919</v>
      </c>
      <c r="AT506" s="574">
        <v>961</v>
      </c>
      <c r="AU506" s="574">
        <v>970</v>
      </c>
      <c r="AV506" s="574">
        <v>947</v>
      </c>
      <c r="AW506" s="574">
        <v>978</v>
      </c>
      <c r="AX506" s="574">
        <v>903</v>
      </c>
      <c r="AY506" s="574">
        <v>860</v>
      </c>
      <c r="AZ506" s="574">
        <v>889</v>
      </c>
      <c r="BA506" s="574">
        <v>925</v>
      </c>
      <c r="BB506" s="574">
        <v>916</v>
      </c>
      <c r="BC506" s="574">
        <v>930</v>
      </c>
      <c r="BD506" s="574">
        <v>875</v>
      </c>
      <c r="BE506" s="574">
        <v>855</v>
      </c>
      <c r="BF506" s="574">
        <v>802</v>
      </c>
      <c r="BG506" s="574">
        <v>825</v>
      </c>
      <c r="BH506" s="574">
        <v>925</v>
      </c>
      <c r="BI506" s="574">
        <v>970</v>
      </c>
      <c r="BJ506" s="574">
        <v>989</v>
      </c>
      <c r="BK506" s="574">
        <v>1124</v>
      </c>
      <c r="BL506" s="574">
        <v>1159</v>
      </c>
      <c r="BM506" s="574">
        <v>1172</v>
      </c>
      <c r="BN506" s="574">
        <v>1222</v>
      </c>
      <c r="BO506" s="574">
        <v>1193</v>
      </c>
      <c r="BP506" s="574">
        <v>1115</v>
      </c>
      <c r="BQ506" s="574">
        <v>1116</v>
      </c>
      <c r="BR506" s="574">
        <v>1156</v>
      </c>
      <c r="BS506" s="574">
        <v>1196</v>
      </c>
      <c r="BT506" s="574">
        <v>1096</v>
      </c>
      <c r="BU506" s="574">
        <v>1149</v>
      </c>
      <c r="BV506" s="574">
        <v>1060</v>
      </c>
      <c r="BW506" s="574">
        <v>1024</v>
      </c>
      <c r="BX506" s="574">
        <v>1036</v>
      </c>
      <c r="BY506" s="574">
        <v>912</v>
      </c>
      <c r="BZ506" s="574">
        <v>883</v>
      </c>
      <c r="CA506" s="574">
        <v>867</v>
      </c>
      <c r="CB506" s="574">
        <v>793</v>
      </c>
      <c r="CC506" s="574">
        <v>812</v>
      </c>
      <c r="CD506" s="574">
        <v>850</v>
      </c>
      <c r="CE506" s="574">
        <v>761</v>
      </c>
      <c r="CF506" s="574">
        <v>877</v>
      </c>
      <c r="CG506" s="574">
        <v>832</v>
      </c>
      <c r="CH506" s="574">
        <v>891</v>
      </c>
      <c r="CI506" s="574">
        <v>922</v>
      </c>
      <c r="CJ506" s="574">
        <v>1006</v>
      </c>
      <c r="CK506" s="574">
        <v>637</v>
      </c>
      <c r="CL506" s="574">
        <v>646</v>
      </c>
      <c r="CM506" s="574">
        <v>660</v>
      </c>
      <c r="CN506" s="574">
        <v>553</v>
      </c>
      <c r="CO506" s="574">
        <v>481</v>
      </c>
      <c r="CP506" s="574">
        <v>430</v>
      </c>
      <c r="CQ506" s="574">
        <v>426</v>
      </c>
      <c r="CR506" s="574">
        <v>354</v>
      </c>
      <c r="CS506" s="574">
        <v>350</v>
      </c>
      <c r="CT506" s="574">
        <v>287</v>
      </c>
      <c r="CU506" s="574">
        <v>257</v>
      </c>
      <c r="CV506" s="574">
        <v>212</v>
      </c>
      <c r="CW506" s="574">
        <v>170</v>
      </c>
      <c r="CX506" s="574">
        <v>138</v>
      </c>
      <c r="CY506" s="574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3">
      <c r="A507" s="30" t="s">
        <v>34</v>
      </c>
      <c r="B507" s="1" t="s">
        <v>541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574">
        <v>554</v>
      </c>
      <c r="N507" s="574">
        <v>518</v>
      </c>
      <c r="O507" s="574">
        <v>550</v>
      </c>
      <c r="P507" s="574">
        <v>548</v>
      </c>
      <c r="Q507" s="574">
        <v>593</v>
      </c>
      <c r="R507" s="574">
        <v>563</v>
      </c>
      <c r="S507" s="574">
        <v>656</v>
      </c>
      <c r="T507" s="574">
        <v>596</v>
      </c>
      <c r="U507" s="574">
        <v>662</v>
      </c>
      <c r="V507" s="574">
        <v>660</v>
      </c>
      <c r="W507" s="574">
        <v>664</v>
      </c>
      <c r="X507" s="574">
        <v>666</v>
      </c>
      <c r="Y507" s="574">
        <v>714</v>
      </c>
      <c r="Z507" s="574">
        <v>665</v>
      </c>
      <c r="AA507" s="574">
        <v>674</v>
      </c>
      <c r="AB507" s="574">
        <v>671</v>
      </c>
      <c r="AC507" s="574">
        <v>653</v>
      </c>
      <c r="AD507" s="574">
        <v>618</v>
      </c>
      <c r="AE507" s="574">
        <v>660</v>
      </c>
      <c r="AF507" s="574">
        <v>869</v>
      </c>
      <c r="AG507" s="574">
        <v>893</v>
      </c>
      <c r="AH507" s="574">
        <v>930</v>
      </c>
      <c r="AI507" s="574">
        <v>871</v>
      </c>
      <c r="AJ507" s="574">
        <v>777</v>
      </c>
      <c r="AK507" s="574">
        <v>709</v>
      </c>
      <c r="AL507" s="574">
        <v>648</v>
      </c>
      <c r="AM507" s="574">
        <v>637</v>
      </c>
      <c r="AN507" s="574">
        <v>635</v>
      </c>
      <c r="AO507" s="574">
        <v>676</v>
      </c>
      <c r="AP507" s="574">
        <v>659</v>
      </c>
      <c r="AQ507" s="574">
        <v>661</v>
      </c>
      <c r="AR507" s="574">
        <v>643</v>
      </c>
      <c r="AS507" s="574">
        <v>663</v>
      </c>
      <c r="AT507" s="574">
        <v>677</v>
      </c>
      <c r="AU507" s="574">
        <v>680</v>
      </c>
      <c r="AV507" s="574">
        <v>704</v>
      </c>
      <c r="AW507" s="574">
        <v>572</v>
      </c>
      <c r="AX507" s="574">
        <v>595</v>
      </c>
      <c r="AY507" s="574">
        <v>582</v>
      </c>
      <c r="AZ507" s="574">
        <v>586</v>
      </c>
      <c r="BA507" s="574">
        <v>589</v>
      </c>
      <c r="BB507" s="574">
        <v>603</v>
      </c>
      <c r="BC507" s="574">
        <v>613</v>
      </c>
      <c r="BD507" s="574">
        <v>569</v>
      </c>
      <c r="BE507" s="574">
        <v>557</v>
      </c>
      <c r="BF507" s="574">
        <v>575</v>
      </c>
      <c r="BG507" s="574">
        <v>581</v>
      </c>
      <c r="BH507" s="574">
        <v>606</v>
      </c>
      <c r="BI507" s="574">
        <v>678</v>
      </c>
      <c r="BJ507" s="574">
        <v>722</v>
      </c>
      <c r="BK507" s="574">
        <v>767</v>
      </c>
      <c r="BL507" s="574">
        <v>811</v>
      </c>
      <c r="BM507" s="574">
        <v>804</v>
      </c>
      <c r="BN507" s="574">
        <v>775</v>
      </c>
      <c r="BO507" s="574">
        <v>801</v>
      </c>
      <c r="BP507" s="574">
        <v>799</v>
      </c>
      <c r="BQ507" s="574">
        <v>858</v>
      </c>
      <c r="BR507" s="574">
        <v>866</v>
      </c>
      <c r="BS507" s="574">
        <v>874</v>
      </c>
      <c r="BT507" s="574">
        <v>888</v>
      </c>
      <c r="BU507" s="574">
        <v>867</v>
      </c>
      <c r="BV507" s="574">
        <v>849</v>
      </c>
      <c r="BW507" s="574">
        <v>771</v>
      </c>
      <c r="BX507" s="574">
        <v>768</v>
      </c>
      <c r="BY507" s="574">
        <v>811</v>
      </c>
      <c r="BZ507" s="574">
        <v>756</v>
      </c>
      <c r="CA507" s="574">
        <v>711</v>
      </c>
      <c r="CB507" s="574">
        <v>727</v>
      </c>
      <c r="CC507" s="574">
        <v>675</v>
      </c>
      <c r="CD507" s="574">
        <v>709</v>
      </c>
      <c r="CE507" s="574">
        <v>650</v>
      </c>
      <c r="CF507" s="574">
        <v>649</v>
      </c>
      <c r="CG507" s="574">
        <v>649</v>
      </c>
      <c r="CH507" s="574">
        <v>729</v>
      </c>
      <c r="CI507" s="574">
        <v>764</v>
      </c>
      <c r="CJ507" s="574">
        <v>736</v>
      </c>
      <c r="CK507" s="574">
        <v>589</v>
      </c>
      <c r="CL507" s="574">
        <v>522</v>
      </c>
      <c r="CM507" s="574">
        <v>521</v>
      </c>
      <c r="CN507" s="574">
        <v>483</v>
      </c>
      <c r="CO507" s="574">
        <v>379</v>
      </c>
      <c r="CP507" s="574">
        <v>308</v>
      </c>
      <c r="CQ507" s="574">
        <v>331</v>
      </c>
      <c r="CR507" s="574">
        <v>327</v>
      </c>
      <c r="CS507" s="574">
        <v>274</v>
      </c>
      <c r="CT507" s="574">
        <v>248</v>
      </c>
      <c r="CU507" s="574">
        <v>221</v>
      </c>
      <c r="CV507" s="574">
        <v>181</v>
      </c>
      <c r="CW507" s="574">
        <v>162</v>
      </c>
      <c r="CX507" s="574">
        <v>135</v>
      </c>
      <c r="CY507" s="574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3">
      <c r="A508" s="30" t="s">
        <v>34</v>
      </c>
      <c r="B508" s="1" t="s">
        <v>542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574">
        <v>273</v>
      </c>
      <c r="N508" s="574">
        <v>322</v>
      </c>
      <c r="O508" s="574">
        <v>305</v>
      </c>
      <c r="P508" s="574">
        <v>320</v>
      </c>
      <c r="Q508" s="574">
        <v>334</v>
      </c>
      <c r="R508" s="574">
        <v>383</v>
      </c>
      <c r="S508" s="574">
        <v>383</v>
      </c>
      <c r="T508" s="574">
        <v>361</v>
      </c>
      <c r="U508" s="574">
        <v>383</v>
      </c>
      <c r="V508" s="574">
        <v>411</v>
      </c>
      <c r="W508" s="574">
        <v>394</v>
      </c>
      <c r="X508" s="574">
        <v>440</v>
      </c>
      <c r="Y508" s="574">
        <v>405</v>
      </c>
      <c r="Z508" s="574">
        <v>438</v>
      </c>
      <c r="AA508" s="574">
        <v>385</v>
      </c>
      <c r="AB508" s="574">
        <v>392</v>
      </c>
      <c r="AC508" s="574">
        <v>391</v>
      </c>
      <c r="AD508" s="574">
        <v>389</v>
      </c>
      <c r="AE508" s="574">
        <v>348</v>
      </c>
      <c r="AF508" s="574">
        <v>299</v>
      </c>
      <c r="AG508" s="574">
        <v>302</v>
      </c>
      <c r="AH508" s="574">
        <v>273</v>
      </c>
      <c r="AI508" s="574">
        <v>297</v>
      </c>
      <c r="AJ508" s="574">
        <v>367</v>
      </c>
      <c r="AK508" s="574">
        <v>299</v>
      </c>
      <c r="AL508" s="574">
        <v>316</v>
      </c>
      <c r="AM508" s="574">
        <v>341</v>
      </c>
      <c r="AN508" s="574">
        <v>319</v>
      </c>
      <c r="AO508" s="574">
        <v>363</v>
      </c>
      <c r="AP508" s="574">
        <v>338</v>
      </c>
      <c r="AQ508" s="574">
        <v>332</v>
      </c>
      <c r="AR508" s="574">
        <v>349</v>
      </c>
      <c r="AS508" s="574">
        <v>346</v>
      </c>
      <c r="AT508" s="574">
        <v>349</v>
      </c>
      <c r="AU508" s="574">
        <v>381</v>
      </c>
      <c r="AV508" s="574">
        <v>373</v>
      </c>
      <c r="AW508" s="574">
        <v>310</v>
      </c>
      <c r="AX508" s="574">
        <v>347</v>
      </c>
      <c r="AY508" s="574">
        <v>371</v>
      </c>
      <c r="AZ508" s="574">
        <v>328</v>
      </c>
      <c r="BA508" s="574">
        <v>331</v>
      </c>
      <c r="BB508" s="574">
        <v>346</v>
      </c>
      <c r="BC508" s="574">
        <v>345</v>
      </c>
      <c r="BD508" s="574">
        <v>373</v>
      </c>
      <c r="BE508" s="574">
        <v>321</v>
      </c>
      <c r="BF508" s="574">
        <v>306</v>
      </c>
      <c r="BG508" s="574">
        <v>326</v>
      </c>
      <c r="BH508" s="574">
        <v>357</v>
      </c>
      <c r="BI508" s="574">
        <v>373</v>
      </c>
      <c r="BJ508" s="574">
        <v>436</v>
      </c>
      <c r="BK508" s="574">
        <v>448</v>
      </c>
      <c r="BL508" s="574">
        <v>493</v>
      </c>
      <c r="BM508" s="574">
        <v>440</v>
      </c>
      <c r="BN508" s="574">
        <v>466</v>
      </c>
      <c r="BO508" s="574">
        <v>481</v>
      </c>
      <c r="BP508" s="574">
        <v>523</v>
      </c>
      <c r="BQ508" s="574">
        <v>490</v>
      </c>
      <c r="BR508" s="574">
        <v>546</v>
      </c>
      <c r="BS508" s="574">
        <v>515</v>
      </c>
      <c r="BT508" s="574">
        <v>563</v>
      </c>
      <c r="BU508" s="574">
        <v>503</v>
      </c>
      <c r="BV508" s="574">
        <v>511</v>
      </c>
      <c r="BW508" s="574">
        <v>539</v>
      </c>
      <c r="BX508" s="574">
        <v>521</v>
      </c>
      <c r="BY508" s="574">
        <v>482</v>
      </c>
      <c r="BZ508" s="574">
        <v>468</v>
      </c>
      <c r="CA508" s="574">
        <v>489</v>
      </c>
      <c r="CB508" s="574">
        <v>476</v>
      </c>
      <c r="CC508" s="574">
        <v>458</v>
      </c>
      <c r="CD508" s="574">
        <v>460</v>
      </c>
      <c r="CE508" s="574">
        <v>458</v>
      </c>
      <c r="CF508" s="574">
        <v>438</v>
      </c>
      <c r="CG508" s="574">
        <v>468</v>
      </c>
      <c r="CH508" s="574">
        <v>490</v>
      </c>
      <c r="CI508" s="574">
        <v>504</v>
      </c>
      <c r="CJ508" s="574">
        <v>484</v>
      </c>
      <c r="CK508" s="574">
        <v>343</v>
      </c>
      <c r="CL508" s="574">
        <v>365</v>
      </c>
      <c r="CM508" s="574">
        <v>374</v>
      </c>
      <c r="CN508" s="574">
        <v>344</v>
      </c>
      <c r="CO508" s="574">
        <v>273</v>
      </c>
      <c r="CP508" s="574">
        <v>244</v>
      </c>
      <c r="CQ508" s="574">
        <v>233</v>
      </c>
      <c r="CR508" s="574">
        <v>249</v>
      </c>
      <c r="CS508" s="574">
        <v>194</v>
      </c>
      <c r="CT508" s="574">
        <v>174</v>
      </c>
      <c r="CU508" s="574">
        <v>143</v>
      </c>
      <c r="CV508" s="574">
        <v>115</v>
      </c>
      <c r="CW508" s="574">
        <v>82</v>
      </c>
      <c r="CX508" s="574">
        <v>77</v>
      </c>
      <c r="CY508" s="574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3">
      <c r="A509" s="30" t="s">
        <v>34</v>
      </c>
      <c r="B509" s="1" t="s">
        <v>543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574">
        <v>322</v>
      </c>
      <c r="N509" s="574">
        <v>325</v>
      </c>
      <c r="O509" s="574">
        <v>329</v>
      </c>
      <c r="P509" s="574">
        <v>309</v>
      </c>
      <c r="Q509" s="574">
        <v>371</v>
      </c>
      <c r="R509" s="574">
        <v>402</v>
      </c>
      <c r="S509" s="574">
        <v>381</v>
      </c>
      <c r="T509" s="574">
        <v>384</v>
      </c>
      <c r="U509" s="574">
        <v>350</v>
      </c>
      <c r="V509" s="574">
        <v>355</v>
      </c>
      <c r="W509" s="574">
        <v>378</v>
      </c>
      <c r="X509" s="574">
        <v>405</v>
      </c>
      <c r="Y509" s="574">
        <v>360</v>
      </c>
      <c r="Z509" s="574">
        <v>363</v>
      </c>
      <c r="AA509" s="574">
        <v>375</v>
      </c>
      <c r="AB509" s="574">
        <v>379</v>
      </c>
      <c r="AC509" s="574">
        <v>337</v>
      </c>
      <c r="AD509" s="574">
        <v>307</v>
      </c>
      <c r="AE509" s="574">
        <v>319</v>
      </c>
      <c r="AF509" s="574">
        <v>333</v>
      </c>
      <c r="AG509" s="574">
        <v>297</v>
      </c>
      <c r="AH509" s="574">
        <v>289</v>
      </c>
      <c r="AI509" s="574">
        <v>333</v>
      </c>
      <c r="AJ509" s="574">
        <v>329</v>
      </c>
      <c r="AK509" s="574">
        <v>314</v>
      </c>
      <c r="AL509" s="574">
        <v>356</v>
      </c>
      <c r="AM509" s="574">
        <v>342</v>
      </c>
      <c r="AN509" s="574">
        <v>329</v>
      </c>
      <c r="AO509" s="574">
        <v>375</v>
      </c>
      <c r="AP509" s="574">
        <v>373</v>
      </c>
      <c r="AQ509" s="574">
        <v>362</v>
      </c>
      <c r="AR509" s="574">
        <v>382</v>
      </c>
      <c r="AS509" s="574">
        <v>390</v>
      </c>
      <c r="AT509" s="574">
        <v>371</v>
      </c>
      <c r="AU509" s="574">
        <v>386</v>
      </c>
      <c r="AV509" s="574">
        <v>397</v>
      </c>
      <c r="AW509" s="574">
        <v>396</v>
      </c>
      <c r="AX509" s="574">
        <v>417</v>
      </c>
      <c r="AY509" s="574">
        <v>405</v>
      </c>
      <c r="AZ509" s="574">
        <v>353</v>
      </c>
      <c r="BA509" s="574">
        <v>345</v>
      </c>
      <c r="BB509" s="574">
        <v>368</v>
      </c>
      <c r="BC509" s="574">
        <v>386</v>
      </c>
      <c r="BD509" s="574">
        <v>340</v>
      </c>
      <c r="BE509" s="574">
        <v>284</v>
      </c>
      <c r="BF509" s="574">
        <v>280</v>
      </c>
      <c r="BG509" s="574">
        <v>319</v>
      </c>
      <c r="BH509" s="574">
        <v>331</v>
      </c>
      <c r="BI509" s="574">
        <v>303</v>
      </c>
      <c r="BJ509" s="574">
        <v>340</v>
      </c>
      <c r="BK509" s="574">
        <v>362</v>
      </c>
      <c r="BL509" s="574">
        <v>394</v>
      </c>
      <c r="BM509" s="574">
        <v>378</v>
      </c>
      <c r="BN509" s="574">
        <v>423</v>
      </c>
      <c r="BO509" s="574">
        <v>387</v>
      </c>
      <c r="BP509" s="574">
        <v>385</v>
      </c>
      <c r="BQ509" s="574">
        <v>419</v>
      </c>
      <c r="BR509" s="574">
        <v>416</v>
      </c>
      <c r="BS509" s="574">
        <v>421</v>
      </c>
      <c r="BT509" s="574">
        <v>381</v>
      </c>
      <c r="BU509" s="574">
        <v>405</v>
      </c>
      <c r="BV509" s="574">
        <v>379</v>
      </c>
      <c r="BW509" s="574">
        <v>383</v>
      </c>
      <c r="BX509" s="574">
        <v>405</v>
      </c>
      <c r="BY509" s="574">
        <v>393</v>
      </c>
      <c r="BZ509" s="574">
        <v>324</v>
      </c>
      <c r="CA509" s="574">
        <v>306</v>
      </c>
      <c r="CB509" s="574">
        <v>295</v>
      </c>
      <c r="CC509" s="574">
        <v>323</v>
      </c>
      <c r="CD509" s="574">
        <v>301</v>
      </c>
      <c r="CE509" s="574">
        <v>295</v>
      </c>
      <c r="CF509" s="574">
        <v>300</v>
      </c>
      <c r="CG509" s="574">
        <v>276</v>
      </c>
      <c r="CH509" s="574">
        <v>314</v>
      </c>
      <c r="CI509" s="574">
        <v>295</v>
      </c>
      <c r="CJ509" s="574">
        <v>264</v>
      </c>
      <c r="CK509" s="574">
        <v>208</v>
      </c>
      <c r="CL509" s="574">
        <v>225</v>
      </c>
      <c r="CM509" s="574">
        <v>219</v>
      </c>
      <c r="CN509" s="574">
        <v>190</v>
      </c>
      <c r="CO509" s="574">
        <v>177</v>
      </c>
      <c r="CP509" s="574">
        <v>123</v>
      </c>
      <c r="CQ509" s="574">
        <v>131</v>
      </c>
      <c r="CR509" s="574">
        <v>119</v>
      </c>
      <c r="CS509" s="574">
        <v>109</v>
      </c>
      <c r="CT509" s="574">
        <v>95</v>
      </c>
      <c r="CU509" s="574">
        <v>84</v>
      </c>
      <c r="CV509" s="574">
        <v>76</v>
      </c>
      <c r="CW509" s="574">
        <v>50</v>
      </c>
      <c r="CX509" s="574">
        <v>44</v>
      </c>
      <c r="CY509" s="574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3">
      <c r="A510" s="30" t="s">
        <v>34</v>
      </c>
      <c r="B510" s="1" t="s">
        <v>544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574">
        <v>377</v>
      </c>
      <c r="N510" s="574">
        <v>383</v>
      </c>
      <c r="O510" s="574">
        <v>404</v>
      </c>
      <c r="P510" s="574">
        <v>394</v>
      </c>
      <c r="Q510" s="574">
        <v>447</v>
      </c>
      <c r="R510" s="574">
        <v>478</v>
      </c>
      <c r="S510" s="574">
        <v>490</v>
      </c>
      <c r="T510" s="574">
        <v>485</v>
      </c>
      <c r="U510" s="574">
        <v>489</v>
      </c>
      <c r="V510" s="574">
        <v>501</v>
      </c>
      <c r="W510" s="574">
        <v>531</v>
      </c>
      <c r="X510" s="574">
        <v>542</v>
      </c>
      <c r="Y510" s="574">
        <v>515</v>
      </c>
      <c r="Z510" s="574">
        <v>563</v>
      </c>
      <c r="AA510" s="574">
        <v>550</v>
      </c>
      <c r="AB510" s="574">
        <v>559</v>
      </c>
      <c r="AC510" s="574">
        <v>524</v>
      </c>
      <c r="AD510" s="574">
        <v>545</v>
      </c>
      <c r="AE510" s="574">
        <v>490</v>
      </c>
      <c r="AF510" s="574">
        <v>319</v>
      </c>
      <c r="AG510" s="574">
        <v>335</v>
      </c>
      <c r="AH510" s="574">
        <v>372</v>
      </c>
      <c r="AI510" s="574">
        <v>418</v>
      </c>
      <c r="AJ510" s="574">
        <v>441</v>
      </c>
      <c r="AK510" s="574">
        <v>398</v>
      </c>
      <c r="AL510" s="574">
        <v>495</v>
      </c>
      <c r="AM510" s="574">
        <v>449</v>
      </c>
      <c r="AN510" s="574">
        <v>462</v>
      </c>
      <c r="AO510" s="574">
        <v>457</v>
      </c>
      <c r="AP510" s="574">
        <v>442</v>
      </c>
      <c r="AQ510" s="574">
        <v>500</v>
      </c>
      <c r="AR510" s="574">
        <v>537</v>
      </c>
      <c r="AS510" s="574">
        <v>477</v>
      </c>
      <c r="AT510" s="574">
        <v>516</v>
      </c>
      <c r="AU510" s="574">
        <v>453</v>
      </c>
      <c r="AV510" s="574">
        <v>485</v>
      </c>
      <c r="AW510" s="574">
        <v>490</v>
      </c>
      <c r="AX510" s="574">
        <v>484</v>
      </c>
      <c r="AY510" s="574">
        <v>482</v>
      </c>
      <c r="AZ510" s="574">
        <v>486</v>
      </c>
      <c r="BA510" s="574">
        <v>499</v>
      </c>
      <c r="BB510" s="574">
        <v>471</v>
      </c>
      <c r="BC510" s="574">
        <v>509</v>
      </c>
      <c r="BD510" s="574">
        <v>520</v>
      </c>
      <c r="BE510" s="574">
        <v>463</v>
      </c>
      <c r="BF510" s="574">
        <v>519</v>
      </c>
      <c r="BG510" s="574">
        <v>496</v>
      </c>
      <c r="BH510" s="574">
        <v>549</v>
      </c>
      <c r="BI510" s="574">
        <v>538</v>
      </c>
      <c r="BJ510" s="574">
        <v>592</v>
      </c>
      <c r="BK510" s="574">
        <v>667</v>
      </c>
      <c r="BL510" s="574">
        <v>708</v>
      </c>
      <c r="BM510" s="574">
        <v>648</v>
      </c>
      <c r="BN510" s="574">
        <v>693</v>
      </c>
      <c r="BO510" s="574">
        <v>749</v>
      </c>
      <c r="BP510" s="574">
        <v>752</v>
      </c>
      <c r="BQ510" s="574">
        <v>784</v>
      </c>
      <c r="BR510" s="574">
        <v>766</v>
      </c>
      <c r="BS510" s="574">
        <v>756</v>
      </c>
      <c r="BT510" s="574">
        <v>782</v>
      </c>
      <c r="BU510" s="574">
        <v>721</v>
      </c>
      <c r="BV510" s="574">
        <v>717</v>
      </c>
      <c r="BW510" s="574">
        <v>665</v>
      </c>
      <c r="BX510" s="574">
        <v>635</v>
      </c>
      <c r="BY510" s="574">
        <v>685</v>
      </c>
      <c r="BZ510" s="574">
        <v>628</v>
      </c>
      <c r="CA510" s="574">
        <v>575</v>
      </c>
      <c r="CB510" s="574">
        <v>602</v>
      </c>
      <c r="CC510" s="574">
        <v>554</v>
      </c>
      <c r="CD510" s="574">
        <v>603</v>
      </c>
      <c r="CE510" s="574">
        <v>611</v>
      </c>
      <c r="CF510" s="574">
        <v>578</v>
      </c>
      <c r="CG510" s="574">
        <v>625</v>
      </c>
      <c r="CH510" s="574">
        <v>605</v>
      </c>
      <c r="CI510" s="574">
        <v>606</v>
      </c>
      <c r="CJ510" s="574">
        <v>658</v>
      </c>
      <c r="CK510" s="574">
        <v>487</v>
      </c>
      <c r="CL510" s="574">
        <v>470</v>
      </c>
      <c r="CM510" s="574">
        <v>490</v>
      </c>
      <c r="CN510" s="574">
        <v>437</v>
      </c>
      <c r="CO510" s="574">
        <v>368</v>
      </c>
      <c r="CP510" s="574">
        <v>310</v>
      </c>
      <c r="CQ510" s="574">
        <v>342</v>
      </c>
      <c r="CR510" s="574">
        <v>275</v>
      </c>
      <c r="CS510" s="574">
        <v>241</v>
      </c>
      <c r="CT510" s="574">
        <v>224</v>
      </c>
      <c r="CU510" s="574">
        <v>217</v>
      </c>
      <c r="CV510" s="574">
        <v>168</v>
      </c>
      <c r="CW510" s="574">
        <v>170</v>
      </c>
      <c r="CX510" s="574">
        <v>145</v>
      </c>
      <c r="CY510" s="574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3">
      <c r="A511" s="30" t="s">
        <v>34</v>
      </c>
      <c r="B511" s="1" t="s">
        <v>545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574">
        <v>636</v>
      </c>
      <c r="N511" s="574">
        <v>642</v>
      </c>
      <c r="O511" s="574">
        <v>647</v>
      </c>
      <c r="P511" s="574">
        <v>707</v>
      </c>
      <c r="Q511" s="574">
        <v>762</v>
      </c>
      <c r="R511" s="574">
        <v>761</v>
      </c>
      <c r="S511" s="574">
        <v>825</v>
      </c>
      <c r="T511" s="574">
        <v>811</v>
      </c>
      <c r="U511" s="574">
        <v>818</v>
      </c>
      <c r="V511" s="574">
        <v>783</v>
      </c>
      <c r="W511" s="574">
        <v>915</v>
      </c>
      <c r="X511" s="574">
        <v>922</v>
      </c>
      <c r="Y511" s="574">
        <v>869</v>
      </c>
      <c r="Z511" s="574">
        <v>864</v>
      </c>
      <c r="AA511" s="574">
        <v>873</v>
      </c>
      <c r="AB511" s="574">
        <v>854</v>
      </c>
      <c r="AC511" s="574">
        <v>858</v>
      </c>
      <c r="AD511" s="574">
        <v>823</v>
      </c>
      <c r="AE511" s="574">
        <v>958</v>
      </c>
      <c r="AF511" s="574">
        <v>1502</v>
      </c>
      <c r="AG511" s="574">
        <v>878</v>
      </c>
      <c r="AH511" s="574">
        <v>667</v>
      </c>
      <c r="AI511" s="574">
        <v>607</v>
      </c>
      <c r="AJ511" s="574">
        <v>701</v>
      </c>
      <c r="AK511" s="574">
        <v>688</v>
      </c>
      <c r="AL511" s="574">
        <v>776</v>
      </c>
      <c r="AM511" s="574">
        <v>789</v>
      </c>
      <c r="AN511" s="574">
        <v>806</v>
      </c>
      <c r="AO511" s="574">
        <v>797</v>
      </c>
      <c r="AP511" s="574">
        <v>829</v>
      </c>
      <c r="AQ511" s="574">
        <v>904</v>
      </c>
      <c r="AR511" s="574">
        <v>851</v>
      </c>
      <c r="AS511" s="574">
        <v>855</v>
      </c>
      <c r="AT511" s="574">
        <v>855</v>
      </c>
      <c r="AU511" s="574">
        <v>825</v>
      </c>
      <c r="AV511" s="574">
        <v>845</v>
      </c>
      <c r="AW511" s="574">
        <v>903</v>
      </c>
      <c r="AX511" s="574">
        <v>859</v>
      </c>
      <c r="AY511" s="574">
        <v>868</v>
      </c>
      <c r="AZ511" s="574">
        <v>830</v>
      </c>
      <c r="BA511" s="574">
        <v>830</v>
      </c>
      <c r="BB511" s="574">
        <v>850</v>
      </c>
      <c r="BC511" s="574">
        <v>826</v>
      </c>
      <c r="BD511" s="574">
        <v>853</v>
      </c>
      <c r="BE511" s="574">
        <v>809</v>
      </c>
      <c r="BF511" s="574">
        <v>756</v>
      </c>
      <c r="BG511" s="574">
        <v>746</v>
      </c>
      <c r="BH511" s="574">
        <v>825</v>
      </c>
      <c r="BI511" s="574">
        <v>777</v>
      </c>
      <c r="BJ511" s="574">
        <v>849</v>
      </c>
      <c r="BK511" s="574">
        <v>862</v>
      </c>
      <c r="BL511" s="574">
        <v>954</v>
      </c>
      <c r="BM511" s="574">
        <v>904</v>
      </c>
      <c r="BN511" s="574">
        <v>948</v>
      </c>
      <c r="BO511" s="574">
        <v>1003</v>
      </c>
      <c r="BP511" s="574">
        <v>945</v>
      </c>
      <c r="BQ511" s="574">
        <v>984</v>
      </c>
      <c r="BR511" s="574">
        <v>991</v>
      </c>
      <c r="BS511" s="574">
        <v>1043</v>
      </c>
      <c r="BT511" s="574">
        <v>992</v>
      </c>
      <c r="BU511" s="574">
        <v>975</v>
      </c>
      <c r="BV511" s="574">
        <v>943</v>
      </c>
      <c r="BW511" s="574">
        <v>960</v>
      </c>
      <c r="BX511" s="574">
        <v>888</v>
      </c>
      <c r="BY511" s="574">
        <v>1006</v>
      </c>
      <c r="BZ511" s="574">
        <v>870</v>
      </c>
      <c r="CA511" s="574">
        <v>796</v>
      </c>
      <c r="CB511" s="574">
        <v>802</v>
      </c>
      <c r="CC511" s="574">
        <v>793</v>
      </c>
      <c r="CD511" s="574">
        <v>815</v>
      </c>
      <c r="CE511" s="574">
        <v>772</v>
      </c>
      <c r="CF511" s="574">
        <v>725</v>
      </c>
      <c r="CG511" s="574">
        <v>778</v>
      </c>
      <c r="CH511" s="574">
        <v>746</v>
      </c>
      <c r="CI511" s="574">
        <v>847</v>
      </c>
      <c r="CJ511" s="574">
        <v>799</v>
      </c>
      <c r="CK511" s="574">
        <v>579</v>
      </c>
      <c r="CL511" s="574">
        <v>577</v>
      </c>
      <c r="CM511" s="574">
        <v>556</v>
      </c>
      <c r="CN511" s="574">
        <v>505</v>
      </c>
      <c r="CO511" s="574">
        <v>452</v>
      </c>
      <c r="CP511" s="574">
        <v>360</v>
      </c>
      <c r="CQ511" s="574">
        <v>384</v>
      </c>
      <c r="CR511" s="574">
        <v>318</v>
      </c>
      <c r="CS511" s="574">
        <v>294</v>
      </c>
      <c r="CT511" s="574">
        <v>260</v>
      </c>
      <c r="CU511" s="574">
        <v>226</v>
      </c>
      <c r="CV511" s="574">
        <v>183</v>
      </c>
      <c r="CW511" s="574">
        <v>177</v>
      </c>
      <c r="CX511" s="574">
        <v>127</v>
      </c>
      <c r="CY511" s="574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3">
      <c r="A512" s="30" t="s">
        <v>34</v>
      </c>
      <c r="B512" s="1" t="s">
        <v>546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574">
        <v>1002</v>
      </c>
      <c r="N512" s="574">
        <v>958</v>
      </c>
      <c r="O512" s="574">
        <v>993</v>
      </c>
      <c r="P512" s="574">
        <v>1033</v>
      </c>
      <c r="Q512" s="574">
        <v>1002</v>
      </c>
      <c r="R512" s="574">
        <v>1014</v>
      </c>
      <c r="S512" s="574">
        <v>1196</v>
      </c>
      <c r="T512" s="574">
        <v>1083</v>
      </c>
      <c r="U512" s="574">
        <v>1043</v>
      </c>
      <c r="V512" s="574">
        <v>1089</v>
      </c>
      <c r="W512" s="574">
        <v>1039</v>
      </c>
      <c r="X512" s="574">
        <v>1059</v>
      </c>
      <c r="Y512" s="574">
        <v>1048</v>
      </c>
      <c r="Z512" s="574">
        <v>1123</v>
      </c>
      <c r="AA512" s="574">
        <v>1128</v>
      </c>
      <c r="AB512" s="574">
        <v>945</v>
      </c>
      <c r="AC512" s="574">
        <v>940</v>
      </c>
      <c r="AD512" s="574">
        <v>952</v>
      </c>
      <c r="AE512" s="574">
        <v>969</v>
      </c>
      <c r="AF512" s="574">
        <v>782</v>
      </c>
      <c r="AG512" s="574">
        <v>699</v>
      </c>
      <c r="AH512" s="574">
        <v>774</v>
      </c>
      <c r="AI512" s="574">
        <v>881</v>
      </c>
      <c r="AJ512" s="574">
        <v>985</v>
      </c>
      <c r="AK512" s="574">
        <v>959</v>
      </c>
      <c r="AL512" s="574">
        <v>1027</v>
      </c>
      <c r="AM512" s="574">
        <v>1005</v>
      </c>
      <c r="AN512" s="574">
        <v>1020</v>
      </c>
      <c r="AO512" s="574">
        <v>1076</v>
      </c>
      <c r="AP512" s="574">
        <v>1245</v>
      </c>
      <c r="AQ512" s="574">
        <v>1220</v>
      </c>
      <c r="AR512" s="574">
        <v>1265</v>
      </c>
      <c r="AS512" s="574">
        <v>1169</v>
      </c>
      <c r="AT512" s="574">
        <v>1279</v>
      </c>
      <c r="AU512" s="574">
        <v>1332</v>
      </c>
      <c r="AV512" s="574">
        <v>1215</v>
      </c>
      <c r="AW512" s="574">
        <v>1185</v>
      </c>
      <c r="AX512" s="574">
        <v>1259</v>
      </c>
      <c r="AY512" s="574">
        <v>1143</v>
      </c>
      <c r="AZ512" s="574">
        <v>1017</v>
      </c>
      <c r="BA512" s="574">
        <v>1038</v>
      </c>
      <c r="BB512" s="574">
        <v>1044</v>
      </c>
      <c r="BC512" s="574">
        <v>1120</v>
      </c>
      <c r="BD512" s="574">
        <v>1055</v>
      </c>
      <c r="BE512" s="574">
        <v>942</v>
      </c>
      <c r="BF512" s="574">
        <v>907</v>
      </c>
      <c r="BG512" s="574">
        <v>917</v>
      </c>
      <c r="BH512" s="574">
        <v>953</v>
      </c>
      <c r="BI512" s="574">
        <v>944</v>
      </c>
      <c r="BJ512" s="574">
        <v>996</v>
      </c>
      <c r="BK512" s="574">
        <v>980</v>
      </c>
      <c r="BL512" s="574">
        <v>1095</v>
      </c>
      <c r="BM512" s="574">
        <v>1067</v>
      </c>
      <c r="BN512" s="574">
        <v>1100</v>
      </c>
      <c r="BO512" s="574">
        <v>948</v>
      </c>
      <c r="BP512" s="574">
        <v>1070</v>
      </c>
      <c r="BQ512" s="574">
        <v>1067</v>
      </c>
      <c r="BR512" s="574">
        <v>1053</v>
      </c>
      <c r="BS512" s="574">
        <v>1041</v>
      </c>
      <c r="BT512" s="574">
        <v>1021</v>
      </c>
      <c r="BU512" s="574">
        <v>935</v>
      </c>
      <c r="BV512" s="574">
        <v>982</v>
      </c>
      <c r="BW512" s="574">
        <v>893</v>
      </c>
      <c r="BX512" s="574">
        <v>964</v>
      </c>
      <c r="BY512" s="574">
        <v>829</v>
      </c>
      <c r="BZ512" s="574">
        <v>800</v>
      </c>
      <c r="CA512" s="574">
        <v>680</v>
      </c>
      <c r="CB512" s="574">
        <v>675</v>
      </c>
      <c r="CC512" s="574">
        <v>724</v>
      </c>
      <c r="CD512" s="574">
        <v>751</v>
      </c>
      <c r="CE512" s="574">
        <v>678</v>
      </c>
      <c r="CF512" s="574">
        <v>607</v>
      </c>
      <c r="CG512" s="574">
        <v>654</v>
      </c>
      <c r="CH512" s="574">
        <v>620</v>
      </c>
      <c r="CI512" s="574">
        <v>701</v>
      </c>
      <c r="CJ512" s="574">
        <v>753</v>
      </c>
      <c r="CK512" s="574">
        <v>517</v>
      </c>
      <c r="CL512" s="574">
        <v>519</v>
      </c>
      <c r="CM512" s="574">
        <v>492</v>
      </c>
      <c r="CN512" s="574">
        <v>470</v>
      </c>
      <c r="CO512" s="574">
        <v>374</v>
      </c>
      <c r="CP512" s="574">
        <v>319</v>
      </c>
      <c r="CQ512" s="574">
        <v>324</v>
      </c>
      <c r="CR512" s="574">
        <v>314</v>
      </c>
      <c r="CS512" s="574">
        <v>256</v>
      </c>
      <c r="CT512" s="574">
        <v>240</v>
      </c>
      <c r="CU512" s="574">
        <v>230</v>
      </c>
      <c r="CV512" s="574">
        <v>172</v>
      </c>
      <c r="CW512" s="574">
        <v>142</v>
      </c>
      <c r="CX512" s="574">
        <v>117</v>
      </c>
      <c r="CY512" s="574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3">
      <c r="A513" s="30" t="s">
        <v>34</v>
      </c>
      <c r="B513" s="1" t="s">
        <v>547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574">
        <v>547</v>
      </c>
      <c r="N513" s="574">
        <v>541</v>
      </c>
      <c r="O513" s="574">
        <v>560</v>
      </c>
      <c r="P513" s="574">
        <v>587</v>
      </c>
      <c r="Q513" s="574">
        <v>646</v>
      </c>
      <c r="R513" s="574">
        <v>630</v>
      </c>
      <c r="S513" s="574">
        <v>657</v>
      </c>
      <c r="T513" s="574">
        <v>695</v>
      </c>
      <c r="U513" s="574">
        <v>700</v>
      </c>
      <c r="V513" s="574">
        <v>693</v>
      </c>
      <c r="W513" s="574">
        <v>704</v>
      </c>
      <c r="X513" s="574">
        <v>745</v>
      </c>
      <c r="Y513" s="574">
        <v>723</v>
      </c>
      <c r="Z513" s="574">
        <v>691</v>
      </c>
      <c r="AA513" s="574">
        <v>785</v>
      </c>
      <c r="AB513" s="574">
        <v>690</v>
      </c>
      <c r="AC513" s="574">
        <v>779</v>
      </c>
      <c r="AD513" s="574">
        <v>726</v>
      </c>
      <c r="AE513" s="574">
        <v>659</v>
      </c>
      <c r="AF513" s="574">
        <v>545</v>
      </c>
      <c r="AG513" s="574">
        <v>505</v>
      </c>
      <c r="AH513" s="574">
        <v>573</v>
      </c>
      <c r="AI513" s="574">
        <v>608</v>
      </c>
      <c r="AJ513" s="574">
        <v>603</v>
      </c>
      <c r="AK513" s="574">
        <v>650</v>
      </c>
      <c r="AL513" s="574">
        <v>681</v>
      </c>
      <c r="AM513" s="574">
        <v>604</v>
      </c>
      <c r="AN513" s="574">
        <v>539</v>
      </c>
      <c r="AO513" s="574">
        <v>615</v>
      </c>
      <c r="AP513" s="574">
        <v>649</v>
      </c>
      <c r="AQ513" s="574">
        <v>715</v>
      </c>
      <c r="AR513" s="574">
        <v>687</v>
      </c>
      <c r="AS513" s="574">
        <v>631</v>
      </c>
      <c r="AT513" s="574">
        <v>601</v>
      </c>
      <c r="AU513" s="574">
        <v>686</v>
      </c>
      <c r="AV513" s="574">
        <v>659</v>
      </c>
      <c r="AW513" s="574">
        <v>623</v>
      </c>
      <c r="AX513" s="574">
        <v>623</v>
      </c>
      <c r="AY513" s="574">
        <v>614</v>
      </c>
      <c r="AZ513" s="574">
        <v>608</v>
      </c>
      <c r="BA513" s="574">
        <v>609</v>
      </c>
      <c r="BB513" s="574">
        <v>629</v>
      </c>
      <c r="BC513" s="574">
        <v>647</v>
      </c>
      <c r="BD513" s="574">
        <v>626</v>
      </c>
      <c r="BE513" s="574">
        <v>583</v>
      </c>
      <c r="BF513" s="574">
        <v>542</v>
      </c>
      <c r="BG513" s="574">
        <v>580</v>
      </c>
      <c r="BH513" s="574">
        <v>603</v>
      </c>
      <c r="BI513" s="574">
        <v>639</v>
      </c>
      <c r="BJ513" s="574">
        <v>703</v>
      </c>
      <c r="BK513" s="574">
        <v>754</v>
      </c>
      <c r="BL513" s="574">
        <v>757</v>
      </c>
      <c r="BM513" s="574">
        <v>818</v>
      </c>
      <c r="BN513" s="574">
        <v>808</v>
      </c>
      <c r="BO513" s="574">
        <v>855</v>
      </c>
      <c r="BP513" s="574">
        <v>905</v>
      </c>
      <c r="BQ513" s="574">
        <v>926</v>
      </c>
      <c r="BR513" s="574">
        <v>915</v>
      </c>
      <c r="BS513" s="574">
        <v>887</v>
      </c>
      <c r="BT513" s="574">
        <v>1009</v>
      </c>
      <c r="BU513" s="574">
        <v>967</v>
      </c>
      <c r="BV513" s="574">
        <v>914</v>
      </c>
      <c r="BW513" s="574">
        <v>904</v>
      </c>
      <c r="BX513" s="574">
        <v>952</v>
      </c>
      <c r="BY513" s="574">
        <v>893</v>
      </c>
      <c r="BZ513" s="574">
        <v>866</v>
      </c>
      <c r="CA513" s="574">
        <v>855</v>
      </c>
      <c r="CB513" s="574">
        <v>857</v>
      </c>
      <c r="CC513" s="574">
        <v>882</v>
      </c>
      <c r="CD513" s="574">
        <v>875</v>
      </c>
      <c r="CE513" s="574">
        <v>807</v>
      </c>
      <c r="CF513" s="574">
        <v>838</v>
      </c>
      <c r="CG513" s="574">
        <v>832</v>
      </c>
      <c r="CH513" s="574">
        <v>800</v>
      </c>
      <c r="CI513" s="574">
        <v>838</v>
      </c>
      <c r="CJ513" s="574">
        <v>882</v>
      </c>
      <c r="CK513" s="574">
        <v>614</v>
      </c>
      <c r="CL513" s="574">
        <v>659</v>
      </c>
      <c r="CM513" s="574">
        <v>627</v>
      </c>
      <c r="CN513" s="574">
        <v>545</v>
      </c>
      <c r="CO513" s="574">
        <v>490</v>
      </c>
      <c r="CP513" s="574">
        <v>469</v>
      </c>
      <c r="CQ513" s="574">
        <v>418</v>
      </c>
      <c r="CR513" s="574">
        <v>376</v>
      </c>
      <c r="CS513" s="574">
        <v>328</v>
      </c>
      <c r="CT513" s="574">
        <v>268</v>
      </c>
      <c r="CU513" s="574">
        <v>254</v>
      </c>
      <c r="CV513" s="574">
        <v>224</v>
      </c>
      <c r="CW513" s="574">
        <v>142</v>
      </c>
      <c r="CX513" s="574">
        <v>181</v>
      </c>
      <c r="CY513" s="574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3">
      <c r="A514" s="30" t="s">
        <v>34</v>
      </c>
      <c r="B514" s="1" t="s">
        <v>548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574">
        <v>542</v>
      </c>
      <c r="N514" s="574">
        <v>558</v>
      </c>
      <c r="O514" s="574">
        <v>557</v>
      </c>
      <c r="P514" s="574">
        <v>623</v>
      </c>
      <c r="Q514" s="574">
        <v>680</v>
      </c>
      <c r="R514" s="574">
        <v>640</v>
      </c>
      <c r="S514" s="574">
        <v>636</v>
      </c>
      <c r="T514" s="574">
        <v>702</v>
      </c>
      <c r="U514" s="574">
        <v>710</v>
      </c>
      <c r="V514" s="574">
        <v>708</v>
      </c>
      <c r="W514" s="574">
        <v>684</v>
      </c>
      <c r="X514" s="574">
        <v>699</v>
      </c>
      <c r="Y514" s="574">
        <v>687</v>
      </c>
      <c r="Z514" s="574">
        <v>724</v>
      </c>
      <c r="AA514" s="574">
        <v>813</v>
      </c>
      <c r="AB514" s="574">
        <v>726</v>
      </c>
      <c r="AC514" s="574">
        <v>720</v>
      </c>
      <c r="AD514" s="574">
        <v>759</v>
      </c>
      <c r="AE514" s="574">
        <v>677</v>
      </c>
      <c r="AF514" s="574">
        <v>546</v>
      </c>
      <c r="AG514" s="574">
        <v>497</v>
      </c>
      <c r="AH514" s="574">
        <v>540</v>
      </c>
      <c r="AI514" s="574">
        <v>576</v>
      </c>
      <c r="AJ514" s="574">
        <v>708</v>
      </c>
      <c r="AK514" s="574">
        <v>659</v>
      </c>
      <c r="AL514" s="574">
        <v>640</v>
      </c>
      <c r="AM514" s="574">
        <v>700</v>
      </c>
      <c r="AN514" s="574">
        <v>643</v>
      </c>
      <c r="AO514" s="574">
        <v>676</v>
      </c>
      <c r="AP514" s="574">
        <v>655</v>
      </c>
      <c r="AQ514" s="574">
        <v>689</v>
      </c>
      <c r="AR514" s="574">
        <v>681</v>
      </c>
      <c r="AS514" s="574">
        <v>678</v>
      </c>
      <c r="AT514" s="574">
        <v>691</v>
      </c>
      <c r="AU514" s="574">
        <v>706</v>
      </c>
      <c r="AV514" s="574">
        <v>621</v>
      </c>
      <c r="AW514" s="574">
        <v>641</v>
      </c>
      <c r="AX514" s="574">
        <v>683</v>
      </c>
      <c r="AY514" s="574">
        <v>629</v>
      </c>
      <c r="AZ514" s="574">
        <v>628</v>
      </c>
      <c r="BA514" s="574">
        <v>668</v>
      </c>
      <c r="BB514" s="574">
        <v>643</v>
      </c>
      <c r="BC514" s="574">
        <v>674</v>
      </c>
      <c r="BD514" s="574">
        <v>652</v>
      </c>
      <c r="BE514" s="574">
        <v>622</v>
      </c>
      <c r="BF514" s="574">
        <v>638</v>
      </c>
      <c r="BG514" s="574">
        <v>646</v>
      </c>
      <c r="BH514" s="574">
        <v>721</v>
      </c>
      <c r="BI514" s="574">
        <v>733</v>
      </c>
      <c r="BJ514" s="574">
        <v>732</v>
      </c>
      <c r="BK514" s="574">
        <v>904</v>
      </c>
      <c r="BL514" s="574">
        <v>916</v>
      </c>
      <c r="BM514" s="574">
        <v>874</v>
      </c>
      <c r="BN514" s="574">
        <v>967</v>
      </c>
      <c r="BO514" s="574">
        <v>918</v>
      </c>
      <c r="BP514" s="574">
        <v>1049</v>
      </c>
      <c r="BQ514" s="574">
        <v>1027</v>
      </c>
      <c r="BR514" s="574">
        <v>1085</v>
      </c>
      <c r="BS514" s="574">
        <v>1055</v>
      </c>
      <c r="BT514" s="574">
        <v>1079</v>
      </c>
      <c r="BU514" s="574">
        <v>1083</v>
      </c>
      <c r="BV514" s="574">
        <v>1072</v>
      </c>
      <c r="BW514" s="574">
        <v>1062</v>
      </c>
      <c r="BX514" s="574">
        <v>1068</v>
      </c>
      <c r="BY514" s="574">
        <v>970</v>
      </c>
      <c r="BZ514" s="574">
        <v>1004</v>
      </c>
      <c r="CA514" s="574">
        <v>1048</v>
      </c>
      <c r="CB514" s="574">
        <v>920</v>
      </c>
      <c r="CC514" s="574">
        <v>981</v>
      </c>
      <c r="CD514" s="574">
        <v>986</v>
      </c>
      <c r="CE514" s="574">
        <v>946</v>
      </c>
      <c r="CF514" s="574">
        <v>909</v>
      </c>
      <c r="CG514" s="574">
        <v>957</v>
      </c>
      <c r="CH514" s="574">
        <v>966</v>
      </c>
      <c r="CI514" s="574">
        <v>1053</v>
      </c>
      <c r="CJ514" s="574">
        <v>1016</v>
      </c>
      <c r="CK514" s="574">
        <v>762</v>
      </c>
      <c r="CL514" s="574">
        <v>697</v>
      </c>
      <c r="CM514" s="574">
        <v>815</v>
      </c>
      <c r="CN514" s="574">
        <v>676</v>
      </c>
      <c r="CO514" s="574">
        <v>565</v>
      </c>
      <c r="CP514" s="574">
        <v>480</v>
      </c>
      <c r="CQ514" s="574">
        <v>484</v>
      </c>
      <c r="CR514" s="574">
        <v>421</v>
      </c>
      <c r="CS514" s="574">
        <v>402</v>
      </c>
      <c r="CT514" s="574">
        <v>348</v>
      </c>
      <c r="CU514" s="574">
        <v>295</v>
      </c>
      <c r="CV514" s="574">
        <v>283</v>
      </c>
      <c r="CW514" s="574">
        <v>234</v>
      </c>
      <c r="CX514" s="574">
        <v>151</v>
      </c>
      <c r="CY514" s="574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3">
      <c r="A515" s="30" t="s">
        <v>34</v>
      </c>
      <c r="B515" s="1" t="s">
        <v>549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574">
        <v>1182</v>
      </c>
      <c r="N515" s="574">
        <v>1192</v>
      </c>
      <c r="O515" s="574">
        <v>1246</v>
      </c>
      <c r="P515" s="574">
        <v>1330</v>
      </c>
      <c r="Q515" s="574">
        <v>1390</v>
      </c>
      <c r="R515" s="574">
        <v>1335</v>
      </c>
      <c r="S515" s="574">
        <v>1349</v>
      </c>
      <c r="T515" s="574">
        <v>1424</v>
      </c>
      <c r="U515" s="574">
        <v>1454</v>
      </c>
      <c r="V515" s="574">
        <v>1448</v>
      </c>
      <c r="W515" s="574">
        <v>1470</v>
      </c>
      <c r="X515" s="574">
        <v>1500</v>
      </c>
      <c r="Y515" s="574">
        <v>1414</v>
      </c>
      <c r="Z515" s="574">
        <v>1599</v>
      </c>
      <c r="AA515" s="574">
        <v>1471</v>
      </c>
      <c r="AB515" s="574">
        <v>1487</v>
      </c>
      <c r="AC515" s="574">
        <v>1400</v>
      </c>
      <c r="AD515" s="574">
        <v>1425</v>
      </c>
      <c r="AE515" s="574">
        <v>1383</v>
      </c>
      <c r="AF515" s="574">
        <v>1430</v>
      </c>
      <c r="AG515" s="574">
        <v>1361</v>
      </c>
      <c r="AH515" s="574">
        <v>1470</v>
      </c>
      <c r="AI515" s="574">
        <v>1333</v>
      </c>
      <c r="AJ515" s="574">
        <v>1508</v>
      </c>
      <c r="AK515" s="574">
        <v>1349</v>
      </c>
      <c r="AL515" s="574">
        <v>1510</v>
      </c>
      <c r="AM515" s="574">
        <v>1397</v>
      </c>
      <c r="AN515" s="574">
        <v>1501</v>
      </c>
      <c r="AO515" s="574">
        <v>1440</v>
      </c>
      <c r="AP515" s="574">
        <v>1561</v>
      </c>
      <c r="AQ515" s="574">
        <v>1531</v>
      </c>
      <c r="AR515" s="574">
        <v>1507</v>
      </c>
      <c r="AS515" s="574">
        <v>1666</v>
      </c>
      <c r="AT515" s="574">
        <v>1646</v>
      </c>
      <c r="AU515" s="574">
        <v>1508</v>
      </c>
      <c r="AV515" s="574">
        <v>1576</v>
      </c>
      <c r="AW515" s="574">
        <v>1511</v>
      </c>
      <c r="AX515" s="574">
        <v>1573</v>
      </c>
      <c r="AY515" s="574">
        <v>1526</v>
      </c>
      <c r="AZ515" s="574">
        <v>1487</v>
      </c>
      <c r="BA515" s="574">
        <v>1448</v>
      </c>
      <c r="BB515" s="574">
        <v>1387</v>
      </c>
      <c r="BC515" s="574">
        <v>1473</v>
      </c>
      <c r="BD515" s="574">
        <v>1436</v>
      </c>
      <c r="BE515" s="574">
        <v>1292</v>
      </c>
      <c r="BF515" s="574">
        <v>1234</v>
      </c>
      <c r="BG515" s="574">
        <v>1228</v>
      </c>
      <c r="BH515" s="574">
        <v>1344</v>
      </c>
      <c r="BI515" s="574">
        <v>1265</v>
      </c>
      <c r="BJ515" s="574">
        <v>1525</v>
      </c>
      <c r="BK515" s="574">
        <v>1616</v>
      </c>
      <c r="BL515" s="574">
        <v>1695</v>
      </c>
      <c r="BM515" s="574">
        <v>1558</v>
      </c>
      <c r="BN515" s="574">
        <v>1611</v>
      </c>
      <c r="BO515" s="574">
        <v>1667</v>
      </c>
      <c r="BP515" s="574">
        <v>1659</v>
      </c>
      <c r="BQ515" s="574">
        <v>1692</v>
      </c>
      <c r="BR515" s="574">
        <v>1734</v>
      </c>
      <c r="BS515" s="574">
        <v>1649</v>
      </c>
      <c r="BT515" s="574">
        <v>1594</v>
      </c>
      <c r="BU515" s="574">
        <v>1607</v>
      </c>
      <c r="BV515" s="574">
        <v>1496</v>
      </c>
      <c r="BW515" s="574">
        <v>1364</v>
      </c>
      <c r="BX515" s="574">
        <v>1434</v>
      </c>
      <c r="BY515" s="574">
        <v>1372</v>
      </c>
      <c r="BZ515" s="574">
        <v>1354</v>
      </c>
      <c r="CA515" s="574">
        <v>1261</v>
      </c>
      <c r="CB515" s="574">
        <v>1184</v>
      </c>
      <c r="CC515" s="574">
        <v>1223</v>
      </c>
      <c r="CD515" s="574">
        <v>1163</v>
      </c>
      <c r="CE515" s="574">
        <v>1238</v>
      </c>
      <c r="CF515" s="574">
        <v>1171</v>
      </c>
      <c r="CG515" s="574">
        <v>1232</v>
      </c>
      <c r="CH515" s="574">
        <v>1244</v>
      </c>
      <c r="CI515" s="574">
        <v>1280</v>
      </c>
      <c r="CJ515" s="574">
        <v>1272</v>
      </c>
      <c r="CK515" s="574">
        <v>1071</v>
      </c>
      <c r="CL515" s="574">
        <v>988</v>
      </c>
      <c r="CM515" s="574">
        <v>843</v>
      </c>
      <c r="CN515" s="574">
        <v>708</v>
      </c>
      <c r="CO515" s="574">
        <v>680</v>
      </c>
      <c r="CP515" s="574">
        <v>591</v>
      </c>
      <c r="CQ515" s="574">
        <v>536</v>
      </c>
      <c r="CR515" s="574">
        <v>480</v>
      </c>
      <c r="CS515" s="574">
        <v>454</v>
      </c>
      <c r="CT515" s="574">
        <v>366</v>
      </c>
      <c r="CU515" s="574">
        <v>342</v>
      </c>
      <c r="CV515" s="574">
        <v>288</v>
      </c>
      <c r="CW515" s="574">
        <v>231</v>
      </c>
      <c r="CX515" s="574">
        <v>183</v>
      </c>
      <c r="CY515" s="574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3">
      <c r="A516" s="30" t="s">
        <v>34</v>
      </c>
      <c r="B516" s="1" t="s">
        <v>550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574">
        <v>1134</v>
      </c>
      <c r="N516" s="574">
        <v>1063</v>
      </c>
      <c r="O516" s="574">
        <v>1133</v>
      </c>
      <c r="P516" s="574">
        <v>1224</v>
      </c>
      <c r="Q516" s="574">
        <v>1266</v>
      </c>
      <c r="R516" s="574">
        <v>1252</v>
      </c>
      <c r="S516" s="574">
        <v>1374</v>
      </c>
      <c r="T516" s="574">
        <v>1363</v>
      </c>
      <c r="U516" s="574">
        <v>1342</v>
      </c>
      <c r="V516" s="574">
        <v>1419</v>
      </c>
      <c r="W516" s="574">
        <v>1459</v>
      </c>
      <c r="X516" s="574">
        <v>1510</v>
      </c>
      <c r="Y516" s="574">
        <v>1407</v>
      </c>
      <c r="Z516" s="574">
        <v>1464</v>
      </c>
      <c r="AA516" s="574">
        <v>1527</v>
      </c>
      <c r="AB516" s="574">
        <v>1392</v>
      </c>
      <c r="AC516" s="574">
        <v>1385</v>
      </c>
      <c r="AD516" s="574">
        <v>1426</v>
      </c>
      <c r="AE516" s="574">
        <v>1459</v>
      </c>
      <c r="AF516" s="574">
        <v>1896</v>
      </c>
      <c r="AG516" s="574">
        <v>2522</v>
      </c>
      <c r="AH516" s="574">
        <v>2615</v>
      </c>
      <c r="AI516" s="574">
        <v>2280</v>
      </c>
      <c r="AJ516" s="574">
        <v>1910</v>
      </c>
      <c r="AK516" s="574">
        <v>1501</v>
      </c>
      <c r="AL516" s="574">
        <v>1507</v>
      </c>
      <c r="AM516" s="574">
        <v>1486</v>
      </c>
      <c r="AN516" s="574">
        <v>1351</v>
      </c>
      <c r="AO516" s="574">
        <v>1422</v>
      </c>
      <c r="AP516" s="574">
        <v>1448</v>
      </c>
      <c r="AQ516" s="574">
        <v>1520</v>
      </c>
      <c r="AR516" s="574">
        <v>1551</v>
      </c>
      <c r="AS516" s="574">
        <v>1644</v>
      </c>
      <c r="AT516" s="574">
        <v>1442</v>
      </c>
      <c r="AU516" s="574">
        <v>1501</v>
      </c>
      <c r="AV516" s="574">
        <v>1514</v>
      </c>
      <c r="AW516" s="574">
        <v>1498</v>
      </c>
      <c r="AX516" s="574">
        <v>1597</v>
      </c>
      <c r="AY516" s="574">
        <v>1396</v>
      </c>
      <c r="AZ516" s="574">
        <v>1455</v>
      </c>
      <c r="BA516" s="574">
        <v>1397</v>
      </c>
      <c r="BB516" s="574">
        <v>1417</v>
      </c>
      <c r="BC516" s="574">
        <v>1584</v>
      </c>
      <c r="BD516" s="574">
        <v>1343</v>
      </c>
      <c r="BE516" s="574">
        <v>1273</v>
      </c>
      <c r="BF516" s="574">
        <v>1289</v>
      </c>
      <c r="BG516" s="574">
        <v>1339</v>
      </c>
      <c r="BH516" s="574">
        <v>1379</v>
      </c>
      <c r="BI516" s="574">
        <v>1335</v>
      </c>
      <c r="BJ516" s="574">
        <v>1336</v>
      </c>
      <c r="BK516" s="574">
        <v>1462</v>
      </c>
      <c r="BL516" s="574">
        <v>1510</v>
      </c>
      <c r="BM516" s="574">
        <v>1509</v>
      </c>
      <c r="BN516" s="574">
        <v>1691</v>
      </c>
      <c r="BO516" s="574">
        <v>1552</v>
      </c>
      <c r="BP516" s="574">
        <v>1528</v>
      </c>
      <c r="BQ516" s="574">
        <v>1522</v>
      </c>
      <c r="BR516" s="574">
        <v>1665</v>
      </c>
      <c r="BS516" s="574">
        <v>1640</v>
      </c>
      <c r="BT516" s="574">
        <v>1484</v>
      </c>
      <c r="BU516" s="574">
        <v>1519</v>
      </c>
      <c r="BV516" s="574">
        <v>1456</v>
      </c>
      <c r="BW516" s="574">
        <v>1447</v>
      </c>
      <c r="BX516" s="574">
        <v>1394</v>
      </c>
      <c r="BY516" s="574">
        <v>1349</v>
      </c>
      <c r="BZ516" s="574">
        <v>1273</v>
      </c>
      <c r="CA516" s="574">
        <v>1240</v>
      </c>
      <c r="CB516" s="574">
        <v>1189</v>
      </c>
      <c r="CC516" s="574">
        <v>1181</v>
      </c>
      <c r="CD516" s="574">
        <v>1218</v>
      </c>
      <c r="CE516" s="574">
        <v>1171</v>
      </c>
      <c r="CF516" s="574">
        <v>1093</v>
      </c>
      <c r="CG516" s="574">
        <v>1212</v>
      </c>
      <c r="CH516" s="574">
        <v>1187</v>
      </c>
      <c r="CI516" s="574">
        <v>1233</v>
      </c>
      <c r="CJ516" s="574">
        <v>1340</v>
      </c>
      <c r="CK516" s="574">
        <v>889</v>
      </c>
      <c r="CL516" s="574">
        <v>905</v>
      </c>
      <c r="CM516" s="574">
        <v>899</v>
      </c>
      <c r="CN516" s="574">
        <v>852</v>
      </c>
      <c r="CO516" s="574">
        <v>748</v>
      </c>
      <c r="CP516" s="574">
        <v>612</v>
      </c>
      <c r="CQ516" s="574">
        <v>591</v>
      </c>
      <c r="CR516" s="574">
        <v>524</v>
      </c>
      <c r="CS516" s="574">
        <v>525</v>
      </c>
      <c r="CT516" s="574">
        <v>455</v>
      </c>
      <c r="CU516" s="574">
        <v>393</v>
      </c>
      <c r="CV516" s="574">
        <v>348</v>
      </c>
      <c r="CW516" s="574">
        <v>276</v>
      </c>
      <c r="CX516" s="574">
        <v>244</v>
      </c>
      <c r="CY516" s="574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3">
      <c r="A517" s="30" t="s">
        <v>34</v>
      </c>
      <c r="B517" s="1" t="s">
        <v>551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574">
        <v>514</v>
      </c>
      <c r="N517" s="574">
        <v>466</v>
      </c>
      <c r="O517" s="574">
        <v>537</v>
      </c>
      <c r="P517" s="574">
        <v>540</v>
      </c>
      <c r="Q517" s="574">
        <v>516</v>
      </c>
      <c r="R517" s="574">
        <v>556</v>
      </c>
      <c r="S517" s="574">
        <v>581</v>
      </c>
      <c r="T517" s="574">
        <v>514</v>
      </c>
      <c r="U517" s="574">
        <v>551</v>
      </c>
      <c r="V517" s="574">
        <v>551</v>
      </c>
      <c r="W517" s="574">
        <v>588</v>
      </c>
      <c r="X517" s="574">
        <v>600</v>
      </c>
      <c r="Y517" s="574">
        <v>586</v>
      </c>
      <c r="Z517" s="574">
        <v>625</v>
      </c>
      <c r="AA517" s="574">
        <v>581</v>
      </c>
      <c r="AB517" s="574">
        <v>557</v>
      </c>
      <c r="AC517" s="574">
        <v>592</v>
      </c>
      <c r="AD517" s="574">
        <v>585</v>
      </c>
      <c r="AE517" s="574">
        <v>488</v>
      </c>
      <c r="AF517" s="574">
        <v>425</v>
      </c>
      <c r="AG517" s="574">
        <v>404</v>
      </c>
      <c r="AH517" s="574">
        <v>418</v>
      </c>
      <c r="AI517" s="574">
        <v>438</v>
      </c>
      <c r="AJ517" s="574">
        <v>462</v>
      </c>
      <c r="AK517" s="574">
        <v>507</v>
      </c>
      <c r="AL517" s="574">
        <v>598</v>
      </c>
      <c r="AM517" s="574">
        <v>533</v>
      </c>
      <c r="AN517" s="574">
        <v>576</v>
      </c>
      <c r="AO517" s="574">
        <v>555</v>
      </c>
      <c r="AP517" s="574">
        <v>540</v>
      </c>
      <c r="AQ517" s="574">
        <v>596</v>
      </c>
      <c r="AR517" s="574">
        <v>615</v>
      </c>
      <c r="AS517" s="574">
        <v>622</v>
      </c>
      <c r="AT517" s="574">
        <v>617</v>
      </c>
      <c r="AU517" s="574">
        <v>553</v>
      </c>
      <c r="AV517" s="574">
        <v>586</v>
      </c>
      <c r="AW517" s="574">
        <v>593</v>
      </c>
      <c r="AX517" s="574">
        <v>574</v>
      </c>
      <c r="AY517" s="574">
        <v>532</v>
      </c>
      <c r="AZ517" s="574">
        <v>548</v>
      </c>
      <c r="BA517" s="574">
        <v>555</v>
      </c>
      <c r="BB517" s="574">
        <v>493</v>
      </c>
      <c r="BC517" s="574">
        <v>523</v>
      </c>
      <c r="BD517" s="574">
        <v>539</v>
      </c>
      <c r="BE517" s="574">
        <v>428</v>
      </c>
      <c r="BF517" s="574">
        <v>504</v>
      </c>
      <c r="BG517" s="574">
        <v>432</v>
      </c>
      <c r="BH517" s="574">
        <v>497</v>
      </c>
      <c r="BI517" s="574">
        <v>493</v>
      </c>
      <c r="BJ517" s="574">
        <v>561</v>
      </c>
      <c r="BK517" s="574">
        <v>569</v>
      </c>
      <c r="BL517" s="574">
        <v>636</v>
      </c>
      <c r="BM517" s="574">
        <v>634</v>
      </c>
      <c r="BN517" s="574">
        <v>601</v>
      </c>
      <c r="BO517" s="574">
        <v>597</v>
      </c>
      <c r="BP517" s="574">
        <v>623</v>
      </c>
      <c r="BQ517" s="574">
        <v>631</v>
      </c>
      <c r="BR517" s="574">
        <v>707</v>
      </c>
      <c r="BS517" s="574">
        <v>646</v>
      </c>
      <c r="BT517" s="574">
        <v>672</v>
      </c>
      <c r="BU517" s="574">
        <v>661</v>
      </c>
      <c r="BV517" s="574">
        <v>655</v>
      </c>
      <c r="BW517" s="574">
        <v>574</v>
      </c>
      <c r="BX517" s="574">
        <v>580</v>
      </c>
      <c r="BY517" s="574">
        <v>594</v>
      </c>
      <c r="BZ517" s="574">
        <v>511</v>
      </c>
      <c r="CA517" s="574">
        <v>490</v>
      </c>
      <c r="CB517" s="574">
        <v>470</v>
      </c>
      <c r="CC517" s="574">
        <v>535</v>
      </c>
      <c r="CD517" s="574">
        <v>469</v>
      </c>
      <c r="CE517" s="574">
        <v>488</v>
      </c>
      <c r="CF517" s="574">
        <v>479</v>
      </c>
      <c r="CG517" s="574">
        <v>457</v>
      </c>
      <c r="CH517" s="574">
        <v>484</v>
      </c>
      <c r="CI517" s="574">
        <v>455</v>
      </c>
      <c r="CJ517" s="574">
        <v>541</v>
      </c>
      <c r="CK517" s="574">
        <v>404</v>
      </c>
      <c r="CL517" s="574">
        <v>398</v>
      </c>
      <c r="CM517" s="574">
        <v>348</v>
      </c>
      <c r="CN517" s="574">
        <v>298</v>
      </c>
      <c r="CO517" s="574">
        <v>266</v>
      </c>
      <c r="CP517" s="574">
        <v>246</v>
      </c>
      <c r="CQ517" s="574">
        <v>224</v>
      </c>
      <c r="CR517" s="574">
        <v>223</v>
      </c>
      <c r="CS517" s="574">
        <v>187</v>
      </c>
      <c r="CT517" s="574">
        <v>157</v>
      </c>
      <c r="CU517" s="574">
        <v>143</v>
      </c>
      <c r="CV517" s="574">
        <v>129</v>
      </c>
      <c r="CW517" s="574">
        <v>118</v>
      </c>
      <c r="CX517" s="574">
        <v>110</v>
      </c>
      <c r="CY517" s="574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3">
      <c r="A518" s="30" t="s">
        <v>34</v>
      </c>
      <c r="B518" s="1" t="s">
        <v>552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574">
        <v>642</v>
      </c>
      <c r="N518" s="574">
        <v>670</v>
      </c>
      <c r="O518" s="574">
        <v>666</v>
      </c>
      <c r="P518" s="574">
        <v>745</v>
      </c>
      <c r="Q518" s="574">
        <v>708</v>
      </c>
      <c r="R518" s="574">
        <v>814</v>
      </c>
      <c r="S518" s="574">
        <v>772</v>
      </c>
      <c r="T518" s="574">
        <v>756</v>
      </c>
      <c r="U518" s="574">
        <v>790</v>
      </c>
      <c r="V518" s="574">
        <v>869</v>
      </c>
      <c r="W518" s="574">
        <v>878</v>
      </c>
      <c r="X518" s="574">
        <v>861</v>
      </c>
      <c r="Y518" s="574">
        <v>888</v>
      </c>
      <c r="Z518" s="574">
        <v>889</v>
      </c>
      <c r="AA518" s="574">
        <v>863</v>
      </c>
      <c r="AB518" s="574">
        <v>841</v>
      </c>
      <c r="AC518" s="574">
        <v>775</v>
      </c>
      <c r="AD518" s="574">
        <v>759</v>
      </c>
      <c r="AE518" s="574">
        <v>728</v>
      </c>
      <c r="AF518" s="574">
        <v>587</v>
      </c>
      <c r="AG518" s="574">
        <v>503</v>
      </c>
      <c r="AH518" s="574">
        <v>620</v>
      </c>
      <c r="AI518" s="574">
        <v>676</v>
      </c>
      <c r="AJ518" s="574">
        <v>666</v>
      </c>
      <c r="AK518" s="574">
        <v>621</v>
      </c>
      <c r="AL518" s="574">
        <v>702</v>
      </c>
      <c r="AM518" s="574">
        <v>663</v>
      </c>
      <c r="AN518" s="574">
        <v>711</v>
      </c>
      <c r="AO518" s="574">
        <v>738</v>
      </c>
      <c r="AP518" s="574">
        <v>687</v>
      </c>
      <c r="AQ518" s="574">
        <v>701</v>
      </c>
      <c r="AR518" s="574">
        <v>728</v>
      </c>
      <c r="AS518" s="574">
        <v>706</v>
      </c>
      <c r="AT518" s="574">
        <v>774</v>
      </c>
      <c r="AU518" s="574">
        <v>806</v>
      </c>
      <c r="AV518" s="574">
        <v>800</v>
      </c>
      <c r="AW518" s="574">
        <v>846</v>
      </c>
      <c r="AX518" s="574">
        <v>741</v>
      </c>
      <c r="AY518" s="574">
        <v>762</v>
      </c>
      <c r="AZ518" s="574">
        <v>802</v>
      </c>
      <c r="BA518" s="574">
        <v>818</v>
      </c>
      <c r="BB518" s="574">
        <v>893</v>
      </c>
      <c r="BC518" s="574">
        <v>884</v>
      </c>
      <c r="BD518" s="574">
        <v>832</v>
      </c>
      <c r="BE518" s="574">
        <v>669</v>
      </c>
      <c r="BF518" s="574">
        <v>732</v>
      </c>
      <c r="BG518" s="574">
        <v>722</v>
      </c>
      <c r="BH518" s="574">
        <v>807</v>
      </c>
      <c r="BI518" s="574">
        <v>781</v>
      </c>
      <c r="BJ518" s="574">
        <v>815</v>
      </c>
      <c r="BK518" s="574">
        <v>842</v>
      </c>
      <c r="BL518" s="574">
        <v>880</v>
      </c>
      <c r="BM518" s="574">
        <v>853</v>
      </c>
      <c r="BN518" s="574">
        <v>916</v>
      </c>
      <c r="BO518" s="574">
        <v>871</v>
      </c>
      <c r="BP518" s="574">
        <v>920</v>
      </c>
      <c r="BQ518" s="574">
        <v>867</v>
      </c>
      <c r="BR518" s="574">
        <v>906</v>
      </c>
      <c r="BS518" s="574">
        <v>932</v>
      </c>
      <c r="BT518" s="574">
        <v>907</v>
      </c>
      <c r="BU518" s="574">
        <v>934</v>
      </c>
      <c r="BV518" s="574">
        <v>904</v>
      </c>
      <c r="BW518" s="574">
        <v>828</v>
      </c>
      <c r="BX518" s="574">
        <v>857</v>
      </c>
      <c r="BY518" s="574">
        <v>763</v>
      </c>
      <c r="BZ518" s="574">
        <v>786</v>
      </c>
      <c r="CA518" s="574">
        <v>761</v>
      </c>
      <c r="CB518" s="574">
        <v>745</v>
      </c>
      <c r="CC518" s="574">
        <v>753</v>
      </c>
      <c r="CD518" s="574">
        <v>754</v>
      </c>
      <c r="CE518" s="574">
        <v>696</v>
      </c>
      <c r="CF518" s="574">
        <v>706</v>
      </c>
      <c r="CG518" s="574">
        <v>707</v>
      </c>
      <c r="CH518" s="574">
        <v>714</v>
      </c>
      <c r="CI518" s="574">
        <v>737</v>
      </c>
      <c r="CJ518" s="574">
        <v>775</v>
      </c>
      <c r="CK518" s="574">
        <v>562</v>
      </c>
      <c r="CL518" s="574">
        <v>555</v>
      </c>
      <c r="CM518" s="574">
        <v>563</v>
      </c>
      <c r="CN518" s="574">
        <v>468</v>
      </c>
      <c r="CO518" s="574">
        <v>410</v>
      </c>
      <c r="CP518" s="574">
        <v>391</v>
      </c>
      <c r="CQ518" s="574">
        <v>349</v>
      </c>
      <c r="CR518" s="574">
        <v>336</v>
      </c>
      <c r="CS518" s="574">
        <v>307</v>
      </c>
      <c r="CT518" s="574">
        <v>239</v>
      </c>
      <c r="CU518" s="574">
        <v>231</v>
      </c>
      <c r="CV518" s="574">
        <v>180</v>
      </c>
      <c r="CW518" s="574">
        <v>170</v>
      </c>
      <c r="CX518" s="574">
        <v>135</v>
      </c>
      <c r="CY518" s="574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3">
      <c r="A519" s="30" t="s">
        <v>34</v>
      </c>
      <c r="B519" s="1" t="s">
        <v>553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574">
        <v>673</v>
      </c>
      <c r="N519" s="574">
        <v>647</v>
      </c>
      <c r="O519" s="574">
        <v>740</v>
      </c>
      <c r="P519" s="574">
        <v>723</v>
      </c>
      <c r="Q519" s="574">
        <v>730</v>
      </c>
      <c r="R519" s="574">
        <v>761</v>
      </c>
      <c r="S519" s="574">
        <v>793</v>
      </c>
      <c r="T519" s="574">
        <v>761</v>
      </c>
      <c r="U519" s="574">
        <v>814</v>
      </c>
      <c r="V519" s="574">
        <v>862</v>
      </c>
      <c r="W519" s="574">
        <v>831</v>
      </c>
      <c r="X519" s="574">
        <v>858</v>
      </c>
      <c r="Y519" s="574">
        <v>859</v>
      </c>
      <c r="Z519" s="574">
        <v>879</v>
      </c>
      <c r="AA519" s="574">
        <v>845</v>
      </c>
      <c r="AB519" s="574">
        <v>853</v>
      </c>
      <c r="AC519" s="574">
        <v>831</v>
      </c>
      <c r="AD519" s="574">
        <v>839</v>
      </c>
      <c r="AE519" s="574">
        <v>753</v>
      </c>
      <c r="AF519" s="574">
        <v>630</v>
      </c>
      <c r="AG519" s="574">
        <v>619</v>
      </c>
      <c r="AH519" s="574">
        <v>629</v>
      </c>
      <c r="AI519" s="574">
        <v>670</v>
      </c>
      <c r="AJ519" s="574">
        <v>758</v>
      </c>
      <c r="AK519" s="574">
        <v>790</v>
      </c>
      <c r="AL519" s="574">
        <v>832</v>
      </c>
      <c r="AM519" s="574">
        <v>753</v>
      </c>
      <c r="AN519" s="574">
        <v>823</v>
      </c>
      <c r="AO519" s="574">
        <v>819</v>
      </c>
      <c r="AP519" s="574">
        <v>821</v>
      </c>
      <c r="AQ519" s="574">
        <v>786</v>
      </c>
      <c r="AR519" s="574">
        <v>853</v>
      </c>
      <c r="AS519" s="574">
        <v>859</v>
      </c>
      <c r="AT519" s="574">
        <v>835</v>
      </c>
      <c r="AU519" s="574">
        <v>874</v>
      </c>
      <c r="AV519" s="574">
        <v>850</v>
      </c>
      <c r="AW519" s="574">
        <v>902</v>
      </c>
      <c r="AX519" s="574">
        <v>921</v>
      </c>
      <c r="AY519" s="574">
        <v>825</v>
      </c>
      <c r="AZ519" s="574">
        <v>847</v>
      </c>
      <c r="BA519" s="574">
        <v>842</v>
      </c>
      <c r="BB519" s="574">
        <v>901</v>
      </c>
      <c r="BC519" s="574">
        <v>918</v>
      </c>
      <c r="BD519" s="574">
        <v>874</v>
      </c>
      <c r="BE519" s="574">
        <v>746</v>
      </c>
      <c r="BF519" s="574">
        <v>759</v>
      </c>
      <c r="BG519" s="574">
        <v>795</v>
      </c>
      <c r="BH519" s="574">
        <v>790</v>
      </c>
      <c r="BI519" s="574">
        <v>799</v>
      </c>
      <c r="BJ519" s="574">
        <v>915</v>
      </c>
      <c r="BK519" s="574">
        <v>955</v>
      </c>
      <c r="BL519" s="574">
        <v>1013</v>
      </c>
      <c r="BM519" s="574">
        <v>995</v>
      </c>
      <c r="BN519" s="574">
        <v>1003</v>
      </c>
      <c r="BO519" s="574">
        <v>969</v>
      </c>
      <c r="BP519" s="574">
        <v>960</v>
      </c>
      <c r="BQ519" s="574">
        <v>1007</v>
      </c>
      <c r="BR519" s="574">
        <v>986</v>
      </c>
      <c r="BS519" s="574">
        <v>968</v>
      </c>
      <c r="BT519" s="574">
        <v>965</v>
      </c>
      <c r="BU519" s="574">
        <v>916</v>
      </c>
      <c r="BV519" s="574">
        <v>884</v>
      </c>
      <c r="BW519" s="574">
        <v>833</v>
      </c>
      <c r="BX519" s="574">
        <v>743</v>
      </c>
      <c r="BY519" s="574">
        <v>790</v>
      </c>
      <c r="BZ519" s="574">
        <v>795</v>
      </c>
      <c r="CA519" s="574">
        <v>774</v>
      </c>
      <c r="CB519" s="574">
        <v>688</v>
      </c>
      <c r="CC519" s="574">
        <v>698</v>
      </c>
      <c r="CD519" s="574">
        <v>716</v>
      </c>
      <c r="CE519" s="574">
        <v>688</v>
      </c>
      <c r="CF519" s="574">
        <v>667</v>
      </c>
      <c r="CG519" s="574">
        <v>680</v>
      </c>
      <c r="CH519" s="574">
        <v>708</v>
      </c>
      <c r="CI519" s="574">
        <v>706</v>
      </c>
      <c r="CJ519" s="574">
        <v>754</v>
      </c>
      <c r="CK519" s="574">
        <v>572</v>
      </c>
      <c r="CL519" s="574">
        <v>512</v>
      </c>
      <c r="CM519" s="574">
        <v>519</v>
      </c>
      <c r="CN519" s="574">
        <v>494</v>
      </c>
      <c r="CO519" s="574">
        <v>429</v>
      </c>
      <c r="CP519" s="574">
        <v>357</v>
      </c>
      <c r="CQ519" s="574">
        <v>308</v>
      </c>
      <c r="CR519" s="574">
        <v>275</v>
      </c>
      <c r="CS519" s="574">
        <v>281</v>
      </c>
      <c r="CT519" s="574">
        <v>235</v>
      </c>
      <c r="CU519" s="574">
        <v>217</v>
      </c>
      <c r="CV519" s="574">
        <v>176</v>
      </c>
      <c r="CW519" s="574">
        <v>132</v>
      </c>
      <c r="CX519" s="574">
        <v>132</v>
      </c>
      <c r="CY519" s="574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3">
      <c r="A520" s="111"/>
      <c r="B520" s="118"/>
      <c r="C520" s="111"/>
      <c r="D520" s="134">
        <f>SUM(D498:D519)</f>
        <v>1217054</v>
      </c>
      <c r="E520" s="134">
        <f t="shared" ref="E520:L520" si="135">SUM(E498:E519)</f>
        <v>1294957</v>
      </c>
      <c r="F520" s="134">
        <f t="shared" si="135"/>
        <v>3131640</v>
      </c>
      <c r="G520" s="134">
        <f t="shared" si="135"/>
        <v>1534884</v>
      </c>
      <c r="H520" s="134">
        <f t="shared" si="135"/>
        <v>1596756</v>
      </c>
      <c r="I520" s="134">
        <f t="shared" si="135"/>
        <v>1217054</v>
      </c>
      <c r="J520" s="134">
        <f t="shared" si="135"/>
        <v>1294957</v>
      </c>
      <c r="K520" s="134">
        <f t="shared" si="135"/>
        <v>317830</v>
      </c>
      <c r="L520" s="134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3">
      <c r="A521" s="30" t="s">
        <v>38</v>
      </c>
      <c r="B521" s="1" t="s">
        <v>554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3">
      <c r="A522" s="30" t="s">
        <v>38</v>
      </c>
      <c r="B522" s="1" t="s">
        <v>555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3">
      <c r="A523" s="30" t="s">
        <v>38</v>
      </c>
      <c r="B523" s="1" t="s">
        <v>556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3">
      <c r="A524" s="30" t="s">
        <v>38</v>
      </c>
      <c r="B524" s="1" t="s">
        <v>557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3">
      <c r="A525" s="30" t="s">
        <v>38</v>
      </c>
      <c r="B525" s="1" t="s">
        <v>558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3">
      <c r="A526" s="30" t="s">
        <v>38</v>
      </c>
      <c r="B526" s="1" t="s">
        <v>559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3">
      <c r="A527" s="30" t="s">
        <v>38</v>
      </c>
      <c r="B527" s="1" t="s">
        <v>560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3">
      <c r="A528" s="30" t="s">
        <v>38</v>
      </c>
      <c r="B528" s="1" t="s">
        <v>561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3">
      <c r="A529" s="30" t="s">
        <v>38</v>
      </c>
      <c r="B529" s="1" t="s">
        <v>562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3">
      <c r="A530" s="30" t="s">
        <v>38</v>
      </c>
      <c r="B530" s="1" t="s">
        <v>563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3">
      <c r="A531" s="30" t="s">
        <v>38</v>
      </c>
      <c r="B531" s="1" t="s">
        <v>564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3">
      <c r="A532" s="111"/>
      <c r="B532" s="119"/>
      <c r="C532" s="111"/>
      <c r="D532" s="134">
        <f>SUM(D521:D531)</f>
        <v>716297</v>
      </c>
      <c r="E532" s="134">
        <f>SUM(E521:E531)</f>
        <v>757541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43">SUM(I521:I531)</f>
        <v>716297</v>
      </c>
      <c r="J532" s="134">
        <f t="shared" si="143"/>
        <v>757541</v>
      </c>
      <c r="K532" s="134">
        <f t="shared" si="143"/>
        <v>223650</v>
      </c>
      <c r="L532" s="134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3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3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3">
      <c r="A535" s="594" t="s">
        <v>565</v>
      </c>
      <c r="B535" s="595"/>
      <c r="C535" s="596"/>
      <c r="D535" s="597"/>
      <c r="E535" s="597"/>
      <c r="F535" s="597"/>
      <c r="G535" s="598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3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3">
      <c r="C537" s="10"/>
      <c r="D537" s="599" t="s">
        <v>566</v>
      </c>
      <c r="E537" s="600" t="s">
        <v>567</v>
      </c>
      <c r="F537" s="599" t="s">
        <v>568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5" x14ac:dyDescent="0.35">
      <c r="C538" s="10"/>
      <c r="D538" s="601" t="s">
        <v>569</v>
      </c>
      <c r="E538" s="602" t="s">
        <v>570</v>
      </c>
      <c r="F538" s="601" t="s">
        <v>571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5" x14ac:dyDescent="0.35">
      <c r="C539" s="10"/>
      <c r="D539" s="601" t="s">
        <v>572</v>
      </c>
      <c r="E539" s="602" t="s">
        <v>573</v>
      </c>
      <c r="F539" s="601" t="s">
        <v>574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5" x14ac:dyDescent="0.35">
      <c r="C540" s="1" t="s">
        <v>575</v>
      </c>
      <c r="D540" s="603">
        <v>60238038</v>
      </c>
      <c r="E540" s="604"/>
      <c r="F540" s="605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5" x14ac:dyDescent="0.35">
      <c r="C541" s="606" t="s">
        <v>576</v>
      </c>
      <c r="D541" s="607"/>
      <c r="E541" s="608">
        <v>60856434</v>
      </c>
      <c r="F541" s="603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5" x14ac:dyDescent="0.35">
      <c r="C542" s="606" t="s">
        <v>577</v>
      </c>
      <c r="D542" s="607"/>
      <c r="E542" s="609">
        <f>(E541-D540)/D540</f>
        <v>1.0265872205200309E-2</v>
      </c>
      <c r="F542" s="610">
        <f>(F541-D540)/D540</f>
        <v>2.0553358660187437E-2</v>
      </c>
      <c r="G542" s="611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5" x14ac:dyDescent="0.35">
      <c r="C543" s="606" t="s">
        <v>578</v>
      </c>
      <c r="D543" s="607"/>
      <c r="E543" s="612"/>
      <c r="F543" s="603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5" x14ac:dyDescent="0.35">
      <c r="C544" s="606" t="s">
        <v>579</v>
      </c>
      <c r="D544" s="607"/>
      <c r="E544" s="612"/>
      <c r="F544" s="603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3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3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3">
      <c r="A547" s="590"/>
      <c r="B547" s="591"/>
      <c r="C547" s="20" t="s">
        <v>580</v>
      </c>
      <c r="D547" s="137" t="s">
        <v>581</v>
      </c>
      <c r="E547" s="137" t="s">
        <v>582</v>
      </c>
      <c r="F547" s="137" t="s">
        <v>583</v>
      </c>
      <c r="G547" s="137" t="s">
        <v>584</v>
      </c>
      <c r="H547" s="137" t="s">
        <v>585</v>
      </c>
      <c r="I547" s="137" t="s">
        <v>586</v>
      </c>
      <c r="J547" s="518" t="s">
        <v>587</v>
      </c>
      <c r="K547" s="521" t="s">
        <v>588</v>
      </c>
      <c r="L547" s="336" t="s">
        <v>589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3">
      <c r="A548" s="592" t="s">
        <v>590</v>
      </c>
      <c r="C548" s="20" t="s">
        <v>591</v>
      </c>
      <c r="D548" s="783" t="s">
        <v>592</v>
      </c>
      <c r="E548" s="784"/>
      <c r="F548" s="784"/>
      <c r="G548" s="784"/>
      <c r="H548" s="784"/>
      <c r="I548" s="785"/>
      <c r="J548" s="6"/>
      <c r="K548" s="6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3">
      <c r="A549" s="592" t="s">
        <v>590</v>
      </c>
      <c r="B549" s="10">
        <v>0</v>
      </c>
      <c r="C549" s="136" t="s">
        <v>593</v>
      </c>
      <c r="D549" s="140"/>
      <c r="E549" s="140"/>
      <c r="F549" s="140"/>
      <c r="G549" s="140"/>
      <c r="H549" s="140"/>
      <c r="I549" s="140"/>
      <c r="J549" s="6"/>
      <c r="K549" s="6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3">
      <c r="A550" s="592" t="s">
        <v>590</v>
      </c>
      <c r="B550" s="10">
        <v>1</v>
      </c>
      <c r="C550" s="136" t="s">
        <v>594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519">
        <f>(I550-100%)/5</f>
        <v>7.0239064487661821E-3</v>
      </c>
      <c r="K550" s="522">
        <f t="shared" ref="K550:K563" si="144">(I550/100%)^(1/5)-1</f>
        <v>6.9272652964273984E-3</v>
      </c>
      <c r="L550" s="517">
        <v>6.9272652964273984E-3</v>
      </c>
      <c r="M550" s="513"/>
      <c r="N550" s="513"/>
      <c r="O550" s="514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3">
      <c r="A551" s="592" t="s">
        <v>590</v>
      </c>
      <c r="B551" s="10">
        <v>2</v>
      </c>
      <c r="C551" s="136" t="s">
        <v>595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519">
        <f t="shared" ref="J551:J563" si="145">(I551-100%)/5</f>
        <v>-1.6639975996230218E-2</v>
      </c>
      <c r="K551" s="522">
        <f t="shared" si="144"/>
        <v>-1.7223117235316776E-2</v>
      </c>
      <c r="L551" s="517">
        <v>-1.7223117235316776E-2</v>
      </c>
      <c r="M551" s="513"/>
      <c r="N551" s="513"/>
      <c r="O551" s="514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3">
      <c r="A552" s="592" t="s">
        <v>590</v>
      </c>
      <c r="B552" s="10">
        <v>3</v>
      </c>
      <c r="C552" s="136" t="s">
        <v>596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519">
        <f t="shared" si="145"/>
        <v>2.4561450496655989E-2</v>
      </c>
      <c r="K552" s="522">
        <f t="shared" si="144"/>
        <v>2.3436830336478032E-2</v>
      </c>
      <c r="L552" s="517">
        <v>2.3436830336478032E-2</v>
      </c>
      <c r="M552" s="513"/>
      <c r="N552" s="513"/>
      <c r="O552" s="514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3">
      <c r="A553" s="592" t="s">
        <v>590</v>
      </c>
      <c r="B553" s="10">
        <v>4</v>
      </c>
      <c r="C553" s="136" t="s">
        <v>597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519">
        <f t="shared" si="145"/>
        <v>-3.2900402961513866E-3</v>
      </c>
      <c r="K553" s="522">
        <f t="shared" si="144"/>
        <v>-3.3119051937137156E-3</v>
      </c>
      <c r="L553" s="517">
        <v>-3.3119051937137156E-3</v>
      </c>
      <c r="M553" s="513"/>
      <c r="N553" s="513"/>
      <c r="O553" s="514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3">
      <c r="A554" s="592" t="s">
        <v>590</v>
      </c>
      <c r="B554" s="10">
        <v>5</v>
      </c>
      <c r="C554" s="136" t="s">
        <v>598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519">
        <f t="shared" si="145"/>
        <v>1.2116163934465796E-4</v>
      </c>
      <c r="K554" s="522">
        <f t="shared" si="144"/>
        <v>1.2113228972654433E-4</v>
      </c>
      <c r="L554" s="517">
        <v>1.2113228972654433E-4</v>
      </c>
      <c r="M554" s="513"/>
      <c r="N554" s="513"/>
      <c r="O554" s="514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3">
      <c r="A555" s="592" t="s">
        <v>590</v>
      </c>
      <c r="B555" s="10">
        <v>6</v>
      </c>
      <c r="C555" s="511" t="s">
        <v>599</v>
      </c>
      <c r="D555" s="512"/>
      <c r="E555" s="512">
        <v>1.0123419501207302</v>
      </c>
      <c r="F555" s="512">
        <v>1.0224746276334522</v>
      </c>
      <c r="G555" s="512">
        <v>1.0318096590054313</v>
      </c>
      <c r="H555" s="512">
        <v>1.040568100689119</v>
      </c>
      <c r="I555" s="512">
        <v>1.0491476885800255</v>
      </c>
      <c r="J555" s="530">
        <f t="shared" si="145"/>
        <v>9.8295377160050983E-3</v>
      </c>
      <c r="K555" s="531">
        <f t="shared" si="144"/>
        <v>9.641807463928842E-3</v>
      </c>
      <c r="L555" s="593">
        <v>9.6418074639288403E-3</v>
      </c>
      <c r="M555" s="513"/>
      <c r="N555" s="513"/>
      <c r="O555" s="514"/>
      <c r="P555" s="12"/>
      <c r="Q555" s="515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3">
      <c r="A556" s="592" t="s">
        <v>590</v>
      </c>
      <c r="B556" s="10">
        <v>7</v>
      </c>
      <c r="C556" s="136" t="s">
        <v>600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519">
        <f t="shared" si="145"/>
        <v>1.4109286979692959E-2</v>
      </c>
      <c r="K556" s="522">
        <f t="shared" si="144"/>
        <v>1.372720562144969E-2</v>
      </c>
      <c r="L556" s="517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3">
      <c r="A557" s="592" t="s">
        <v>590</v>
      </c>
      <c r="B557" s="10">
        <v>8</v>
      </c>
      <c r="C557" s="136" t="s">
        <v>601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519">
        <f t="shared" si="145"/>
        <v>1.544722025999028E-2</v>
      </c>
      <c r="K557" s="522">
        <f t="shared" si="144"/>
        <v>1.4990973227517745E-2</v>
      </c>
      <c r="L557" s="517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3">
      <c r="A558" s="592" t="s">
        <v>590</v>
      </c>
      <c r="B558" s="10">
        <v>9</v>
      </c>
      <c r="C558" s="136" t="s">
        <v>602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519">
        <f t="shared" si="145"/>
        <v>1.3936381421862798E-2</v>
      </c>
      <c r="K558" s="522">
        <f t="shared" si="144"/>
        <v>1.3563424108683053E-2</v>
      </c>
      <c r="L558" s="517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3">
      <c r="A559" s="592" t="s">
        <v>590</v>
      </c>
      <c r="B559" s="10">
        <v>10</v>
      </c>
      <c r="C559" s="136" t="s">
        <v>603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519">
        <f t="shared" si="145"/>
        <v>1.5948429222628447E-2</v>
      </c>
      <c r="K559" s="522">
        <f t="shared" si="144"/>
        <v>1.5462782371323147E-2</v>
      </c>
      <c r="L559" s="517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3">
      <c r="A560" s="592" t="s">
        <v>590</v>
      </c>
      <c r="B560" s="10">
        <v>11</v>
      </c>
      <c r="C560" s="136" t="s">
        <v>604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519">
        <f t="shared" si="145"/>
        <v>1.4026175814113495E-2</v>
      </c>
      <c r="K560" s="522">
        <f t="shared" si="144"/>
        <v>1.364849335671825E-2</v>
      </c>
      <c r="L560" s="517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3">
      <c r="A561" s="592" t="s">
        <v>590</v>
      </c>
      <c r="B561" s="10">
        <v>12</v>
      </c>
      <c r="C561" s="136" t="s">
        <v>605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519">
        <f t="shared" si="145"/>
        <v>1.5685467006668709E-2</v>
      </c>
      <c r="K561" s="522">
        <f t="shared" si="144"/>
        <v>1.5215354312122953E-2</v>
      </c>
      <c r="L561" s="517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3">
      <c r="A562" s="592" t="s">
        <v>590</v>
      </c>
      <c r="B562" s="10">
        <v>13</v>
      </c>
      <c r="C562" s="136" t="s">
        <v>606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519">
        <f t="shared" si="145"/>
        <v>2.9868018047315557E-2</v>
      </c>
      <c r="K562" s="522">
        <f t="shared" si="144"/>
        <v>2.8228674820024224E-2</v>
      </c>
      <c r="L562" s="517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3">
      <c r="A563" s="57"/>
      <c r="B563" s="398">
        <v>14</v>
      </c>
      <c r="C563" s="136" t="s">
        <v>607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519">
        <f t="shared" si="145"/>
        <v>6.5994827799972008E-3</v>
      </c>
      <c r="K563" s="522">
        <f t="shared" si="144"/>
        <v>6.5140621434043311E-3</v>
      </c>
      <c r="L563" s="517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3">
      <c r="B564" s="10">
        <v>15</v>
      </c>
      <c r="C564" s="136"/>
      <c r="D564" s="140"/>
      <c r="E564" s="140"/>
      <c r="F564" s="140"/>
      <c r="G564" s="140"/>
      <c r="H564" s="140"/>
      <c r="I564" s="140"/>
      <c r="J564" s="520" t="s">
        <v>608</v>
      </c>
      <c r="K564" s="6"/>
      <c r="L564" s="335" t="s">
        <v>609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3">
      <c r="E565" s="14"/>
      <c r="L565" s="335" t="s">
        <v>610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3">
      <c r="E566" s="14"/>
      <c r="L566" s="335" t="s">
        <v>611</v>
      </c>
      <c r="M566" s="12"/>
      <c r="N566" s="12"/>
      <c r="O566" s="12"/>
      <c r="P566" s="12"/>
      <c r="Q566" s="12"/>
      <c r="R566" s="516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3">
      <c r="C567" s="532" t="s">
        <v>612</v>
      </c>
      <c r="E567" s="14"/>
      <c r="L567" s="335" t="s">
        <v>613</v>
      </c>
      <c r="M567" s="12"/>
      <c r="N567" s="12"/>
      <c r="O567" s="12"/>
      <c r="P567" s="12"/>
      <c r="Q567" s="12"/>
      <c r="R567" s="516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3">
      <c r="E568" s="14"/>
      <c r="L568" s="335" t="s">
        <v>614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3">
      <c r="E569" s="14"/>
      <c r="L569" s="335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3">
      <c r="C570" s="10"/>
      <c r="L570" s="335" t="s">
        <v>615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3">
      <c r="C571" s="10"/>
      <c r="L571" s="335" t="s">
        <v>616</v>
      </c>
      <c r="M571" s="12"/>
      <c r="N571" s="12"/>
      <c r="O571" s="614"/>
      <c r="P571" s="615" t="s">
        <v>617</v>
      </c>
      <c r="Q571" s="616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5" customHeight="1" x14ac:dyDescent="0.3">
      <c r="C572" s="10"/>
      <c r="M572" s="12"/>
      <c r="N572" s="12"/>
      <c r="O572" s="619" t="s">
        <v>587</v>
      </c>
      <c r="P572" s="619" t="s">
        <v>588</v>
      </c>
      <c r="Q572" s="620" t="s">
        <v>618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3">
      <c r="A573" s="590"/>
      <c r="B573" s="591"/>
      <c r="C573" s="136" t="s">
        <v>594</v>
      </c>
      <c r="D573" s="613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519">
        <f>(N573-100%)/10</f>
        <v>6.0996339197137541E-3</v>
      </c>
      <c r="P573" s="522">
        <f>(N573/100%)^(1/10)-1</f>
        <v>5.9384037531065026E-3</v>
      </c>
      <c r="Q573" s="617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3">
      <c r="A574" s="592" t="s">
        <v>619</v>
      </c>
      <c r="C574" s="136" t="s">
        <v>595</v>
      </c>
      <c r="D574" s="613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519">
        <f t="shared" ref="O574:O586" si="146">(N574-100%)/10</f>
        <v>-6.0280923298853817E-3</v>
      </c>
      <c r="P574" s="522">
        <f t="shared" ref="P574:P586" si="147">(N574/100%)^(1/10)-1</f>
        <v>-6.1981420710855994E-3</v>
      </c>
      <c r="Q574" s="617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3">
      <c r="A575" s="592" t="s">
        <v>619</v>
      </c>
      <c r="C575" s="136" t="s">
        <v>596</v>
      </c>
      <c r="D575" s="613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519">
        <f t="shared" si="146"/>
        <v>1.5087615236704566E-2</v>
      </c>
      <c r="P575" s="522">
        <f t="shared" si="147"/>
        <v>1.4151550808456648E-2</v>
      </c>
      <c r="Q575" s="617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3">
      <c r="A576" s="592" t="s">
        <v>619</v>
      </c>
      <c r="C576" s="136" t="s">
        <v>597</v>
      </c>
      <c r="D576" s="613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519">
        <f t="shared" si="146"/>
        <v>8.1374209845206378E-4</v>
      </c>
      <c r="P576" s="522">
        <f t="shared" si="147"/>
        <v>8.1077757246905691E-4</v>
      </c>
      <c r="Q576" s="617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3">
      <c r="A577" s="592" t="s">
        <v>619</v>
      </c>
      <c r="C577" s="136" t="s">
        <v>598</v>
      </c>
      <c r="D577" s="613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519">
        <f t="shared" si="146"/>
        <v>2.5619811438394092E-3</v>
      </c>
      <c r="P577" s="522">
        <f t="shared" si="147"/>
        <v>2.5329148145079028E-3</v>
      </c>
      <c r="Q577" s="617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3">
      <c r="A578" s="592" t="s">
        <v>619</v>
      </c>
      <c r="C578" s="511" t="s">
        <v>599</v>
      </c>
      <c r="D578" s="512"/>
      <c r="E578" s="512">
        <v>1.0123419501207302</v>
      </c>
      <c r="F578" s="512">
        <v>1.0224746276334522</v>
      </c>
      <c r="G578" s="512">
        <v>1.0318096590054313</v>
      </c>
      <c r="H578" s="512">
        <v>1.040568100689119</v>
      </c>
      <c r="I578" s="512">
        <v>1.0491476885800255</v>
      </c>
      <c r="J578" s="512">
        <v>1.0546473961073131</v>
      </c>
      <c r="K578" s="512">
        <v>1.0600156863772707</v>
      </c>
      <c r="L578" s="512">
        <v>1.0652587749595908</v>
      </c>
      <c r="M578" s="512">
        <v>1.0703773048442411</v>
      </c>
      <c r="N578" s="512">
        <v>1.0753751834317971</v>
      </c>
      <c r="O578" s="530">
        <f t="shared" si="146"/>
        <v>7.5375183431797051E-3</v>
      </c>
      <c r="P578" s="531">
        <f t="shared" si="147"/>
        <v>7.2934292896156272E-3</v>
      </c>
      <c r="Q578" s="531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3">
      <c r="A579" s="592" t="s">
        <v>619</v>
      </c>
      <c r="C579" s="136" t="s">
        <v>600</v>
      </c>
      <c r="D579" s="613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519">
        <f t="shared" si="146"/>
        <v>9.7308873986410305E-3</v>
      </c>
      <c r="P579" s="522">
        <f t="shared" si="147"/>
        <v>9.3293197294876951E-3</v>
      </c>
      <c r="Q579" s="617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3">
      <c r="A580" s="592" t="s">
        <v>619</v>
      </c>
      <c r="C580" s="136" t="s">
        <v>601</v>
      </c>
      <c r="D580" s="613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519">
        <f t="shared" si="146"/>
        <v>1.0416577441320607E-2</v>
      </c>
      <c r="P580" s="522">
        <f t="shared" si="147"/>
        <v>9.95826625164975E-3</v>
      </c>
      <c r="Q580" s="617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3">
      <c r="A581" s="592" t="s">
        <v>619</v>
      </c>
      <c r="C581" s="136" t="s">
        <v>602</v>
      </c>
      <c r="D581" s="613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519">
        <f t="shared" si="146"/>
        <v>9.64227339891921E-3</v>
      </c>
      <c r="P581" s="522">
        <f t="shared" si="147"/>
        <v>9.2477809488915597E-3</v>
      </c>
      <c r="Q581" s="617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3">
      <c r="A582" s="592" t="s">
        <v>619</v>
      </c>
      <c r="C582" s="136" t="s">
        <v>603</v>
      </c>
      <c r="D582" s="613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519">
        <f t="shared" si="146"/>
        <v>1.0673446748664817E-2</v>
      </c>
      <c r="P582" s="522">
        <f t="shared" si="147"/>
        <v>1.0192973847719333E-2</v>
      </c>
      <c r="Q582" s="617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3">
      <c r="A583" s="592" t="s">
        <v>619</v>
      </c>
      <c r="C583" s="136" t="s">
        <v>604</v>
      </c>
      <c r="D583" s="613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519">
        <f t="shared" si="146"/>
        <v>9.6882929737077683E-3</v>
      </c>
      <c r="P583" s="522">
        <f t="shared" si="147"/>
        <v>9.2901335764377091E-3</v>
      </c>
      <c r="Q583" s="617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3">
      <c r="A584" s="592" t="s">
        <v>619</v>
      </c>
      <c r="C584" s="136" t="s">
        <v>605</v>
      </c>
      <c r="D584" s="613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519">
        <f t="shared" si="146"/>
        <v>1.0538678763041154E-2</v>
      </c>
      <c r="P584" s="522">
        <f t="shared" si="147"/>
        <v>1.0069894342066732E-2</v>
      </c>
      <c r="Q584" s="617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3">
      <c r="A585" s="592" t="s">
        <v>619</v>
      </c>
      <c r="C585" s="136" t="s">
        <v>606</v>
      </c>
      <c r="D585" s="613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519">
        <f t="shared" si="146"/>
        <v>1.7807228078299507E-2</v>
      </c>
      <c r="P585" s="522">
        <f t="shared" si="147"/>
        <v>1.6522963134986579E-2</v>
      </c>
      <c r="Q585" s="617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3">
      <c r="A586" s="57"/>
      <c r="B586" s="398"/>
      <c r="C586" s="136" t="s">
        <v>607</v>
      </c>
      <c r="D586" s="613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519">
        <f t="shared" si="146"/>
        <v>5.8821170316610384E-3</v>
      </c>
      <c r="P586" s="522">
        <f t="shared" si="147"/>
        <v>5.7319838926312983E-3</v>
      </c>
      <c r="Q586" s="617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3">
      <c r="C587" s="10"/>
      <c r="E587" s="14"/>
      <c r="M587" s="12"/>
      <c r="N587" s="12"/>
      <c r="O587" s="520" t="s">
        <v>608</v>
      </c>
      <c r="P587" s="520" t="s">
        <v>608</v>
      </c>
      <c r="Q587" s="618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3">
      <c r="C588" s="10"/>
      <c r="E588" s="14"/>
      <c r="M588" s="12"/>
      <c r="N588" s="12"/>
      <c r="O588" s="520" t="s">
        <v>620</v>
      </c>
      <c r="P588" s="520" t="s">
        <v>620</v>
      </c>
      <c r="Q588" s="618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3">
      <c r="C589" s="10"/>
      <c r="E589" s="14"/>
      <c r="M589" s="12"/>
      <c r="N589" s="12"/>
      <c r="O589" s="12"/>
      <c r="P589" s="12"/>
      <c r="Q589" s="618" t="s">
        <v>615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3">
      <c r="E590" s="14"/>
      <c r="M590" s="12"/>
      <c r="N590" s="12"/>
      <c r="O590" s="12"/>
      <c r="P590" s="12"/>
      <c r="Q590" s="618" t="s">
        <v>616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3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3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3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3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3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3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3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3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3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3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3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3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3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3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3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3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3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3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3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3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3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3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3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3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3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3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3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3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3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3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3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3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3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3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3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3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3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3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3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3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3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3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3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3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3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3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3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3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3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3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3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3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3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3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3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3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3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3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3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3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3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3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3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3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3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3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3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3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3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3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3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3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3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3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3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3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3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3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3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3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3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3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3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3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3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3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3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3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3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3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3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3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3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3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3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3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3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3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3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3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3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3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3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3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3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3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3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3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3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3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3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3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3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3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3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3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3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3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3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3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3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3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3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3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3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3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3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3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3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3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3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3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3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3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3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3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3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3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3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3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3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3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3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3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3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3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3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3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3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3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3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3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3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3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3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3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3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3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3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3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3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3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3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3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3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3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3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3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3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3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3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3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3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3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3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3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3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3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3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3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3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3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3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3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3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3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3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3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3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3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3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3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3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3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3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3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3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3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3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3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3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3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3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3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3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3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3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3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3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3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3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3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3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3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3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3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3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3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3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3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3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3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3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3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3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3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3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3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3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3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3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3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3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3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3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3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3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3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3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3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3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3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3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3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3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3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3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3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3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3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3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3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3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3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3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3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3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3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3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3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3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3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3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3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3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3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3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3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3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3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3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3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3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3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3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3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3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3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3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3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3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3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3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3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3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3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3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3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3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3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3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3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3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3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3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3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3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3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3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3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3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3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3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3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3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3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3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3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3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3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3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3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3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3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E6" sqref="E6"/>
    </sheetView>
  </sheetViews>
  <sheetFormatPr defaultColWidth="8.54296875" defaultRowHeight="14.5" x14ac:dyDescent="0.35"/>
  <cols>
    <col min="1" max="1" width="13.54296875" customWidth="1"/>
    <col min="2" max="2" width="32.54296875" customWidth="1"/>
    <col min="3" max="4" width="12.7265625" customWidth="1"/>
    <col min="5" max="6" width="11.81640625" customWidth="1"/>
    <col min="7" max="7" width="10.453125" style="486" customWidth="1"/>
    <col min="8" max="8" width="11.81640625" customWidth="1"/>
    <col min="9" max="9" width="12.54296875" customWidth="1"/>
    <col min="10" max="10" width="10.1796875" customWidth="1"/>
    <col min="11" max="13" width="9" customWidth="1"/>
    <col min="14" max="14" width="8.453125" customWidth="1"/>
    <col min="15" max="15" width="15.453125" hidden="1" customWidth="1"/>
    <col min="16" max="16" width="13.453125" hidden="1" customWidth="1"/>
    <col min="17" max="17" width="14.453125" hidden="1" customWidth="1"/>
    <col min="18" max="18" width="10.453125" hidden="1" customWidth="1"/>
    <col min="19" max="21" width="8.54296875" hidden="1" customWidth="1"/>
    <col min="22" max="22" width="47.26953125" bestFit="1" customWidth="1"/>
    <col min="23" max="23" width="10" customWidth="1"/>
  </cols>
  <sheetData>
    <row r="1" spans="1:24" ht="21" customHeight="1" x14ac:dyDescent="0.35">
      <c r="A1" s="704" t="s">
        <v>978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</row>
    <row r="2" spans="1:24" ht="14.5" customHeight="1" thickBot="1" x14ac:dyDescent="0.4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5" customHeight="1" x14ac:dyDescent="0.35">
      <c r="A3" s="127"/>
      <c r="B3" s="713" t="s">
        <v>6</v>
      </c>
      <c r="C3" s="714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5" customHeight="1" x14ac:dyDescent="0.35">
      <c r="A4" s="127"/>
      <c r="B4" s="715" t="s">
        <v>979</v>
      </c>
      <c r="C4" s="779" t="s">
        <v>980</v>
      </c>
      <c r="D4" s="716" t="s">
        <v>981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5" customHeight="1" x14ac:dyDescent="0.35">
      <c r="A5" s="127"/>
      <c r="B5" s="715" t="s">
        <v>982</v>
      </c>
      <c r="C5" s="780">
        <v>9100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5" customHeight="1" x14ac:dyDescent="0.35">
      <c r="A6" s="127"/>
      <c r="B6" s="715" t="s">
        <v>983</v>
      </c>
      <c r="C6" s="781">
        <v>0.13800000000000001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5" customHeight="1" x14ac:dyDescent="0.35">
      <c r="A7" s="127"/>
      <c r="B7" s="715" t="s">
        <v>984</v>
      </c>
      <c r="C7" s="781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5" customHeight="1" x14ac:dyDescent="0.35">
      <c r="A8" s="127"/>
      <c r="B8" s="715" t="s">
        <v>985</v>
      </c>
      <c r="C8" s="781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5" customHeight="1" thickBot="1" x14ac:dyDescent="0.4">
      <c r="A9" s="127"/>
      <c r="B9" s="717" t="s">
        <v>986</v>
      </c>
      <c r="C9" s="782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718"/>
    </row>
    <row r="10" spans="1:24" ht="15" thickBot="1" x14ac:dyDescent="0.4">
      <c r="P10" s="719"/>
      <c r="R10" s="719"/>
    </row>
    <row r="11" spans="1:24" ht="109.5" customHeight="1" thickBot="1" x14ac:dyDescent="0.4">
      <c r="A11" s="720" t="s">
        <v>987</v>
      </c>
      <c r="B11" s="721" t="s">
        <v>988</v>
      </c>
      <c r="C11" s="722" t="s">
        <v>989</v>
      </c>
      <c r="D11" s="722" t="s">
        <v>990</v>
      </c>
      <c r="E11" s="722" t="s">
        <v>991</v>
      </c>
      <c r="F11" s="722" t="s">
        <v>992</v>
      </c>
      <c r="G11" s="723" t="s">
        <v>993</v>
      </c>
      <c r="H11" s="722" t="s">
        <v>994</v>
      </c>
      <c r="I11" s="724" t="s">
        <v>995</v>
      </c>
      <c r="J11" s="725" t="s">
        <v>996</v>
      </c>
      <c r="K11" s="726" t="s">
        <v>938</v>
      </c>
      <c r="L11" s="727" t="s">
        <v>997</v>
      </c>
      <c r="M11" s="728" t="s">
        <v>998</v>
      </c>
      <c r="O11" t="s">
        <v>980</v>
      </c>
      <c r="P11" t="s">
        <v>999</v>
      </c>
      <c r="Q11" t="s">
        <v>1000</v>
      </c>
      <c r="R11" t="s">
        <v>1001</v>
      </c>
    </row>
    <row r="12" spans="1:24" x14ac:dyDescent="0.35">
      <c r="A12" s="729">
        <v>2</v>
      </c>
      <c r="B12" s="730" t="s">
        <v>1002</v>
      </c>
      <c r="C12" s="731">
        <f>HLOOKUP($C$4,$O$11:$R$41,2,FALSE)</f>
        <v>23615</v>
      </c>
      <c r="D12" s="731">
        <f>C12*$C$9</f>
        <v>0</v>
      </c>
      <c r="E12" s="731">
        <f>C12*(100%+$C$9)</f>
        <v>23615</v>
      </c>
      <c r="F12" s="731">
        <f>(E12-$C$5)*$C$6</f>
        <v>2003.0700000000002</v>
      </c>
      <c r="G12" s="732">
        <f>E12*$C$8</f>
        <v>118.075</v>
      </c>
      <c r="H12" s="731">
        <f>E12*$C$7</f>
        <v>5615.6469999999999</v>
      </c>
      <c r="I12" s="733">
        <f>SUM(E12:H12)</f>
        <v>31351.792000000001</v>
      </c>
      <c r="J12" s="740">
        <v>1560</v>
      </c>
      <c r="K12" s="734">
        <f>ROUND(I12/J12,2)</f>
        <v>20.100000000000001</v>
      </c>
      <c r="L12" s="735">
        <v>0.41</v>
      </c>
      <c r="M12" s="736">
        <v>0.83</v>
      </c>
      <c r="O12" s="718">
        <v>23615</v>
      </c>
      <c r="P12" s="283">
        <v>29029</v>
      </c>
      <c r="Q12">
        <v>28166</v>
      </c>
      <c r="R12">
        <v>24873</v>
      </c>
      <c r="V12" s="170"/>
      <c r="W12" s="767"/>
      <c r="X12" s="155"/>
    </row>
    <row r="13" spans="1:24" x14ac:dyDescent="0.35">
      <c r="A13" s="499">
        <v>2</v>
      </c>
      <c r="B13" s="490" t="s">
        <v>1003</v>
      </c>
      <c r="C13" s="487">
        <f>HLOOKUP($C$4,$O$11:$R$41,3,FALSE)</f>
        <v>23615</v>
      </c>
      <c r="D13" s="487">
        <f t="shared" ref="D13:D47" si="0">C13*$C$9</f>
        <v>0</v>
      </c>
      <c r="E13" s="487">
        <f t="shared" ref="E13:E47" si="1">C13*(100%+$C$9)</f>
        <v>23615</v>
      </c>
      <c r="F13" s="487">
        <f t="shared" ref="F13:F47" si="2">(E13-$C$5)*$C$6</f>
        <v>2003.0700000000002</v>
      </c>
      <c r="G13" s="491">
        <f t="shared" ref="G13:G47" si="3">E13*$C$8</f>
        <v>118.075</v>
      </c>
      <c r="H13" s="487">
        <f t="shared" ref="H13:H47" si="4">E13*$C$7</f>
        <v>5615.6469999999999</v>
      </c>
      <c r="I13" s="733">
        <f t="shared" ref="I13:I47" si="5">SUM(E13:H13)</f>
        <v>31351.792000000001</v>
      </c>
      <c r="J13" s="126">
        <v>1560</v>
      </c>
      <c r="K13" s="734">
        <f t="shared" ref="K13:K47" si="6">ROUND(I13/J13,2)</f>
        <v>20.100000000000001</v>
      </c>
      <c r="L13" s="488">
        <v>0.41</v>
      </c>
      <c r="M13" s="699">
        <v>0.83</v>
      </c>
      <c r="O13" s="718">
        <v>23615</v>
      </c>
      <c r="P13" s="283">
        <v>29029</v>
      </c>
      <c r="Q13">
        <v>28166</v>
      </c>
      <c r="R13">
        <v>24873</v>
      </c>
      <c r="V13" s="541" t="s">
        <v>1004</v>
      </c>
      <c r="X13" s="157"/>
    </row>
    <row r="14" spans="1:24" x14ac:dyDescent="0.35">
      <c r="A14" s="499">
        <v>3</v>
      </c>
      <c r="B14" s="490" t="s">
        <v>1005</v>
      </c>
      <c r="C14" s="487">
        <f>HLOOKUP($C$4,$O$11:$R$41,4,FALSE)</f>
        <v>24071</v>
      </c>
      <c r="D14" s="487">
        <f t="shared" si="0"/>
        <v>0</v>
      </c>
      <c r="E14" s="487">
        <f t="shared" si="1"/>
        <v>24071</v>
      </c>
      <c r="F14" s="487">
        <f t="shared" si="2"/>
        <v>2065.998</v>
      </c>
      <c r="G14" s="491">
        <f t="shared" si="3"/>
        <v>120.355</v>
      </c>
      <c r="H14" s="487">
        <f t="shared" si="4"/>
        <v>5724.0838000000003</v>
      </c>
      <c r="I14" s="733">
        <f t="shared" si="5"/>
        <v>31981.436799999999</v>
      </c>
      <c r="J14" s="126">
        <v>1560</v>
      </c>
      <c r="K14" s="734">
        <f t="shared" si="6"/>
        <v>20.5</v>
      </c>
      <c r="L14" s="488">
        <v>0.35</v>
      </c>
      <c r="M14" s="699">
        <v>0.69</v>
      </c>
      <c r="O14" s="718">
        <v>24071</v>
      </c>
      <c r="P14" s="283">
        <v>29485</v>
      </c>
      <c r="Q14">
        <v>28622</v>
      </c>
      <c r="R14">
        <v>25329</v>
      </c>
      <c r="S14" t="s">
        <v>980</v>
      </c>
      <c r="V14" s="542" t="s">
        <v>1006</v>
      </c>
      <c r="W14">
        <v>260</v>
      </c>
      <c r="X14" s="157"/>
    </row>
    <row r="15" spans="1:24" x14ac:dyDescent="0.35">
      <c r="A15" s="499">
        <v>3</v>
      </c>
      <c r="B15" s="490" t="s">
        <v>1007</v>
      </c>
      <c r="C15" s="487">
        <f>HLOOKUP($C$4,$O$11:$R$41,5,FALSE)</f>
        <v>25674</v>
      </c>
      <c r="D15" s="487">
        <f t="shared" si="0"/>
        <v>0</v>
      </c>
      <c r="E15" s="487">
        <f t="shared" si="1"/>
        <v>25674</v>
      </c>
      <c r="F15" s="487">
        <f t="shared" si="2"/>
        <v>2287.212</v>
      </c>
      <c r="G15" s="491">
        <f t="shared" si="3"/>
        <v>128.37</v>
      </c>
      <c r="H15" s="487">
        <f t="shared" si="4"/>
        <v>6105.2772000000004</v>
      </c>
      <c r="I15" s="733">
        <f t="shared" si="5"/>
        <v>34194.859199999999</v>
      </c>
      <c r="J15" s="126">
        <v>1560</v>
      </c>
      <c r="K15" s="734">
        <f t="shared" si="6"/>
        <v>21.92</v>
      </c>
      <c r="L15" s="488">
        <v>0.35</v>
      </c>
      <c r="M15" s="699">
        <v>0.69</v>
      </c>
      <c r="O15" s="718">
        <v>25674</v>
      </c>
      <c r="P15" s="283">
        <v>31088</v>
      </c>
      <c r="Q15">
        <v>30225</v>
      </c>
      <c r="R15">
        <v>26958</v>
      </c>
      <c r="S15" t="s">
        <v>1008</v>
      </c>
      <c r="V15" s="542" t="s">
        <v>1009</v>
      </c>
      <c r="W15">
        <v>-40</v>
      </c>
      <c r="X15" s="157"/>
    </row>
    <row r="16" spans="1:24" x14ac:dyDescent="0.35">
      <c r="A16" s="499">
        <v>4</v>
      </c>
      <c r="B16" s="490" t="s">
        <v>1010</v>
      </c>
      <c r="C16" s="487">
        <f>HLOOKUP($C$4,$O$11:$R$41,6,FALSE)</f>
        <v>26530</v>
      </c>
      <c r="D16" s="487">
        <f t="shared" si="0"/>
        <v>0</v>
      </c>
      <c r="E16" s="487">
        <f t="shared" si="1"/>
        <v>26530</v>
      </c>
      <c r="F16" s="487">
        <f t="shared" si="2"/>
        <v>2405.34</v>
      </c>
      <c r="G16" s="491">
        <f t="shared" si="3"/>
        <v>132.65</v>
      </c>
      <c r="H16" s="487">
        <f t="shared" si="4"/>
        <v>6308.8340000000007</v>
      </c>
      <c r="I16" s="733">
        <f t="shared" si="5"/>
        <v>35376.824000000001</v>
      </c>
      <c r="J16" s="126">
        <v>1560</v>
      </c>
      <c r="K16" s="734">
        <f t="shared" si="6"/>
        <v>22.68</v>
      </c>
      <c r="L16" s="488">
        <v>0.3</v>
      </c>
      <c r="M16" s="699">
        <v>0.6</v>
      </c>
      <c r="O16" s="718">
        <v>26530</v>
      </c>
      <c r="P16" s="283">
        <v>31944</v>
      </c>
      <c r="Q16">
        <v>31081</v>
      </c>
      <c r="R16">
        <v>27857</v>
      </c>
      <c r="S16" t="s">
        <v>1011</v>
      </c>
      <c r="V16" s="542" t="s">
        <v>1012</v>
      </c>
      <c r="W16">
        <v>-2</v>
      </c>
      <c r="X16" s="157"/>
    </row>
    <row r="17" spans="1:24" x14ac:dyDescent="0.35">
      <c r="A17" s="499">
        <v>4</v>
      </c>
      <c r="B17" s="490" t="s">
        <v>1013</v>
      </c>
      <c r="C17" s="487">
        <f>HLOOKUP($C$4,$O$11:$R$41,7,FALSE)</f>
        <v>29114</v>
      </c>
      <c r="D17" s="487">
        <f t="shared" si="0"/>
        <v>0</v>
      </c>
      <c r="E17" s="487">
        <f t="shared" si="1"/>
        <v>29114</v>
      </c>
      <c r="F17" s="487">
        <f t="shared" si="2"/>
        <v>2761.9320000000002</v>
      </c>
      <c r="G17" s="491">
        <f t="shared" si="3"/>
        <v>145.57</v>
      </c>
      <c r="H17" s="487">
        <f t="shared" si="4"/>
        <v>6923.3092000000006</v>
      </c>
      <c r="I17" s="733">
        <f t="shared" si="5"/>
        <v>38944.811200000004</v>
      </c>
      <c r="J17" s="126">
        <v>1560</v>
      </c>
      <c r="K17" s="734">
        <f t="shared" si="6"/>
        <v>24.96</v>
      </c>
      <c r="L17" s="488">
        <v>0.3</v>
      </c>
      <c r="M17" s="699">
        <v>0.6</v>
      </c>
      <c r="O17" s="718">
        <v>29114</v>
      </c>
      <c r="P17" s="283">
        <v>34937</v>
      </c>
      <c r="Q17">
        <v>33665</v>
      </c>
      <c r="R17">
        <v>30570</v>
      </c>
      <c r="S17" t="s">
        <v>1014</v>
      </c>
      <c r="V17" s="542" t="s">
        <v>1015</v>
      </c>
      <c r="W17">
        <v>-10</v>
      </c>
      <c r="X17" s="157"/>
    </row>
    <row r="18" spans="1:24" x14ac:dyDescent="0.35">
      <c r="A18" s="499">
        <v>5</v>
      </c>
      <c r="B18" s="490" t="s">
        <v>1016</v>
      </c>
      <c r="C18" s="487">
        <f>HLOOKUP($C$4,$O$11:$R$41,8,FALSE)</f>
        <v>29970</v>
      </c>
      <c r="D18" s="487">
        <f t="shared" si="0"/>
        <v>0</v>
      </c>
      <c r="E18" s="487">
        <f t="shared" si="1"/>
        <v>29970</v>
      </c>
      <c r="F18" s="487">
        <f t="shared" si="2"/>
        <v>2880.0600000000004</v>
      </c>
      <c r="G18" s="491">
        <f t="shared" si="3"/>
        <v>149.85</v>
      </c>
      <c r="H18" s="487">
        <f t="shared" si="4"/>
        <v>7126.866</v>
      </c>
      <c r="I18" s="733">
        <f t="shared" si="5"/>
        <v>40126.775999999998</v>
      </c>
      <c r="J18" s="126">
        <v>1560</v>
      </c>
      <c r="K18" s="734">
        <f t="shared" si="6"/>
        <v>25.72</v>
      </c>
      <c r="L18" s="488">
        <v>0.3</v>
      </c>
      <c r="M18" s="699">
        <v>0.6</v>
      </c>
      <c r="O18" s="718">
        <v>29970</v>
      </c>
      <c r="P18" s="283">
        <v>35964</v>
      </c>
      <c r="Q18">
        <v>34521</v>
      </c>
      <c r="R18">
        <v>31469</v>
      </c>
      <c r="V18" s="542"/>
      <c r="W18" s="767">
        <v>208</v>
      </c>
      <c r="X18" s="157"/>
    </row>
    <row r="19" spans="1:24" x14ac:dyDescent="0.35">
      <c r="A19" s="499">
        <v>5</v>
      </c>
      <c r="B19" s="490" t="s">
        <v>1017</v>
      </c>
      <c r="C19" s="487">
        <f>HLOOKUP($C$4,$O$11:$R$41,9,FALSE)</f>
        <v>32324</v>
      </c>
      <c r="D19" s="487">
        <f t="shared" si="0"/>
        <v>0</v>
      </c>
      <c r="E19" s="487">
        <f t="shared" si="1"/>
        <v>32324</v>
      </c>
      <c r="F19" s="487">
        <f t="shared" si="2"/>
        <v>3204.9120000000003</v>
      </c>
      <c r="G19" s="491">
        <f t="shared" si="3"/>
        <v>161.62</v>
      </c>
      <c r="H19" s="487">
        <f t="shared" si="4"/>
        <v>7686.6472000000003</v>
      </c>
      <c r="I19" s="733">
        <f t="shared" si="5"/>
        <v>43377.179199999999</v>
      </c>
      <c r="J19" s="126">
        <v>1560</v>
      </c>
      <c r="K19" s="734">
        <f t="shared" si="6"/>
        <v>27.81</v>
      </c>
      <c r="L19" s="488">
        <v>0.3</v>
      </c>
      <c r="M19" s="699">
        <v>0.6</v>
      </c>
      <c r="O19" s="718">
        <v>32324</v>
      </c>
      <c r="P19" s="283">
        <v>38789</v>
      </c>
      <c r="Q19">
        <v>37173</v>
      </c>
      <c r="R19">
        <v>33941</v>
      </c>
      <c r="V19" s="542" t="s">
        <v>1018</v>
      </c>
      <c r="W19" s="358">
        <f>7.5*W18</f>
        <v>1560</v>
      </c>
      <c r="X19" s="157"/>
    </row>
    <row r="20" spans="1:24" x14ac:dyDescent="0.35">
      <c r="A20" s="499">
        <v>5</v>
      </c>
      <c r="B20" s="490" t="s">
        <v>1019</v>
      </c>
      <c r="C20" s="487">
        <f>HLOOKUP($C$4,$O$11:$R$41,10,FALSE)</f>
        <v>36483</v>
      </c>
      <c r="D20" s="487">
        <f t="shared" si="0"/>
        <v>0</v>
      </c>
      <c r="E20" s="487">
        <f t="shared" si="1"/>
        <v>36483</v>
      </c>
      <c r="F20" s="487">
        <f t="shared" si="2"/>
        <v>3778.8540000000003</v>
      </c>
      <c r="G20" s="491">
        <f t="shared" si="3"/>
        <v>182.41499999999999</v>
      </c>
      <c r="H20" s="487">
        <f t="shared" si="4"/>
        <v>8675.6574000000001</v>
      </c>
      <c r="I20" s="733">
        <f t="shared" si="5"/>
        <v>49119.926399999997</v>
      </c>
      <c r="J20" s="126">
        <v>1560</v>
      </c>
      <c r="K20" s="734">
        <f t="shared" si="6"/>
        <v>31.49</v>
      </c>
      <c r="L20" s="488">
        <v>0.3</v>
      </c>
      <c r="M20" s="699">
        <v>0.6</v>
      </c>
      <c r="O20" s="718">
        <v>36483</v>
      </c>
      <c r="P20" s="283">
        <v>43780</v>
      </c>
      <c r="Q20">
        <v>41956</v>
      </c>
      <c r="R20">
        <v>38308</v>
      </c>
      <c r="V20" s="158"/>
      <c r="X20" s="157"/>
    </row>
    <row r="21" spans="1:24" x14ac:dyDescent="0.35">
      <c r="A21" s="499">
        <v>6</v>
      </c>
      <c r="B21" s="490" t="s">
        <v>1020</v>
      </c>
      <c r="C21" s="487">
        <f>HLOOKUP($C$4,$O$11:$R$41,11,FALSE)</f>
        <v>37338</v>
      </c>
      <c r="D21" s="487">
        <f t="shared" si="0"/>
        <v>0</v>
      </c>
      <c r="E21" s="487">
        <f t="shared" si="1"/>
        <v>37338</v>
      </c>
      <c r="F21" s="487">
        <f t="shared" si="2"/>
        <v>3896.8440000000005</v>
      </c>
      <c r="G21" s="491">
        <f t="shared" si="3"/>
        <v>186.69</v>
      </c>
      <c r="H21" s="487">
        <f t="shared" si="4"/>
        <v>8878.9763999999996</v>
      </c>
      <c r="I21" s="733">
        <f t="shared" si="5"/>
        <v>50300.510399999999</v>
      </c>
      <c r="J21" s="126">
        <v>1560</v>
      </c>
      <c r="K21" s="734">
        <f t="shared" si="6"/>
        <v>32.24</v>
      </c>
      <c r="L21" s="488">
        <v>0.3</v>
      </c>
      <c r="M21" s="699">
        <v>0.6</v>
      </c>
      <c r="O21" s="718">
        <v>37338</v>
      </c>
      <c r="P21" s="283">
        <v>44806</v>
      </c>
      <c r="Q21">
        <v>42939</v>
      </c>
      <c r="R21">
        <v>39205</v>
      </c>
      <c r="V21" s="542"/>
      <c r="X21" s="157"/>
    </row>
    <row r="22" spans="1:24" x14ac:dyDescent="0.35">
      <c r="A22" s="499">
        <v>6</v>
      </c>
      <c r="B22" s="490" t="s">
        <v>771</v>
      </c>
      <c r="C22" s="487">
        <f>HLOOKUP($C$4,$O$11:$R$41,12,FALSE)</f>
        <v>39405</v>
      </c>
      <c r="D22" s="487">
        <f t="shared" si="0"/>
        <v>0</v>
      </c>
      <c r="E22" s="487">
        <f t="shared" si="1"/>
        <v>39405</v>
      </c>
      <c r="F22" s="487">
        <f t="shared" si="2"/>
        <v>4182.09</v>
      </c>
      <c r="G22" s="491">
        <f t="shared" si="3"/>
        <v>197.02500000000001</v>
      </c>
      <c r="H22" s="487">
        <f t="shared" si="4"/>
        <v>9370.509</v>
      </c>
      <c r="I22" s="733">
        <f t="shared" si="5"/>
        <v>53154.623999999996</v>
      </c>
      <c r="J22" s="126">
        <v>1560</v>
      </c>
      <c r="K22" s="734">
        <f t="shared" si="6"/>
        <v>34.07</v>
      </c>
      <c r="L22" s="488">
        <v>0.3</v>
      </c>
      <c r="M22" s="699">
        <v>0.6</v>
      </c>
      <c r="O22" s="718">
        <v>39405</v>
      </c>
      <c r="P22" s="283">
        <v>47286</v>
      </c>
      <c r="Q22">
        <v>45140</v>
      </c>
      <c r="R22">
        <v>41376</v>
      </c>
      <c r="V22" s="541" t="s">
        <v>1021</v>
      </c>
      <c r="X22" s="157"/>
    </row>
    <row r="23" spans="1:24" x14ac:dyDescent="0.35">
      <c r="A23" s="499">
        <v>6</v>
      </c>
      <c r="B23" s="490" t="s">
        <v>1022</v>
      </c>
      <c r="C23" s="487">
        <f>HLOOKUP($C$4,$O$11:$R$41,13,FALSE)</f>
        <v>44962</v>
      </c>
      <c r="D23" s="487">
        <f t="shared" si="0"/>
        <v>0</v>
      </c>
      <c r="E23" s="487">
        <f t="shared" si="1"/>
        <v>44962</v>
      </c>
      <c r="F23" s="487">
        <f t="shared" si="2"/>
        <v>4948.9560000000001</v>
      </c>
      <c r="G23" s="491">
        <f t="shared" si="3"/>
        <v>224.81</v>
      </c>
      <c r="H23" s="487">
        <f t="shared" si="4"/>
        <v>10691.963600000001</v>
      </c>
      <c r="I23" s="733">
        <f t="shared" si="5"/>
        <v>60827.729599999999</v>
      </c>
      <c r="J23" s="126">
        <v>1560</v>
      </c>
      <c r="K23" s="734">
        <f t="shared" si="6"/>
        <v>38.99</v>
      </c>
      <c r="L23" s="488">
        <v>0.3</v>
      </c>
      <c r="M23" s="699">
        <v>0.6</v>
      </c>
      <c r="O23" s="718">
        <v>44962</v>
      </c>
      <c r="P23" s="283">
        <v>53134</v>
      </c>
      <c r="Q23">
        <v>50697</v>
      </c>
      <c r="R23">
        <v>47084</v>
      </c>
      <c r="V23" s="542" t="s">
        <v>1023</v>
      </c>
      <c r="W23">
        <v>43</v>
      </c>
      <c r="X23" s="157"/>
    </row>
    <row r="24" spans="1:24" x14ac:dyDescent="0.35">
      <c r="A24" s="499">
        <v>7</v>
      </c>
      <c r="B24" s="490" t="s">
        <v>1024</v>
      </c>
      <c r="C24" s="487">
        <f>HLOOKUP($C$4,$O$11:$R$41,14,FALSE)</f>
        <v>46148</v>
      </c>
      <c r="D24" s="487">
        <f t="shared" si="0"/>
        <v>0</v>
      </c>
      <c r="E24" s="487">
        <f t="shared" si="1"/>
        <v>46148</v>
      </c>
      <c r="F24" s="487">
        <f t="shared" si="2"/>
        <v>5112.6240000000007</v>
      </c>
      <c r="G24" s="491">
        <f t="shared" si="3"/>
        <v>230.74</v>
      </c>
      <c r="H24" s="487">
        <f t="shared" si="4"/>
        <v>10973.994400000001</v>
      </c>
      <c r="I24" s="733">
        <f t="shared" si="5"/>
        <v>62465.358400000005</v>
      </c>
      <c r="J24" s="126">
        <v>1560</v>
      </c>
      <c r="K24" s="734">
        <f t="shared" si="6"/>
        <v>40.04</v>
      </c>
      <c r="L24" s="488">
        <v>0.3</v>
      </c>
      <c r="M24" s="699">
        <v>0.6</v>
      </c>
      <c r="O24" s="718">
        <v>46148</v>
      </c>
      <c r="P24" s="283">
        <v>54320</v>
      </c>
      <c r="Q24">
        <v>51883</v>
      </c>
      <c r="R24">
        <v>48270</v>
      </c>
      <c r="V24" s="542"/>
      <c r="X24" s="157"/>
    </row>
    <row r="25" spans="1:24" x14ac:dyDescent="0.35">
      <c r="A25" s="499">
        <v>7</v>
      </c>
      <c r="B25" s="490" t="s">
        <v>758</v>
      </c>
      <c r="C25" s="487">
        <f>HLOOKUP($C$4,$O$11:$R$41,15,FALSE)</f>
        <v>48526</v>
      </c>
      <c r="D25" s="487">
        <f t="shared" si="0"/>
        <v>0</v>
      </c>
      <c r="E25" s="487">
        <f t="shared" si="1"/>
        <v>48526</v>
      </c>
      <c r="F25" s="487">
        <f t="shared" si="2"/>
        <v>5440.7880000000005</v>
      </c>
      <c r="G25" s="491">
        <f t="shared" si="3"/>
        <v>242.63</v>
      </c>
      <c r="H25" s="487">
        <f t="shared" si="4"/>
        <v>11539.4828</v>
      </c>
      <c r="I25" s="733">
        <f t="shared" si="5"/>
        <v>65748.900800000003</v>
      </c>
      <c r="J25" s="126">
        <v>1560</v>
      </c>
      <c r="K25" s="734">
        <f t="shared" si="6"/>
        <v>42.15</v>
      </c>
      <c r="L25" s="488">
        <v>0.3</v>
      </c>
      <c r="M25" s="699">
        <v>0.6</v>
      </c>
      <c r="O25" s="718">
        <v>48526</v>
      </c>
      <c r="P25" s="283">
        <v>56698</v>
      </c>
      <c r="Q25">
        <v>54261</v>
      </c>
      <c r="R25">
        <v>50648</v>
      </c>
      <c r="V25" s="542" t="s">
        <v>1025</v>
      </c>
      <c r="W25">
        <v>10</v>
      </c>
      <c r="X25" s="157"/>
    </row>
    <row r="26" spans="1:24" x14ac:dyDescent="0.35">
      <c r="A26" s="499">
        <v>7</v>
      </c>
      <c r="B26" s="490" t="s">
        <v>1026</v>
      </c>
      <c r="C26" s="487">
        <f>HLOOKUP($C$4,$O$11:$R$41,16,FALSE)</f>
        <v>52809</v>
      </c>
      <c r="D26" s="487">
        <f t="shared" si="0"/>
        <v>0</v>
      </c>
      <c r="E26" s="487">
        <f t="shared" si="1"/>
        <v>52809</v>
      </c>
      <c r="F26" s="487">
        <f t="shared" si="2"/>
        <v>6031.8420000000006</v>
      </c>
      <c r="G26" s="491">
        <f t="shared" si="3"/>
        <v>264.04500000000002</v>
      </c>
      <c r="H26" s="487">
        <f t="shared" si="4"/>
        <v>12557.9802</v>
      </c>
      <c r="I26" s="733">
        <f t="shared" si="5"/>
        <v>71662.867200000008</v>
      </c>
      <c r="J26" s="126">
        <v>1560</v>
      </c>
      <c r="K26" s="734">
        <f t="shared" si="6"/>
        <v>45.94</v>
      </c>
      <c r="L26" s="488">
        <v>0.3</v>
      </c>
      <c r="M26" s="699">
        <v>0.6</v>
      </c>
      <c r="O26" s="718">
        <v>52809</v>
      </c>
      <c r="P26" s="283">
        <v>60981</v>
      </c>
      <c r="Q26">
        <v>58544</v>
      </c>
      <c r="R26">
        <v>54931</v>
      </c>
      <c r="V26" s="542" t="s">
        <v>1027</v>
      </c>
      <c r="W26">
        <v>-2</v>
      </c>
      <c r="X26" s="157"/>
    </row>
    <row r="27" spans="1:24" x14ac:dyDescent="0.35">
      <c r="A27" s="499" t="s">
        <v>1028</v>
      </c>
      <c r="B27" s="490" t="s">
        <v>764</v>
      </c>
      <c r="C27" s="487">
        <f>HLOOKUP($C$4,$O$11:$R$41,17,FALSE)</f>
        <v>53754.676500000001</v>
      </c>
      <c r="D27" s="487">
        <f t="shared" si="0"/>
        <v>0</v>
      </c>
      <c r="E27" s="487">
        <f t="shared" si="1"/>
        <v>53754.676500000001</v>
      </c>
      <c r="F27" s="487">
        <f t="shared" si="2"/>
        <v>6162.3453570000011</v>
      </c>
      <c r="G27" s="491">
        <f t="shared" si="3"/>
        <v>268.77338250000003</v>
      </c>
      <c r="H27" s="487">
        <f t="shared" si="4"/>
        <v>12782.862071700001</v>
      </c>
      <c r="I27" s="733">
        <f t="shared" si="5"/>
        <v>72968.657311200004</v>
      </c>
      <c r="J27" s="126">
        <v>1560</v>
      </c>
      <c r="K27" s="734">
        <f t="shared" si="6"/>
        <v>46.77</v>
      </c>
      <c r="L27" s="488">
        <v>0.3</v>
      </c>
      <c r="M27" s="699">
        <v>0.6</v>
      </c>
      <c r="O27" s="718">
        <v>53754.676500000001</v>
      </c>
      <c r="P27" s="283">
        <v>61927</v>
      </c>
      <c r="Q27">
        <v>59490</v>
      </c>
      <c r="R27">
        <v>55877</v>
      </c>
      <c r="V27" s="542"/>
      <c r="W27" s="767">
        <v>8</v>
      </c>
      <c r="X27" s="157"/>
    </row>
    <row r="28" spans="1:24" x14ac:dyDescent="0.35">
      <c r="A28" s="499" t="s">
        <v>1028</v>
      </c>
      <c r="B28" s="490" t="s">
        <v>773</v>
      </c>
      <c r="C28" s="487">
        <f>HLOOKUP($C$4,$O$11:$R$41,18,FALSE)</f>
        <v>56454</v>
      </c>
      <c r="D28" s="487">
        <f t="shared" si="0"/>
        <v>0</v>
      </c>
      <c r="E28" s="487">
        <f t="shared" si="1"/>
        <v>56454</v>
      </c>
      <c r="F28" s="487">
        <f t="shared" si="2"/>
        <v>6534.8520000000008</v>
      </c>
      <c r="G28" s="491">
        <f t="shared" si="3"/>
        <v>282.27</v>
      </c>
      <c r="H28" s="487">
        <f t="shared" si="4"/>
        <v>13424.761200000001</v>
      </c>
      <c r="I28" s="733">
        <f t="shared" si="5"/>
        <v>76695.883199999997</v>
      </c>
      <c r="J28" s="126">
        <v>1560</v>
      </c>
      <c r="K28" s="734">
        <f t="shared" si="6"/>
        <v>49.16</v>
      </c>
      <c r="L28" s="488">
        <v>0.3</v>
      </c>
      <c r="M28" s="699">
        <v>0.6</v>
      </c>
      <c r="O28" s="718">
        <v>56454</v>
      </c>
      <c r="P28" s="283">
        <v>64626</v>
      </c>
      <c r="Q28">
        <v>62189</v>
      </c>
      <c r="R28">
        <v>58576</v>
      </c>
      <c r="V28" s="542" t="s">
        <v>1029</v>
      </c>
      <c r="W28" s="358">
        <f>W27*4*W23</f>
        <v>1376</v>
      </c>
      <c r="X28" s="157"/>
    </row>
    <row r="29" spans="1:24" x14ac:dyDescent="0.35">
      <c r="A29" s="499" t="s">
        <v>1028</v>
      </c>
      <c r="B29" s="490" t="s">
        <v>1030</v>
      </c>
      <c r="C29" s="487">
        <f>HLOOKUP($C$4,$O$11:$R$41,19,FALSE)</f>
        <v>60504</v>
      </c>
      <c r="D29" s="487">
        <f t="shared" si="0"/>
        <v>0</v>
      </c>
      <c r="E29" s="487">
        <f t="shared" si="1"/>
        <v>60504</v>
      </c>
      <c r="F29" s="487">
        <f t="shared" si="2"/>
        <v>7093.7520000000004</v>
      </c>
      <c r="G29" s="491">
        <f t="shared" si="3"/>
        <v>302.52</v>
      </c>
      <c r="H29" s="487">
        <f t="shared" si="4"/>
        <v>14387.851200000001</v>
      </c>
      <c r="I29" s="733">
        <f t="shared" si="5"/>
        <v>82288.123200000016</v>
      </c>
      <c r="J29" s="126">
        <v>1560</v>
      </c>
      <c r="K29" s="734">
        <f t="shared" si="6"/>
        <v>52.75</v>
      </c>
      <c r="L29" s="488">
        <v>0.3</v>
      </c>
      <c r="M29" s="699">
        <v>0.6</v>
      </c>
      <c r="O29" s="718">
        <v>60504</v>
      </c>
      <c r="P29" s="283">
        <v>68676</v>
      </c>
      <c r="Q29">
        <v>66239</v>
      </c>
      <c r="R29">
        <v>62626</v>
      </c>
      <c r="V29" s="158"/>
      <c r="X29" s="157"/>
    </row>
    <row r="30" spans="1:24" x14ac:dyDescent="0.35">
      <c r="A30" s="499" t="s">
        <v>1031</v>
      </c>
      <c r="B30" s="490" t="s">
        <v>1032</v>
      </c>
      <c r="C30" s="487">
        <f>HLOOKUP($C$4,$O$11:$R$41,20,FALSE)</f>
        <v>62215</v>
      </c>
      <c r="D30" s="487">
        <f t="shared" si="0"/>
        <v>0</v>
      </c>
      <c r="E30" s="487">
        <f t="shared" si="1"/>
        <v>62215</v>
      </c>
      <c r="F30" s="487">
        <f t="shared" si="2"/>
        <v>7329.8700000000008</v>
      </c>
      <c r="G30" s="491">
        <f t="shared" si="3"/>
        <v>311.07499999999999</v>
      </c>
      <c r="H30" s="487">
        <f t="shared" si="4"/>
        <v>14794.727000000001</v>
      </c>
      <c r="I30" s="733">
        <f t="shared" si="5"/>
        <v>84650.671999999991</v>
      </c>
      <c r="J30" s="126">
        <v>1560</v>
      </c>
      <c r="K30" s="734">
        <f t="shared" si="6"/>
        <v>54.26</v>
      </c>
      <c r="L30" s="488">
        <v>0.3</v>
      </c>
      <c r="M30" s="699">
        <v>0.6</v>
      </c>
      <c r="O30" s="718">
        <v>62215</v>
      </c>
      <c r="P30" s="283">
        <v>70387</v>
      </c>
      <c r="Q30">
        <v>67950</v>
      </c>
      <c r="R30">
        <v>64337</v>
      </c>
      <c r="V30" s="542"/>
      <c r="X30" s="157"/>
    </row>
    <row r="31" spans="1:24" x14ac:dyDescent="0.35">
      <c r="A31" s="499" t="s">
        <v>1031</v>
      </c>
      <c r="B31" s="490" t="s">
        <v>1033</v>
      </c>
      <c r="C31" s="487">
        <f>HLOOKUP($C$4,$O$11:$R$41,21,FALSE)</f>
        <v>66246</v>
      </c>
      <c r="D31" s="487">
        <f t="shared" si="0"/>
        <v>0</v>
      </c>
      <c r="E31" s="487">
        <f t="shared" si="1"/>
        <v>66246</v>
      </c>
      <c r="F31" s="487">
        <f t="shared" si="2"/>
        <v>7886.148000000001</v>
      </c>
      <c r="G31" s="491">
        <f t="shared" si="3"/>
        <v>331.23</v>
      </c>
      <c r="H31" s="487">
        <f t="shared" si="4"/>
        <v>15753.2988</v>
      </c>
      <c r="I31" s="733">
        <f t="shared" si="5"/>
        <v>90216.676800000001</v>
      </c>
      <c r="J31" s="126">
        <v>1560</v>
      </c>
      <c r="K31" s="734">
        <f t="shared" si="6"/>
        <v>57.83</v>
      </c>
      <c r="L31" s="488">
        <v>0.3</v>
      </c>
      <c r="M31" s="699">
        <v>0.6</v>
      </c>
      <c r="O31" s="718">
        <v>66246</v>
      </c>
      <c r="P31" s="283">
        <v>74418</v>
      </c>
      <c r="Q31">
        <v>71981</v>
      </c>
      <c r="R31">
        <v>68368</v>
      </c>
      <c r="V31" s="541" t="s">
        <v>1034</v>
      </c>
      <c r="X31" s="157"/>
    </row>
    <row r="32" spans="1:24" x14ac:dyDescent="0.35">
      <c r="A32" s="499" t="s">
        <v>1031</v>
      </c>
      <c r="B32" s="490" t="s">
        <v>1035</v>
      </c>
      <c r="C32" s="487">
        <f>HLOOKUP($C$4,$O$11:$R$41,22,FALSE)</f>
        <v>72293</v>
      </c>
      <c r="D32" s="487">
        <f t="shared" si="0"/>
        <v>0</v>
      </c>
      <c r="E32" s="487">
        <f t="shared" si="1"/>
        <v>72293</v>
      </c>
      <c r="F32" s="487">
        <f t="shared" si="2"/>
        <v>8720.634</v>
      </c>
      <c r="G32" s="491">
        <f t="shared" si="3"/>
        <v>361.46500000000003</v>
      </c>
      <c r="H32" s="487">
        <f t="shared" si="4"/>
        <v>17191.275400000002</v>
      </c>
      <c r="I32" s="733">
        <f t="shared" si="5"/>
        <v>98566.374400000001</v>
      </c>
      <c r="J32" s="126">
        <v>1560</v>
      </c>
      <c r="K32" s="734">
        <f t="shared" si="6"/>
        <v>63.18</v>
      </c>
      <c r="L32" s="488">
        <v>0.3</v>
      </c>
      <c r="M32" s="699">
        <v>0.6</v>
      </c>
      <c r="O32" s="718">
        <v>72293</v>
      </c>
      <c r="P32" s="283">
        <v>80465</v>
      </c>
      <c r="Q32">
        <v>78028</v>
      </c>
      <c r="R32">
        <v>74415</v>
      </c>
      <c r="V32" s="542" t="s">
        <v>1036</v>
      </c>
      <c r="W32">
        <v>44.7</v>
      </c>
      <c r="X32" s="157"/>
    </row>
    <row r="33" spans="1:24" x14ac:dyDescent="0.35">
      <c r="A33" s="499" t="s">
        <v>1037</v>
      </c>
      <c r="B33" s="490" t="s">
        <v>1038</v>
      </c>
      <c r="C33" s="487">
        <f>HLOOKUP($C$4,$O$11:$R$41,23,FALSE)</f>
        <v>74290</v>
      </c>
      <c r="D33" s="487">
        <f t="shared" si="0"/>
        <v>0</v>
      </c>
      <c r="E33" s="487">
        <f t="shared" si="1"/>
        <v>74290</v>
      </c>
      <c r="F33" s="487">
        <f t="shared" si="2"/>
        <v>8996.2200000000012</v>
      </c>
      <c r="G33" s="491">
        <f t="shared" si="3"/>
        <v>371.45</v>
      </c>
      <c r="H33" s="487">
        <f t="shared" si="4"/>
        <v>17666.162</v>
      </c>
      <c r="I33" s="733">
        <f t="shared" si="5"/>
        <v>101323.83199999999</v>
      </c>
      <c r="J33" s="126">
        <v>1560</v>
      </c>
      <c r="K33" s="734">
        <f t="shared" si="6"/>
        <v>64.95</v>
      </c>
      <c r="L33" s="488">
        <v>0.3</v>
      </c>
      <c r="M33" s="699">
        <v>0.6</v>
      </c>
      <c r="O33" s="718">
        <v>74290</v>
      </c>
      <c r="P33" s="283">
        <v>82462</v>
      </c>
      <c r="Q33">
        <v>80025</v>
      </c>
      <c r="R33">
        <v>76412</v>
      </c>
      <c r="V33" s="542" t="s">
        <v>1039</v>
      </c>
      <c r="W33">
        <v>48</v>
      </c>
      <c r="X33" s="157"/>
    </row>
    <row r="34" spans="1:24" x14ac:dyDescent="0.35">
      <c r="A34" s="499" t="s">
        <v>1037</v>
      </c>
      <c r="B34" s="490" t="s">
        <v>1040</v>
      </c>
      <c r="C34" s="487">
        <f>HLOOKUP($C$4,$O$11:$R$41,24,FALSE)</f>
        <v>78814</v>
      </c>
      <c r="D34" s="487">
        <f t="shared" si="0"/>
        <v>0</v>
      </c>
      <c r="E34" s="487">
        <f t="shared" si="1"/>
        <v>78814</v>
      </c>
      <c r="F34" s="487">
        <f t="shared" si="2"/>
        <v>9620.5320000000011</v>
      </c>
      <c r="G34" s="491">
        <f t="shared" si="3"/>
        <v>394.07</v>
      </c>
      <c r="H34" s="487">
        <f t="shared" si="4"/>
        <v>18741.9692</v>
      </c>
      <c r="I34" s="733">
        <f t="shared" si="5"/>
        <v>107570.57120000001</v>
      </c>
      <c r="J34" s="126">
        <v>1560</v>
      </c>
      <c r="K34" s="734">
        <f t="shared" si="6"/>
        <v>68.959999999999994</v>
      </c>
      <c r="L34" s="488">
        <v>0.3</v>
      </c>
      <c r="M34" s="699">
        <v>0.6</v>
      </c>
      <c r="O34" s="718">
        <v>78814</v>
      </c>
      <c r="P34" s="283">
        <v>86986</v>
      </c>
      <c r="Q34">
        <v>84549</v>
      </c>
      <c r="R34">
        <v>80936</v>
      </c>
      <c r="V34" s="542" t="s">
        <v>1041</v>
      </c>
      <c r="W34">
        <v>2145.6</v>
      </c>
      <c r="X34" s="157"/>
    </row>
    <row r="35" spans="1:24" x14ac:dyDescent="0.35">
      <c r="A35" s="499" t="s">
        <v>1037</v>
      </c>
      <c r="B35" s="490" t="s">
        <v>1042</v>
      </c>
      <c r="C35" s="487">
        <f>HLOOKUP($C$4,$O$11:$R$41,25,FALSE)</f>
        <v>85601</v>
      </c>
      <c r="D35" s="487">
        <f t="shared" si="0"/>
        <v>0</v>
      </c>
      <c r="E35" s="487">
        <f t="shared" si="1"/>
        <v>85601</v>
      </c>
      <c r="F35" s="487">
        <f t="shared" si="2"/>
        <v>10557.138000000001</v>
      </c>
      <c r="G35" s="491">
        <f t="shared" si="3"/>
        <v>428.005</v>
      </c>
      <c r="H35" s="487">
        <f t="shared" si="4"/>
        <v>20355.917799999999</v>
      </c>
      <c r="I35" s="733">
        <f t="shared" si="5"/>
        <v>116942.06080000001</v>
      </c>
      <c r="J35" s="126">
        <v>1560</v>
      </c>
      <c r="K35" s="734">
        <f t="shared" si="6"/>
        <v>74.959999999999994</v>
      </c>
      <c r="L35" s="488">
        <v>0.3</v>
      </c>
      <c r="M35" s="699">
        <v>0.6</v>
      </c>
      <c r="O35" s="718">
        <v>85601</v>
      </c>
      <c r="P35" s="283">
        <v>93773</v>
      </c>
      <c r="Q35">
        <v>91336</v>
      </c>
      <c r="R35">
        <v>87723</v>
      </c>
      <c r="V35" s="542" t="s">
        <v>1043</v>
      </c>
      <c r="W35" s="543">
        <v>0.6</v>
      </c>
      <c r="X35" s="157"/>
    </row>
    <row r="36" spans="1:24" x14ac:dyDescent="0.35">
      <c r="A36" s="499" t="s">
        <v>1044</v>
      </c>
      <c r="B36" s="490" t="s">
        <v>1045</v>
      </c>
      <c r="C36" s="487">
        <f>HLOOKUP($C$4,$O$11:$R$41,26,FALSE)</f>
        <v>88168</v>
      </c>
      <c r="D36" s="487">
        <f t="shared" si="0"/>
        <v>0</v>
      </c>
      <c r="E36" s="487">
        <f t="shared" si="1"/>
        <v>88168</v>
      </c>
      <c r="F36" s="487">
        <f t="shared" si="2"/>
        <v>10911.384</v>
      </c>
      <c r="G36" s="491">
        <f t="shared" si="3"/>
        <v>440.84000000000003</v>
      </c>
      <c r="H36" s="487">
        <f t="shared" si="4"/>
        <v>20966.350399999999</v>
      </c>
      <c r="I36" s="733">
        <f t="shared" si="5"/>
        <v>120486.5744</v>
      </c>
      <c r="J36" s="126">
        <v>1560</v>
      </c>
      <c r="K36" s="734">
        <f t="shared" si="6"/>
        <v>77.23</v>
      </c>
      <c r="L36" s="488">
        <v>0.3</v>
      </c>
      <c r="M36" s="699">
        <v>0.6</v>
      </c>
      <c r="O36" s="718">
        <v>88168</v>
      </c>
      <c r="P36" s="283">
        <v>96340</v>
      </c>
      <c r="Q36">
        <v>93903</v>
      </c>
      <c r="R36">
        <v>90290</v>
      </c>
      <c r="V36" s="542" t="s">
        <v>1046</v>
      </c>
      <c r="W36" s="771">
        <f>ROUND(W35*W34,0)</f>
        <v>1287</v>
      </c>
      <c r="X36" s="157"/>
    </row>
    <row r="37" spans="1:24" x14ac:dyDescent="0.35">
      <c r="A37" s="499" t="s">
        <v>1044</v>
      </c>
      <c r="B37" s="490" t="s">
        <v>1047</v>
      </c>
      <c r="C37" s="487">
        <f>HLOOKUP($C$4,$O$11:$R$41,27,FALSE)</f>
        <v>93572</v>
      </c>
      <c r="D37" s="487">
        <f t="shared" si="0"/>
        <v>0</v>
      </c>
      <c r="E37" s="487">
        <f t="shared" si="1"/>
        <v>93572</v>
      </c>
      <c r="F37" s="487">
        <f t="shared" si="2"/>
        <v>11657.136</v>
      </c>
      <c r="G37" s="491">
        <f t="shared" si="3"/>
        <v>467.86</v>
      </c>
      <c r="H37" s="487">
        <f t="shared" si="4"/>
        <v>22251.421600000001</v>
      </c>
      <c r="I37" s="733">
        <f t="shared" si="5"/>
        <v>127948.4176</v>
      </c>
      <c r="J37" s="126">
        <v>1560</v>
      </c>
      <c r="K37" s="734">
        <f t="shared" si="6"/>
        <v>82.02</v>
      </c>
      <c r="L37" s="488">
        <v>0.3</v>
      </c>
      <c r="M37" s="699">
        <v>0.6</v>
      </c>
      <c r="O37" s="718">
        <v>93572</v>
      </c>
      <c r="P37" s="283">
        <v>101744</v>
      </c>
      <c r="Q37">
        <v>99307</v>
      </c>
      <c r="R37">
        <v>95694</v>
      </c>
      <c r="V37" s="159"/>
      <c r="W37" s="160"/>
      <c r="X37" s="161"/>
    </row>
    <row r="38" spans="1:24" x14ac:dyDescent="0.35">
      <c r="A38" s="499" t="s">
        <v>1044</v>
      </c>
      <c r="B38" s="490" t="s">
        <v>1048</v>
      </c>
      <c r="C38" s="487">
        <f>HLOOKUP($C$4,$O$11:$R$41,28,FALSE)</f>
        <v>101677</v>
      </c>
      <c r="D38" s="487">
        <f t="shared" si="0"/>
        <v>0</v>
      </c>
      <c r="E38" s="487">
        <f t="shared" si="1"/>
        <v>101677</v>
      </c>
      <c r="F38" s="487">
        <f t="shared" si="2"/>
        <v>12775.626</v>
      </c>
      <c r="G38" s="491">
        <f t="shared" si="3"/>
        <v>508.38499999999999</v>
      </c>
      <c r="H38" s="487">
        <f t="shared" si="4"/>
        <v>24178.7906</v>
      </c>
      <c r="I38" s="733">
        <f t="shared" si="5"/>
        <v>139139.80160000001</v>
      </c>
      <c r="J38" s="126">
        <v>1560</v>
      </c>
      <c r="K38" s="734">
        <f t="shared" si="6"/>
        <v>89.19</v>
      </c>
      <c r="L38" s="488">
        <v>0.3</v>
      </c>
      <c r="M38" s="699">
        <v>0.6</v>
      </c>
      <c r="O38" s="718">
        <v>101677</v>
      </c>
      <c r="P38" s="283">
        <v>109849</v>
      </c>
      <c r="Q38">
        <v>107412</v>
      </c>
      <c r="R38">
        <v>103799</v>
      </c>
    </row>
    <row r="39" spans="1:24" x14ac:dyDescent="0.35">
      <c r="A39" s="499">
        <v>9</v>
      </c>
      <c r="B39" s="490" t="s">
        <v>1049</v>
      </c>
      <c r="C39" s="487">
        <f>HLOOKUP($C$4,$O$11:$R$41,29,FALSE)</f>
        <v>105385</v>
      </c>
      <c r="D39" s="487">
        <f t="shared" si="0"/>
        <v>0</v>
      </c>
      <c r="E39" s="487">
        <f t="shared" si="1"/>
        <v>105385</v>
      </c>
      <c r="F39" s="487">
        <f t="shared" si="2"/>
        <v>13287.330000000002</v>
      </c>
      <c r="G39" s="491">
        <f t="shared" si="3"/>
        <v>526.92499999999995</v>
      </c>
      <c r="H39" s="487">
        <f t="shared" si="4"/>
        <v>25060.553</v>
      </c>
      <c r="I39" s="733">
        <f t="shared" si="5"/>
        <v>144259.80800000002</v>
      </c>
      <c r="J39" s="126">
        <v>1560</v>
      </c>
      <c r="K39" s="734">
        <f t="shared" si="6"/>
        <v>92.47</v>
      </c>
      <c r="L39" s="488">
        <v>0.3</v>
      </c>
      <c r="M39" s="699">
        <v>0.6</v>
      </c>
      <c r="O39" s="718">
        <v>105385</v>
      </c>
      <c r="P39" s="283">
        <v>113557</v>
      </c>
      <c r="Q39">
        <v>111120</v>
      </c>
      <c r="R39">
        <v>107507</v>
      </c>
    </row>
    <row r="40" spans="1:24" x14ac:dyDescent="0.35">
      <c r="A40" s="499">
        <v>9</v>
      </c>
      <c r="B40" s="490" t="s">
        <v>1050</v>
      </c>
      <c r="C40" s="487">
        <f>HLOOKUP($C$4,$O$11:$R$41,30,FALSE)</f>
        <v>111740</v>
      </c>
      <c r="D40" s="487">
        <f t="shared" si="0"/>
        <v>0</v>
      </c>
      <c r="E40" s="487">
        <f t="shared" si="1"/>
        <v>111740</v>
      </c>
      <c r="F40" s="487">
        <f t="shared" si="2"/>
        <v>14164.320000000002</v>
      </c>
      <c r="G40" s="491">
        <f t="shared" si="3"/>
        <v>558.70000000000005</v>
      </c>
      <c r="H40" s="487">
        <f t="shared" si="4"/>
        <v>26571.772000000001</v>
      </c>
      <c r="I40" s="733">
        <f t="shared" si="5"/>
        <v>153034.79200000002</v>
      </c>
      <c r="J40" s="126">
        <v>1560</v>
      </c>
      <c r="K40" s="734">
        <f t="shared" si="6"/>
        <v>98.1</v>
      </c>
      <c r="L40" s="488">
        <v>0.3</v>
      </c>
      <c r="M40" s="699">
        <v>0.6</v>
      </c>
      <c r="O40" s="718">
        <v>111740</v>
      </c>
      <c r="P40" s="283">
        <v>119912</v>
      </c>
      <c r="Q40">
        <v>117475</v>
      </c>
      <c r="R40">
        <v>113862</v>
      </c>
    </row>
    <row r="41" spans="1:24" x14ac:dyDescent="0.35">
      <c r="A41" s="499">
        <v>9</v>
      </c>
      <c r="B41" s="490" t="s">
        <v>1051</v>
      </c>
      <c r="C41" s="487">
        <f>HLOOKUP($C$4,$O$11:$R$41,31,FALSE)</f>
        <v>121271</v>
      </c>
      <c r="D41" s="487">
        <f t="shared" si="0"/>
        <v>0</v>
      </c>
      <c r="E41" s="487">
        <f t="shared" si="1"/>
        <v>121271</v>
      </c>
      <c r="F41" s="487">
        <f t="shared" si="2"/>
        <v>15479.598000000002</v>
      </c>
      <c r="G41" s="491">
        <f t="shared" si="3"/>
        <v>606.35500000000002</v>
      </c>
      <c r="H41" s="487">
        <f t="shared" si="4"/>
        <v>28838.2438</v>
      </c>
      <c r="I41" s="733">
        <f t="shared" si="5"/>
        <v>166195.19680000001</v>
      </c>
      <c r="J41" s="126">
        <v>1560</v>
      </c>
      <c r="K41" s="734">
        <f t="shared" si="6"/>
        <v>106.54</v>
      </c>
      <c r="L41" s="488">
        <v>0.3</v>
      </c>
      <c r="M41" s="699">
        <v>0.6</v>
      </c>
      <c r="O41" s="718">
        <v>121271</v>
      </c>
      <c r="P41" s="283">
        <v>129443</v>
      </c>
      <c r="Q41">
        <v>127006</v>
      </c>
      <c r="R41">
        <v>123393</v>
      </c>
    </row>
    <row r="42" spans="1:24" x14ac:dyDescent="0.35">
      <c r="A42" s="499" t="s">
        <v>1034</v>
      </c>
      <c r="B42" s="147" t="s">
        <v>1052</v>
      </c>
      <c r="C42" s="487">
        <v>73113</v>
      </c>
      <c r="D42" s="487">
        <f t="shared" si="0"/>
        <v>0</v>
      </c>
      <c r="E42" s="487">
        <f t="shared" si="1"/>
        <v>73113</v>
      </c>
      <c r="F42" s="487">
        <f t="shared" si="2"/>
        <v>8833.7939999999999</v>
      </c>
      <c r="G42" s="491">
        <f t="shared" si="3"/>
        <v>365.565</v>
      </c>
      <c r="H42" s="487">
        <f>C42*0.2068</f>
        <v>15119.768400000001</v>
      </c>
      <c r="I42" s="733">
        <f t="shared" si="5"/>
        <v>97432.127399999998</v>
      </c>
      <c r="J42" s="126">
        <f>W36</f>
        <v>1287</v>
      </c>
      <c r="K42" s="734">
        <f t="shared" si="6"/>
        <v>75.7</v>
      </c>
      <c r="L42" s="489">
        <v>0</v>
      </c>
      <c r="M42" s="700">
        <v>0</v>
      </c>
    </row>
    <row r="43" spans="1:24" x14ac:dyDescent="0.35">
      <c r="A43" s="499" t="s">
        <v>1034</v>
      </c>
      <c r="B43" s="147" t="s">
        <v>1053</v>
      </c>
      <c r="C43" s="487">
        <f>(C42+C44)/2</f>
        <v>91721.5</v>
      </c>
      <c r="D43" s="487">
        <f t="shared" si="0"/>
        <v>0</v>
      </c>
      <c r="E43" s="487">
        <f t="shared" si="1"/>
        <v>91721.5</v>
      </c>
      <c r="F43" s="487">
        <f t="shared" si="2"/>
        <v>11401.767000000002</v>
      </c>
      <c r="G43" s="491">
        <f t="shared" si="3"/>
        <v>458.60750000000002</v>
      </c>
      <c r="H43" s="487">
        <f>C43*0.2068</f>
        <v>18968.0062</v>
      </c>
      <c r="I43" s="733">
        <f t="shared" si="5"/>
        <v>122549.88070000001</v>
      </c>
      <c r="J43" s="126">
        <f>W36</f>
        <v>1287</v>
      </c>
      <c r="K43" s="734">
        <f t="shared" si="6"/>
        <v>95.22</v>
      </c>
      <c r="L43" s="489">
        <v>0</v>
      </c>
      <c r="M43" s="700">
        <v>0</v>
      </c>
    </row>
    <row r="44" spans="1:24" x14ac:dyDescent="0.35">
      <c r="A44" s="737" t="s">
        <v>1034</v>
      </c>
      <c r="B44" s="738" t="s">
        <v>1053</v>
      </c>
      <c r="C44" s="547">
        <v>110330</v>
      </c>
      <c r="D44" s="547">
        <f t="shared" si="0"/>
        <v>0</v>
      </c>
      <c r="E44" s="487">
        <f t="shared" si="1"/>
        <v>110330</v>
      </c>
      <c r="F44" s="487">
        <f t="shared" si="2"/>
        <v>13969.740000000002</v>
      </c>
      <c r="G44" s="491">
        <f t="shared" si="3"/>
        <v>551.65</v>
      </c>
      <c r="H44" s="547">
        <f>C44*0.2068</f>
        <v>22816.244000000002</v>
      </c>
      <c r="I44" s="733">
        <f t="shared" si="5"/>
        <v>147667.63399999999</v>
      </c>
      <c r="J44" s="126">
        <f>W36</f>
        <v>1287</v>
      </c>
      <c r="K44" s="734">
        <f t="shared" si="6"/>
        <v>114.74</v>
      </c>
      <c r="L44" s="489">
        <v>0</v>
      </c>
      <c r="M44" s="700">
        <v>0</v>
      </c>
    </row>
    <row r="45" spans="1:24" x14ac:dyDescent="0.35">
      <c r="A45" s="499" t="s">
        <v>1021</v>
      </c>
      <c r="B45" s="147" t="s">
        <v>1054</v>
      </c>
      <c r="C45" s="487">
        <v>105504</v>
      </c>
      <c r="D45" s="487">
        <f t="shared" si="0"/>
        <v>0</v>
      </c>
      <c r="E45" s="487">
        <f t="shared" si="1"/>
        <v>105504</v>
      </c>
      <c r="F45" s="487">
        <f t="shared" si="2"/>
        <v>13303.752</v>
      </c>
      <c r="G45" s="491">
        <f t="shared" si="3"/>
        <v>527.52</v>
      </c>
      <c r="H45" s="487">
        <f t="shared" si="4"/>
        <v>25088.851200000001</v>
      </c>
      <c r="I45" s="733">
        <f t="shared" si="5"/>
        <v>144424.1232</v>
      </c>
      <c r="J45" s="126">
        <v>1376</v>
      </c>
      <c r="K45" s="734">
        <f t="shared" si="6"/>
        <v>104.96</v>
      </c>
      <c r="L45" s="489">
        <v>0</v>
      </c>
      <c r="M45" s="700">
        <v>0</v>
      </c>
    </row>
    <row r="46" spans="1:24" x14ac:dyDescent="0.35">
      <c r="A46" s="499" t="s">
        <v>1021</v>
      </c>
      <c r="B46" s="147" t="s">
        <v>753</v>
      </c>
      <c r="C46" s="487">
        <f>(4*114894+6*126018)/10</f>
        <v>121568.4</v>
      </c>
      <c r="D46" s="487">
        <f t="shared" si="0"/>
        <v>0</v>
      </c>
      <c r="E46" s="487">
        <f t="shared" si="1"/>
        <v>121568.4</v>
      </c>
      <c r="F46" s="487">
        <f t="shared" si="2"/>
        <v>15520.6392</v>
      </c>
      <c r="G46" s="491">
        <f t="shared" si="3"/>
        <v>607.84199999999998</v>
      </c>
      <c r="H46" s="487">
        <f t="shared" si="4"/>
        <v>28908.965520000002</v>
      </c>
      <c r="I46" s="733">
        <f t="shared" si="5"/>
        <v>166605.84672</v>
      </c>
      <c r="J46" s="126">
        <v>1376</v>
      </c>
      <c r="K46" s="734">
        <f t="shared" si="6"/>
        <v>121.08</v>
      </c>
      <c r="L46" s="489">
        <v>0</v>
      </c>
      <c r="M46" s="700">
        <v>0</v>
      </c>
    </row>
    <row r="47" spans="1:24" ht="15" thickBot="1" x14ac:dyDescent="0.4">
      <c r="A47" s="500" t="s">
        <v>1021</v>
      </c>
      <c r="B47" s="492" t="s">
        <v>1055</v>
      </c>
      <c r="C47" s="493">
        <v>139882</v>
      </c>
      <c r="D47" s="493">
        <f t="shared" si="0"/>
        <v>0</v>
      </c>
      <c r="E47" s="493">
        <f t="shared" si="1"/>
        <v>139882</v>
      </c>
      <c r="F47" s="493">
        <f t="shared" si="2"/>
        <v>18047.916000000001</v>
      </c>
      <c r="G47" s="739">
        <f t="shared" si="3"/>
        <v>699.41</v>
      </c>
      <c r="H47" s="493">
        <f t="shared" si="4"/>
        <v>33263.939600000005</v>
      </c>
      <c r="I47" s="494">
        <f t="shared" si="5"/>
        <v>191893.26560000001</v>
      </c>
      <c r="J47" s="741">
        <v>1376</v>
      </c>
      <c r="K47" s="701">
        <f t="shared" si="6"/>
        <v>139.46</v>
      </c>
      <c r="L47" s="702">
        <v>0</v>
      </c>
      <c r="M47" s="703">
        <v>0</v>
      </c>
    </row>
    <row r="96" ht="23.5" customHeight="1" x14ac:dyDescent="0.35"/>
    <row r="97" ht="55.5" customHeight="1" x14ac:dyDescent="0.35"/>
    <row r="98" ht="23.5" customHeight="1" x14ac:dyDescent="0.35"/>
    <row r="99" ht="23.5" customHeight="1" x14ac:dyDescent="0.35"/>
    <row r="100" ht="23.5" customHeight="1" x14ac:dyDescent="0.35"/>
    <row r="101" ht="23.5" customHeight="1" x14ac:dyDescent="0.35"/>
    <row r="102" ht="23.5" customHeight="1" x14ac:dyDescent="0.35"/>
  </sheetData>
  <sheetProtection algorithmName="SHA-512" hashValue="z7DQ/m0E2/72uc0kbAhtgGt350yfmx48YQ1Wbgwo/2trKhzQsU7HOH1WCbHpMM5UqE4T8xN9p5VAuwKl5Sz5Ig==" saltValue="9Q6ndA09s1RLFUnCftjV6Q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9"/>
  <sheetViews>
    <sheetView showGridLines="0" tabSelected="1" topLeftCell="A10" zoomScale="80" zoomScaleNormal="80" zoomScaleSheetLayoutView="80" workbookViewId="0">
      <selection activeCell="F28" sqref="F28"/>
    </sheetView>
  </sheetViews>
  <sheetFormatPr defaultRowHeight="14.5" x14ac:dyDescent="0.35"/>
  <cols>
    <col min="1" max="1" width="1.453125" customWidth="1"/>
    <col min="2" max="2" width="1.81640625" customWidth="1"/>
    <col min="5" max="5" width="10.26953125" customWidth="1"/>
    <col min="14" max="14" width="8.54296875" customWidth="1"/>
    <col min="15" max="15" width="8.1796875" customWidth="1"/>
    <col min="16" max="16" width="1.453125" customWidth="1"/>
    <col min="21" max="21" width="31" customWidth="1"/>
  </cols>
  <sheetData>
    <row r="2" spans="2:15" x14ac:dyDescent="0.35">
      <c r="B2" s="170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155"/>
    </row>
    <row r="3" spans="2:15" x14ac:dyDescent="0.35">
      <c r="B3" s="158"/>
      <c r="O3" s="157"/>
    </row>
    <row r="4" spans="2:15" x14ac:dyDescent="0.35">
      <c r="B4" s="158"/>
      <c r="O4" s="157"/>
    </row>
    <row r="5" spans="2:15" x14ac:dyDescent="0.35">
      <c r="B5" s="158"/>
      <c r="O5" s="157"/>
    </row>
    <row r="6" spans="2:15" x14ac:dyDescent="0.35">
      <c r="B6" s="158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57"/>
    </row>
    <row r="7" spans="2:15" ht="31" x14ac:dyDescent="0.7">
      <c r="B7" s="158"/>
      <c r="C7" s="172" t="s">
        <v>621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57"/>
    </row>
    <row r="8" spans="2:15" x14ac:dyDescent="0.35">
      <c r="B8" s="158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57"/>
    </row>
    <row r="9" spans="2:15" x14ac:dyDescent="0.35">
      <c r="B9" s="158"/>
      <c r="O9" s="157"/>
    </row>
    <row r="10" spans="2:15" ht="31" x14ac:dyDescent="0.7">
      <c r="B10" s="158"/>
      <c r="C10" s="690" t="s">
        <v>622</v>
      </c>
      <c r="O10" s="157"/>
    </row>
    <row r="11" spans="2:15" ht="31" x14ac:dyDescent="0.35">
      <c r="B11" s="158"/>
      <c r="C11" s="342" t="s">
        <v>623</v>
      </c>
      <c r="O11" s="157"/>
    </row>
    <row r="12" spans="2:15" ht="31" x14ac:dyDescent="0.35">
      <c r="B12" s="158"/>
      <c r="C12" s="342" t="s">
        <v>1062</v>
      </c>
      <c r="O12" s="157"/>
    </row>
    <row r="13" spans="2:15" ht="31" x14ac:dyDescent="0.35">
      <c r="B13" s="158"/>
      <c r="C13" s="342"/>
      <c r="O13" s="157"/>
    </row>
    <row r="14" spans="2:15" ht="31" x14ac:dyDescent="0.7">
      <c r="B14" s="158"/>
      <c r="C14" s="173" t="s">
        <v>624</v>
      </c>
      <c r="D14" s="174"/>
      <c r="O14" s="157"/>
    </row>
    <row r="15" spans="2:15" ht="31" x14ac:dyDescent="0.7">
      <c r="B15" s="158"/>
      <c r="D15" s="174"/>
      <c r="O15" s="157"/>
    </row>
    <row r="16" spans="2:15" ht="31" x14ac:dyDescent="0.7">
      <c r="B16" s="158"/>
      <c r="C16" s="342" t="s">
        <v>1061</v>
      </c>
      <c r="D16" s="174"/>
      <c r="O16" s="157"/>
    </row>
    <row r="17" spans="2:15" ht="31" x14ac:dyDescent="0.7">
      <c r="B17" s="158"/>
      <c r="D17" s="174"/>
      <c r="O17" s="157"/>
    </row>
    <row r="18" spans="2:15" ht="31" x14ac:dyDescent="0.7">
      <c r="B18" s="158"/>
      <c r="D18" s="174"/>
      <c r="O18" s="157"/>
    </row>
    <row r="19" spans="2:15" ht="31" x14ac:dyDescent="0.7">
      <c r="B19" s="158"/>
      <c r="D19" s="174"/>
      <c r="O19" s="157"/>
    </row>
    <row r="20" spans="2:15" x14ac:dyDescent="0.35">
      <c r="B20" s="158"/>
      <c r="O20" s="157"/>
    </row>
    <row r="21" spans="2:15" x14ac:dyDescent="0.35">
      <c r="B21" s="158"/>
      <c r="C21" s="147" t="s">
        <v>625</v>
      </c>
      <c r="D21" s="194"/>
      <c r="E21" s="166"/>
      <c r="F21" s="233" t="s">
        <v>626</v>
      </c>
      <c r="G21" s="194"/>
      <c r="H21" s="194"/>
      <c r="I21" s="194"/>
      <c r="J21" s="194"/>
      <c r="K21" s="194"/>
      <c r="L21" s="194"/>
      <c r="M21" s="166"/>
      <c r="O21" s="157"/>
    </row>
    <row r="22" spans="2:15" x14ac:dyDescent="0.35">
      <c r="B22" s="158"/>
      <c r="C22" s="147" t="s">
        <v>627</v>
      </c>
      <c r="D22" s="194"/>
      <c r="E22" s="166"/>
      <c r="F22" s="233" t="s">
        <v>628</v>
      </c>
      <c r="G22" s="194"/>
      <c r="H22" s="194"/>
      <c r="I22" s="194"/>
      <c r="J22" s="194"/>
      <c r="K22" s="194"/>
      <c r="L22" s="194"/>
      <c r="M22" s="166"/>
      <c r="O22" s="157"/>
    </row>
    <row r="23" spans="2:15" x14ac:dyDescent="0.35">
      <c r="B23" s="158"/>
      <c r="C23" s="147" t="s">
        <v>629</v>
      </c>
      <c r="D23" s="194"/>
      <c r="E23" s="166"/>
      <c r="F23" s="233" t="s">
        <v>630</v>
      </c>
      <c r="G23" s="194"/>
      <c r="H23" s="194"/>
      <c r="I23" s="194"/>
      <c r="J23" s="194"/>
      <c r="K23" s="194"/>
      <c r="L23" s="194"/>
      <c r="M23" s="166"/>
      <c r="O23" s="157"/>
    </row>
    <row r="24" spans="2:15" x14ac:dyDescent="0.35">
      <c r="B24" s="158"/>
      <c r="C24" s="147" t="s">
        <v>631</v>
      </c>
      <c r="D24" s="194"/>
      <c r="E24" s="166"/>
      <c r="F24" s="233" t="s">
        <v>632</v>
      </c>
      <c r="G24" s="194"/>
      <c r="H24" s="194"/>
      <c r="I24" s="194"/>
      <c r="J24" s="194"/>
      <c r="K24" s="194"/>
      <c r="L24" s="194"/>
      <c r="M24" s="166"/>
      <c r="O24" s="157"/>
    </row>
    <row r="25" spans="2:15" x14ac:dyDescent="0.35">
      <c r="B25" s="158"/>
      <c r="C25" s="233" t="s">
        <v>633</v>
      </c>
      <c r="D25" s="194"/>
      <c r="E25" s="166"/>
      <c r="F25" s="233" t="s">
        <v>634</v>
      </c>
      <c r="G25" s="194"/>
      <c r="H25" s="194"/>
      <c r="I25" s="194"/>
      <c r="J25" s="194"/>
      <c r="K25" s="194"/>
      <c r="L25" s="194"/>
      <c r="M25" s="166"/>
      <c r="O25" s="157"/>
    </row>
    <row r="26" spans="2:15" x14ac:dyDescent="0.35">
      <c r="B26" s="158"/>
      <c r="C26" s="147" t="s">
        <v>635</v>
      </c>
      <c r="D26" s="194"/>
      <c r="E26" s="166"/>
      <c r="F26" s="233" t="s">
        <v>636</v>
      </c>
      <c r="G26" s="194"/>
      <c r="H26" s="194"/>
      <c r="I26" s="194"/>
      <c r="J26" s="194"/>
      <c r="K26" s="194"/>
      <c r="L26" s="194"/>
      <c r="M26" s="166"/>
      <c r="O26" s="157"/>
    </row>
    <row r="27" spans="2:15" x14ac:dyDescent="0.35">
      <c r="B27" s="158"/>
      <c r="C27" s="147" t="s">
        <v>637</v>
      </c>
      <c r="D27" s="194"/>
      <c r="E27" s="166"/>
      <c r="F27" s="233" t="s">
        <v>638</v>
      </c>
      <c r="G27" s="194"/>
      <c r="H27" s="194"/>
      <c r="I27" s="194"/>
      <c r="J27" s="194"/>
      <c r="K27" s="194"/>
      <c r="L27" s="194"/>
      <c r="M27" s="166"/>
      <c r="O27" s="157"/>
    </row>
    <row r="28" spans="2:15" x14ac:dyDescent="0.35">
      <c r="B28" s="158"/>
      <c r="C28" s="147" t="s">
        <v>639</v>
      </c>
      <c r="D28" s="194"/>
      <c r="E28" s="166"/>
      <c r="F28" s="233" t="s">
        <v>640</v>
      </c>
      <c r="G28" s="194"/>
      <c r="H28" s="194"/>
      <c r="I28" s="194"/>
      <c r="J28" s="194"/>
      <c r="K28" s="194"/>
      <c r="L28" s="194"/>
      <c r="M28" s="166"/>
      <c r="O28" s="157"/>
    </row>
    <row r="29" spans="2:15" x14ac:dyDescent="0.35">
      <c r="B29" s="159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1"/>
    </row>
  </sheetData>
  <sheetProtection algorithmName="SHA-512" hashValue="dq7FNeDu98bQVYLFcD1zOQsEQl7Q9EYAf70ff0a8d6BqXp+fhv9iBJMvi0aXqI4XcagKF3UGmQuwIiwTPp5Vew==" saltValue="OiLK7n3kdpvhgUH9ulOrL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380" t="s">
        <v>641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9"/>
    </row>
    <row r="5" spans="2:17" x14ac:dyDescent="0.35">
      <c r="B5" s="223" t="s">
        <v>642</v>
      </c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224"/>
    </row>
    <row r="6" spans="2:17" x14ac:dyDescent="0.35">
      <c r="B6" s="228" t="s">
        <v>643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9"/>
    </row>
    <row r="7" spans="2:17" x14ac:dyDescent="0.35">
      <c r="B7" s="226" t="s">
        <v>644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7"/>
    </row>
    <row r="9" spans="2:17" x14ac:dyDescent="0.35">
      <c r="N9" s="469"/>
      <c r="O9" s="469"/>
      <c r="P9" s="469"/>
    </row>
    <row r="10" spans="2:17" x14ac:dyDescent="0.35">
      <c r="B10" s="223"/>
      <c r="C10" s="768"/>
      <c r="D10" s="768"/>
      <c r="E10" s="768"/>
      <c r="F10" s="768"/>
      <c r="G10" s="768"/>
      <c r="H10" s="224"/>
      <c r="J10" s="223"/>
      <c r="K10" s="768"/>
      <c r="L10" s="768"/>
      <c r="M10" s="768"/>
      <c r="N10" s="221"/>
      <c r="O10" s="221"/>
      <c r="P10" s="221"/>
      <c r="Q10" s="158"/>
    </row>
    <row r="11" spans="2:17" ht="46.5" x14ac:dyDescent="0.35">
      <c r="B11" s="228"/>
      <c r="C11" s="365" t="s">
        <v>645</v>
      </c>
      <c r="D11" s="472"/>
      <c r="E11" s="365" t="s">
        <v>646</v>
      </c>
      <c r="F11" s="472"/>
      <c r="G11" s="468" t="s">
        <v>647</v>
      </c>
      <c r="H11" s="473"/>
      <c r="I11" s="366"/>
      <c r="J11" s="476"/>
      <c r="K11" s="367" t="s">
        <v>648</v>
      </c>
      <c r="L11" s="476"/>
      <c r="M11" s="367" t="s">
        <v>649</v>
      </c>
      <c r="N11" s="472"/>
      <c r="O11" s="367" t="s">
        <v>650</v>
      </c>
      <c r="P11" s="472"/>
      <c r="Q11" s="158"/>
    </row>
    <row r="12" spans="2:17" x14ac:dyDescent="0.35">
      <c r="B12" s="228"/>
      <c r="C12" s="221"/>
      <c r="D12" s="221"/>
      <c r="E12" s="221"/>
      <c r="F12" s="221"/>
      <c r="G12" s="221"/>
      <c r="H12" s="229"/>
      <c r="J12" s="228"/>
      <c r="K12" s="221"/>
      <c r="L12" s="221"/>
      <c r="M12" s="221"/>
      <c r="N12" s="221"/>
      <c r="O12" s="221"/>
      <c r="P12" s="221"/>
      <c r="Q12" s="158"/>
    </row>
    <row r="13" spans="2:17" ht="40" customHeight="1" x14ac:dyDescent="0.35">
      <c r="B13" s="228"/>
      <c r="C13" s="470"/>
      <c r="D13" s="194"/>
      <c r="E13" s="528" t="s">
        <v>651</v>
      </c>
      <c r="F13" s="194"/>
      <c r="G13" s="471"/>
      <c r="H13" s="229"/>
      <c r="J13" s="228"/>
      <c r="K13" s="470"/>
      <c r="L13" s="194"/>
      <c r="M13" s="529" t="s">
        <v>652</v>
      </c>
      <c r="N13" s="194"/>
      <c r="O13" s="471"/>
      <c r="P13" s="221"/>
      <c r="Q13" s="158"/>
    </row>
    <row r="14" spans="2:17" x14ac:dyDescent="0.35">
      <c r="B14" s="228"/>
      <c r="C14" s="221"/>
      <c r="D14" s="221"/>
      <c r="E14" s="221"/>
      <c r="F14" s="221"/>
      <c r="G14" s="221"/>
      <c r="H14" s="229"/>
      <c r="J14" s="228"/>
      <c r="K14" s="221"/>
      <c r="L14" s="221"/>
      <c r="M14" s="221"/>
      <c r="N14" s="221"/>
      <c r="O14" s="221"/>
      <c r="P14" s="221"/>
      <c r="Q14" s="158"/>
    </row>
    <row r="15" spans="2:17" ht="213.75" customHeight="1" x14ac:dyDescent="0.35">
      <c r="B15" s="228"/>
      <c r="C15" s="362" t="s">
        <v>653</v>
      </c>
      <c r="D15" s="474"/>
      <c r="E15" s="363" t="s">
        <v>654</v>
      </c>
      <c r="F15" s="474"/>
      <c r="G15" s="361" t="s">
        <v>655</v>
      </c>
      <c r="H15" s="475"/>
      <c r="I15" s="239"/>
      <c r="J15" s="477"/>
      <c r="K15" s="364" t="s">
        <v>656</v>
      </c>
      <c r="L15" s="477"/>
      <c r="M15" s="404" t="s">
        <v>657</v>
      </c>
      <c r="N15" s="474"/>
      <c r="O15" s="404" t="s">
        <v>658</v>
      </c>
      <c r="P15" s="474"/>
      <c r="Q15" s="158"/>
    </row>
    <row r="16" spans="2:17" x14ac:dyDescent="0.35">
      <c r="B16" s="226"/>
      <c r="C16" s="225"/>
      <c r="D16" s="225"/>
      <c r="E16" s="225"/>
      <c r="F16" s="225"/>
      <c r="G16" s="225"/>
      <c r="H16" s="227"/>
      <c r="J16" s="226"/>
      <c r="K16" s="225"/>
      <c r="L16" s="478"/>
      <c r="M16" s="478"/>
      <c r="N16" s="478"/>
      <c r="O16" s="478"/>
      <c r="P16" s="478"/>
      <c r="Q16" s="158"/>
    </row>
    <row r="19" spans="2:16" x14ac:dyDescent="0.35">
      <c r="B19" s="223"/>
      <c r="C19" s="768"/>
      <c r="D19" s="768"/>
      <c r="E19" s="768"/>
      <c r="F19" s="768"/>
      <c r="G19" s="768"/>
      <c r="H19" s="768"/>
      <c r="I19" s="768"/>
      <c r="J19" s="768"/>
      <c r="K19" s="768"/>
      <c r="L19" s="768"/>
      <c r="M19" s="768"/>
      <c r="N19" s="768"/>
      <c r="O19" s="768"/>
      <c r="P19" s="224"/>
    </row>
    <row r="20" spans="2:16" x14ac:dyDescent="0.35">
      <c r="B20" s="228" t="s">
        <v>659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9"/>
    </row>
    <row r="21" spans="2:16" x14ac:dyDescent="0.35">
      <c r="B21" s="479" t="s">
        <v>660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9"/>
    </row>
    <row r="22" spans="2:16" x14ac:dyDescent="0.35">
      <c r="B22" s="480" t="s">
        <v>661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9"/>
    </row>
    <row r="23" spans="2:16" x14ac:dyDescent="0.35">
      <c r="B23" s="481" t="s">
        <v>662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9"/>
    </row>
    <row r="24" spans="2:16" x14ac:dyDescent="0.35">
      <c r="B24" s="480" t="s">
        <v>663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9"/>
    </row>
    <row r="25" spans="2:16" x14ac:dyDescent="0.35">
      <c r="B25" s="480" t="s">
        <v>664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9"/>
    </row>
    <row r="26" spans="2:16" x14ac:dyDescent="0.35">
      <c r="B26" s="228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9"/>
    </row>
    <row r="27" spans="2:16" x14ac:dyDescent="0.35">
      <c r="B27" s="482" t="s">
        <v>665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9"/>
    </row>
    <row r="28" spans="2:16" x14ac:dyDescent="0.35">
      <c r="B28" s="226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7"/>
    </row>
  </sheetData>
  <sheetProtection algorithmName="SHA-512" hashValue="lqcCrimzwwC6DjykwfjoYhQ1tDgcjoayL0nVg0Y5/vyq5yFR6/ya8mxS0eUx2Dl8jpexBU4rcKQW1hve+uDwLg==" saltValue="UQtqtv+Z23irnq3p6qsGRg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Y118"/>
  <sheetViews>
    <sheetView showGridLines="0" zoomScale="70" zoomScaleNormal="70" workbookViewId="0">
      <selection activeCell="I55" sqref="I55:I58"/>
    </sheetView>
  </sheetViews>
  <sheetFormatPr defaultRowHeight="14.5" x14ac:dyDescent="0.35"/>
  <cols>
    <col min="1" max="1" width="2.453125" customWidth="1"/>
    <col min="2" max="2" width="5.81640625" customWidth="1"/>
    <col min="3" max="3" width="41.1796875" customWidth="1"/>
    <col min="4" max="4" width="29.1796875" customWidth="1"/>
    <col min="5" max="5" width="18" customWidth="1"/>
    <col min="6" max="6" width="13.1796875" customWidth="1"/>
    <col min="7" max="18" width="13.453125" customWidth="1"/>
    <col min="19" max="19" width="3.453125" customWidth="1"/>
  </cols>
  <sheetData>
    <row r="1" spans="2:24" ht="30" customHeight="1" x14ac:dyDescent="0.35">
      <c r="B1" s="546" t="s">
        <v>1063</v>
      </c>
    </row>
    <row r="2" spans="2:24" ht="30" customHeight="1" x14ac:dyDescent="0.35">
      <c r="B2" s="153" t="s">
        <v>666</v>
      </c>
      <c r="C2" s="153"/>
      <c r="D2" s="152"/>
      <c r="E2" s="169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4" spans="2:24" x14ac:dyDescent="0.35">
      <c r="B4" s="154" t="s">
        <v>667</v>
      </c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155"/>
    </row>
    <row r="5" spans="2:24" x14ac:dyDescent="0.35">
      <c r="B5" s="158"/>
      <c r="C5" t="s">
        <v>668</v>
      </c>
      <c r="S5" s="157"/>
    </row>
    <row r="6" spans="2:24" x14ac:dyDescent="0.35">
      <c r="B6" s="158"/>
      <c r="C6" t="s">
        <v>669</v>
      </c>
      <c r="S6" s="157"/>
    </row>
    <row r="7" spans="2:24" x14ac:dyDescent="0.35">
      <c r="B7" s="158"/>
      <c r="C7" t="s">
        <v>670</v>
      </c>
      <c r="S7" s="157"/>
    </row>
    <row r="8" spans="2:24" x14ac:dyDescent="0.35">
      <c r="B8" s="15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57"/>
    </row>
    <row r="9" spans="2:24" x14ac:dyDescent="0.35">
      <c r="S9" s="194"/>
    </row>
    <row r="10" spans="2:24" x14ac:dyDescent="0.35">
      <c r="B10" s="154" t="s">
        <v>671</v>
      </c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767"/>
      <c r="R10" s="767"/>
      <c r="S10" s="157"/>
    </row>
    <row r="11" spans="2:24" x14ac:dyDescent="0.35">
      <c r="B11" s="156"/>
      <c r="C11" t="s">
        <v>672</v>
      </c>
      <c r="E11" s="148" t="s">
        <v>21</v>
      </c>
      <c r="S11" s="157"/>
    </row>
    <row r="12" spans="2:24" x14ac:dyDescent="0.35">
      <c r="B12" s="156"/>
      <c r="C12" t="s">
        <v>41</v>
      </c>
      <c r="E12" s="148" t="s">
        <v>62</v>
      </c>
      <c r="G12" s="126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7"/>
    </row>
    <row r="13" spans="2:24" x14ac:dyDescent="0.35">
      <c r="B13" s="156"/>
      <c r="E13" s="621"/>
      <c r="G13" s="628">
        <f>2.05533586601874%</f>
        <v>2.0553358660187402E-2</v>
      </c>
      <c r="H13" t="s">
        <v>673</v>
      </c>
      <c r="S13" s="157"/>
    </row>
    <row r="14" spans="2:24" x14ac:dyDescent="0.35">
      <c r="B14" s="156"/>
      <c r="C14" s="146"/>
      <c r="G14" s="126">
        <f>(100%+G13)*G12</f>
        <v>46148904.437507473</v>
      </c>
      <c r="H14" t="s">
        <v>674</v>
      </c>
      <c r="S14" s="157"/>
    </row>
    <row r="15" spans="2:24" x14ac:dyDescent="0.35">
      <c r="B15" s="158"/>
      <c r="C15" t="s">
        <v>675</v>
      </c>
      <c r="E15" s="629" t="s">
        <v>19</v>
      </c>
      <c r="F15" s="168" t="str">
        <f>IF(E15="yes","","If no, enter current locality population below")</f>
        <v/>
      </c>
      <c r="S15" s="157"/>
    </row>
    <row r="16" spans="2:24" x14ac:dyDescent="0.35">
      <c r="B16" s="158"/>
      <c r="F16" s="168" t="str">
        <f>IF(AND(NOT(ISBLANK(E17)),E15="yes"),"error - change cell above to 'no'","")</f>
        <v/>
      </c>
      <c r="S16" s="157"/>
    </row>
    <row r="17" spans="2:25" x14ac:dyDescent="0.35">
      <c r="B17" s="158"/>
      <c r="C17" t="str">
        <f>"Manually entered current locality population "&amp;IF(E15="no","","(n/a)")</f>
        <v>Manually entered current locality population (n/a)</v>
      </c>
      <c r="E17" s="630"/>
      <c r="F17" s="691" t="str">
        <f>IF(E15="yes","Leave blue cell on left blank if NICE estimate is used","")</f>
        <v>Leave blue cell on left blank if NICE estimate is used</v>
      </c>
      <c r="S17" s="157"/>
    </row>
    <row r="18" spans="2:25" x14ac:dyDescent="0.35">
      <c r="B18" s="158"/>
      <c r="F18" s="168" t="str">
        <f>IF(AND(ISBLANK(E17),E15="no"),"error - enter current locality population above","")</f>
        <v/>
      </c>
      <c r="S18" s="157"/>
    </row>
    <row r="19" spans="2:25" x14ac:dyDescent="0.35">
      <c r="B19" s="158"/>
      <c r="C19" t="s">
        <v>676</v>
      </c>
      <c r="D19" s="150"/>
      <c r="E19" s="628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7"/>
    </row>
    <row r="20" spans="2:25" x14ac:dyDescent="0.35">
      <c r="B20" s="158"/>
      <c r="C20" t="s">
        <v>677</v>
      </c>
      <c r="D20" s="150"/>
      <c r="E20" s="628">
        <v>0</v>
      </c>
      <c r="F20" t="str">
        <f>IF(E20=0,"Enter local value or delete the NICE assumption if required","Local value")</f>
        <v>Enter local value or delete the NICE assumption if required</v>
      </c>
      <c r="S20" s="157"/>
    </row>
    <row r="21" spans="2:25" x14ac:dyDescent="0.35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1"/>
    </row>
    <row r="23" spans="2:25" x14ac:dyDescent="0.35">
      <c r="B23" s="154" t="s">
        <v>678</v>
      </c>
      <c r="C23" s="767"/>
      <c r="D23" s="767"/>
      <c r="E23" s="767"/>
      <c r="F23" s="767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  <c r="U23" s="767"/>
      <c r="V23" s="767"/>
      <c r="W23" s="767"/>
      <c r="X23" s="155"/>
    </row>
    <row r="24" spans="2:25" ht="89.25" customHeight="1" x14ac:dyDescent="0.35">
      <c r="B24" s="156"/>
      <c r="F24" s="235" t="s">
        <v>679</v>
      </c>
      <c r="G24" s="163" t="s">
        <v>680</v>
      </c>
      <c r="H24" s="223" t="s">
        <v>681</v>
      </c>
      <c r="I24" s="768"/>
      <c r="J24" s="768"/>
      <c r="K24" s="768"/>
      <c r="L24" s="768"/>
      <c r="M24" s="768"/>
      <c r="N24" s="768"/>
      <c r="O24" s="768"/>
      <c r="P24" s="768"/>
      <c r="Q24" s="768"/>
      <c r="R24" s="768"/>
      <c r="S24" s="768"/>
      <c r="T24" s="768"/>
      <c r="U24" s="768"/>
      <c r="V24" s="768"/>
      <c r="W24" s="768"/>
      <c r="X24" s="224"/>
    </row>
    <row r="25" spans="2:25" x14ac:dyDescent="0.35">
      <c r="B25" s="156"/>
      <c r="C25" s="234" t="s">
        <v>682</v>
      </c>
      <c r="D25" s="237"/>
      <c r="E25" s="166"/>
      <c r="F25" s="126">
        <f>IF(ISBLANK(E17),G14,'Population selection'!F16)</f>
        <v>46148904.437507473</v>
      </c>
      <c r="G25" s="236"/>
      <c r="H25" s="233" t="s">
        <v>683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66"/>
    </row>
    <row r="26" spans="2:25" x14ac:dyDescent="0.35">
      <c r="B26" s="156"/>
      <c r="C26" s="622" t="s">
        <v>684</v>
      </c>
      <c r="D26" s="238"/>
      <c r="E26" s="166"/>
      <c r="F26" s="205"/>
      <c r="G26" s="126">
        <f>K44</f>
        <v>48417016.421111427</v>
      </c>
      <c r="H26" s="233" t="s">
        <v>683</v>
      </c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1"/>
    </row>
    <row r="27" spans="2:25" x14ac:dyDescent="0.35">
      <c r="B27" s="158"/>
      <c r="C27" s="165" t="s">
        <v>685</v>
      </c>
      <c r="D27" s="166"/>
      <c r="E27" s="628">
        <v>1.10465E-3</v>
      </c>
      <c r="F27" s="631">
        <f>E27*F25</f>
        <v>50978.387286892626</v>
      </c>
      <c r="G27" s="631">
        <f>E27*K43*K44</f>
        <v>53483.85718958074</v>
      </c>
      <c r="H27" s="351" t="s">
        <v>686</v>
      </c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66"/>
    </row>
    <row r="28" spans="2:25" x14ac:dyDescent="0.35">
      <c r="B28" s="158"/>
      <c r="C28" s="165" t="s">
        <v>687</v>
      </c>
      <c r="D28" s="166"/>
      <c r="E28" s="628">
        <v>0.14499999999999999</v>
      </c>
      <c r="F28" s="631">
        <f>E28*F27</f>
        <v>7391.8661565994307</v>
      </c>
      <c r="G28" s="631">
        <f>E28*G27</f>
        <v>7755.1592924892066</v>
      </c>
      <c r="H28" s="747" t="s">
        <v>688</v>
      </c>
      <c r="I28" s="747"/>
      <c r="J28" s="747"/>
      <c r="K28" s="747"/>
      <c r="L28" s="747"/>
      <c r="M28" s="747"/>
      <c r="N28" s="747"/>
      <c r="O28" s="747"/>
      <c r="P28" s="747"/>
      <c r="Q28" s="747"/>
      <c r="R28" s="747"/>
      <c r="S28" s="747"/>
      <c r="T28" s="747"/>
      <c r="U28" s="747"/>
      <c r="V28" s="747"/>
      <c r="W28" s="747"/>
      <c r="X28" s="747"/>
      <c r="Y28" s="158"/>
    </row>
    <row r="29" spans="2:25" x14ac:dyDescent="0.35">
      <c r="B29" s="158"/>
      <c r="C29" s="165" t="s">
        <v>689</v>
      </c>
      <c r="D29" s="166"/>
      <c r="E29" s="628">
        <v>0.82499999999999996</v>
      </c>
      <c r="F29" s="631">
        <f>E29*F28</f>
        <v>6098.2895791945302</v>
      </c>
      <c r="G29" s="631">
        <f>E29*G28</f>
        <v>6398.006416303595</v>
      </c>
      <c r="H29" s="747" t="s">
        <v>690</v>
      </c>
      <c r="I29" s="747"/>
      <c r="J29" s="747"/>
      <c r="K29" s="747"/>
      <c r="L29" s="747"/>
      <c r="M29" s="747"/>
      <c r="N29" s="747"/>
      <c r="O29" s="747"/>
      <c r="P29" s="747"/>
      <c r="Q29" s="747"/>
      <c r="R29" s="747"/>
      <c r="S29" s="747"/>
      <c r="T29" s="747"/>
      <c r="U29" s="747"/>
      <c r="V29" s="747"/>
      <c r="W29" s="747"/>
      <c r="X29" s="747"/>
      <c r="Y29" s="158"/>
    </row>
    <row r="30" spans="2:25" x14ac:dyDescent="0.35">
      <c r="B30" s="158"/>
      <c r="C30" s="222" t="s">
        <v>691</v>
      </c>
      <c r="D30" s="373"/>
      <c r="E30" s="745">
        <v>1.7500000000000002E-2</v>
      </c>
      <c r="F30" s="746">
        <f>E30*F29</f>
        <v>106.72006763590429</v>
      </c>
      <c r="G30" s="746">
        <f>E30*G29</f>
        <v>111.96511228531293</v>
      </c>
      <c r="H30" s="748" t="s">
        <v>692</v>
      </c>
      <c r="I30" s="748"/>
      <c r="J30" s="747"/>
      <c r="K30" s="747"/>
      <c r="L30" s="747"/>
      <c r="M30" s="747"/>
      <c r="N30" s="747"/>
      <c r="O30" s="747"/>
      <c r="P30" s="747"/>
      <c r="Q30" s="747"/>
      <c r="R30" s="747"/>
      <c r="S30" s="747"/>
      <c r="T30" s="747"/>
      <c r="U30" s="747"/>
      <c r="V30" s="747"/>
      <c r="W30" s="747"/>
      <c r="X30" s="747"/>
      <c r="Y30" s="158"/>
    </row>
    <row r="31" spans="2:25" x14ac:dyDescent="0.35">
      <c r="B31" s="158"/>
      <c r="C31" s="165" t="s">
        <v>693</v>
      </c>
      <c r="D31" s="166"/>
      <c r="E31" s="628">
        <v>0.85499999999999998</v>
      </c>
      <c r="F31" s="631">
        <f>E31*F27</f>
        <v>43586.521130293193</v>
      </c>
      <c r="G31" s="631">
        <f>E31*G27</f>
        <v>45728.69789709153</v>
      </c>
      <c r="H31" s="747" t="s">
        <v>688</v>
      </c>
      <c r="I31" s="749"/>
      <c r="J31" s="747"/>
      <c r="K31" s="747"/>
      <c r="L31" s="747"/>
      <c r="M31" s="747"/>
      <c r="N31" s="747"/>
      <c r="O31" s="747"/>
      <c r="P31" s="747"/>
      <c r="Q31" s="747"/>
      <c r="R31" s="747"/>
      <c r="S31" s="747"/>
      <c r="T31" s="747"/>
      <c r="U31" s="747"/>
      <c r="V31" s="747"/>
      <c r="W31" s="747"/>
      <c r="X31" s="747"/>
      <c r="Y31" s="158"/>
    </row>
    <row r="32" spans="2:25" ht="29" x14ac:dyDescent="0.35">
      <c r="B32" s="158"/>
      <c r="C32" s="165" t="s">
        <v>694</v>
      </c>
      <c r="D32" s="166"/>
      <c r="E32" s="628">
        <v>0.3</v>
      </c>
      <c r="F32" s="631">
        <f>E32*F31</f>
        <v>13075.956339087958</v>
      </c>
      <c r="G32" s="631">
        <f>E32*G31</f>
        <v>13718.609369127458</v>
      </c>
      <c r="H32" t="s">
        <v>695</v>
      </c>
      <c r="J32" s="747"/>
      <c r="K32" s="747"/>
      <c r="L32" s="747"/>
      <c r="M32" s="747"/>
      <c r="N32" s="747"/>
      <c r="O32" s="747"/>
      <c r="P32" s="747"/>
      <c r="Q32" s="747"/>
      <c r="R32" s="747"/>
      <c r="S32" s="747"/>
      <c r="T32" s="747"/>
      <c r="U32" s="747"/>
      <c r="V32" s="747"/>
      <c r="W32" s="747"/>
      <c r="X32" s="747"/>
      <c r="Y32" s="158"/>
    </row>
    <row r="33" spans="2:25" x14ac:dyDescent="0.35">
      <c r="B33" s="158"/>
      <c r="C33" s="165" t="s">
        <v>689</v>
      </c>
      <c r="D33" s="166"/>
      <c r="E33" s="628">
        <v>0.82499999999999996</v>
      </c>
      <c r="F33" s="631">
        <f>E33*F32</f>
        <v>10787.663979747564</v>
      </c>
      <c r="G33" s="631">
        <f>E33*G32</f>
        <v>11317.852729530152</v>
      </c>
      <c r="H33" s="747" t="s">
        <v>690</v>
      </c>
      <c r="I33" s="197"/>
      <c r="J33" s="747"/>
      <c r="K33" s="747"/>
      <c r="L33" s="747"/>
      <c r="M33" s="747"/>
      <c r="N33" s="747"/>
      <c r="O33" s="747"/>
      <c r="P33" s="747"/>
      <c r="Q33" s="747"/>
      <c r="R33" s="747"/>
      <c r="S33" s="747"/>
      <c r="T33" s="747"/>
      <c r="U33" s="747"/>
      <c r="V33" s="747"/>
      <c r="W33" s="747"/>
      <c r="X33" s="747"/>
      <c r="Y33" s="158"/>
    </row>
    <row r="34" spans="2:25" x14ac:dyDescent="0.35">
      <c r="B34" s="158"/>
      <c r="C34" s="222" t="s">
        <v>691</v>
      </c>
      <c r="D34" s="373"/>
      <c r="E34" s="745">
        <v>1.7500000000000002E-2</v>
      </c>
      <c r="F34" s="746">
        <f>E34*F33</f>
        <v>188.78411964558239</v>
      </c>
      <c r="G34" s="746">
        <f>E34*G33</f>
        <v>198.06242276677767</v>
      </c>
      <c r="H34" s="351" t="s">
        <v>692</v>
      </c>
      <c r="I34" s="351"/>
      <c r="J34" s="747"/>
      <c r="K34" s="747"/>
      <c r="L34" s="747"/>
      <c r="M34" s="747"/>
      <c r="N34" s="747"/>
      <c r="O34" s="747"/>
      <c r="P34" s="747"/>
      <c r="Q34" s="747"/>
      <c r="R34" s="747"/>
      <c r="S34" s="747"/>
      <c r="T34" s="747"/>
      <c r="U34" s="747"/>
      <c r="V34" s="747"/>
      <c r="W34" s="747"/>
      <c r="X34" s="747"/>
      <c r="Y34" s="158"/>
    </row>
    <row r="35" spans="2:25" x14ac:dyDescent="0.35">
      <c r="B35" s="158"/>
      <c r="C35" s="222" t="s">
        <v>696</v>
      </c>
      <c r="D35" s="194"/>
      <c r="E35" s="774"/>
      <c r="F35" s="179">
        <f>F34+F30</f>
        <v>295.50418728148668</v>
      </c>
      <c r="G35" s="179">
        <f>G34+G30</f>
        <v>310.02753505209057</v>
      </c>
      <c r="H35" s="197"/>
      <c r="I35" s="194"/>
      <c r="J35" s="747"/>
      <c r="K35" s="747"/>
      <c r="L35" s="747"/>
      <c r="M35" s="747"/>
      <c r="N35" s="747"/>
      <c r="O35" s="747"/>
      <c r="P35" s="747"/>
      <c r="Q35" s="747"/>
      <c r="R35" s="747"/>
      <c r="S35" s="747"/>
      <c r="T35" s="747"/>
      <c r="U35" s="747"/>
      <c r="V35" s="747"/>
      <c r="W35" s="747"/>
      <c r="X35" s="747"/>
      <c r="Y35" s="158"/>
    </row>
    <row r="36" spans="2:25" x14ac:dyDescent="0.35">
      <c r="B36" s="158"/>
      <c r="C36" s="356"/>
      <c r="E36" s="357"/>
      <c r="F36" s="358"/>
      <c r="G36" s="358"/>
      <c r="H36" s="188"/>
      <c r="Y36" s="158"/>
    </row>
    <row r="37" spans="2:25" x14ac:dyDescent="0.35">
      <c r="B37" s="158"/>
      <c r="C37" t="s">
        <v>697</v>
      </c>
      <c r="F37" s="629" t="s">
        <v>19</v>
      </c>
      <c r="G37" s="358"/>
      <c r="H37" s="188"/>
      <c r="X37" s="157"/>
    </row>
    <row r="38" spans="2:25" x14ac:dyDescent="0.35">
      <c r="B38" s="158"/>
      <c r="C38" s="356"/>
      <c r="E38" s="357"/>
      <c r="F38" s="358"/>
      <c r="G38" s="358"/>
      <c r="H38" s="188"/>
      <c r="X38" s="157"/>
    </row>
    <row r="39" spans="2:25" x14ac:dyDescent="0.35">
      <c r="B39" s="158"/>
      <c r="C39" t="str">
        <f>"Manually entered current eligible population "&amp;IF(F37="no","","(n/a)")</f>
        <v>Manually entered current eligible population (n/a)</v>
      </c>
      <c r="F39" s="632"/>
      <c r="G39" s="687" t="str">
        <f>IF(F37="yes","Leave blue cell on left blank if NICE estimate is used","local value")</f>
        <v>Leave blue cell on left blank if NICE estimate is used</v>
      </c>
      <c r="X39" s="157"/>
    </row>
    <row r="40" spans="2:25" x14ac:dyDescent="0.35">
      <c r="B40" s="158"/>
      <c r="G40" s="568" t="str">
        <f>IF(AND(F37="yes",F39&gt;0),"error, set the drop down above to be 'no'","")</f>
        <v/>
      </c>
      <c r="X40" s="157"/>
    </row>
    <row r="41" spans="2:25" ht="43.5" x14ac:dyDescent="0.35">
      <c r="B41" s="158"/>
      <c r="C41" s="160"/>
      <c r="F41" s="231" t="s">
        <v>679</v>
      </c>
      <c r="G41" s="163" t="s">
        <v>698</v>
      </c>
      <c r="H41" s="163" t="s">
        <v>699</v>
      </c>
      <c r="I41" s="232" t="s">
        <v>700</v>
      </c>
      <c r="J41" s="163" t="s">
        <v>701</v>
      </c>
      <c r="K41" s="163" t="s">
        <v>702</v>
      </c>
      <c r="L41" s="569"/>
      <c r="M41" s="569"/>
      <c r="N41" s="569"/>
      <c r="O41" s="569"/>
      <c r="P41" s="569"/>
      <c r="Q41" s="569"/>
      <c r="X41" s="157"/>
    </row>
    <row r="42" spans="2:25" x14ac:dyDescent="0.35">
      <c r="B42" s="158"/>
      <c r="C42" s="233" t="s">
        <v>703</v>
      </c>
      <c r="D42" s="194"/>
      <c r="E42" s="166"/>
      <c r="F42" s="205"/>
      <c r="G42" s="348">
        <f>IF(E19&lt;&gt;"",E19+100%,100%)</f>
        <v>1.0096418074639288</v>
      </c>
      <c r="H42" s="348">
        <f>IF($E$19&lt;&gt;"",G42*(100%+$E$19),100%)</f>
        <v>1.0193765793790293</v>
      </c>
      <c r="I42" s="348">
        <f>IF($E$19&lt;&gt;"",H42*(100%+$E$19),100%)</f>
        <v>1.0292052120906403</v>
      </c>
      <c r="J42" s="348">
        <f>IF($E$19&lt;&gt;"",I42*(100%+$E$19),100%)</f>
        <v>1.0391286105864903</v>
      </c>
      <c r="K42" s="348">
        <f>IF($E$19&lt;&gt;"",J42*(100%+$E$19),100%)</f>
        <v>1.0491476885800251</v>
      </c>
      <c r="L42" t="s">
        <v>704</v>
      </c>
      <c r="M42" s="560"/>
      <c r="N42" s="560"/>
      <c r="O42" s="560"/>
      <c r="P42" s="560"/>
      <c r="Q42" s="560"/>
      <c r="X42" s="157"/>
    </row>
    <row r="43" spans="2:25" x14ac:dyDescent="0.35">
      <c r="B43" s="158"/>
      <c r="C43" s="233" t="s">
        <v>705</v>
      </c>
      <c r="D43" s="194"/>
      <c r="E43" s="166"/>
      <c r="F43" s="205"/>
      <c r="G43" s="348">
        <f>IF(E20&lt;&gt;"",E20+100%,100%)</f>
        <v>1</v>
      </c>
      <c r="H43" s="348">
        <f>IF($E$20&lt;&gt;"",G43*(100%+$E$20),100%)</f>
        <v>1</v>
      </c>
      <c r="I43" s="348">
        <f>IF($E$20&lt;&gt;"",H43*(100%+$E$20),100%)</f>
        <v>1</v>
      </c>
      <c r="J43" s="348">
        <f>IF($E$20&lt;&gt;"",I43*(100%+$E$20),100%)</f>
        <v>1</v>
      </c>
      <c r="K43" s="348">
        <f>IF($E$20&lt;&gt;"",J43*(100%+$E$20),100%)</f>
        <v>1</v>
      </c>
      <c r="L43" t="s">
        <v>704</v>
      </c>
      <c r="M43" s="560"/>
      <c r="N43" s="560"/>
      <c r="O43" s="560"/>
      <c r="P43" s="560"/>
      <c r="Q43" s="560"/>
      <c r="X43" s="157"/>
    </row>
    <row r="44" spans="2:25" x14ac:dyDescent="0.35">
      <c r="B44" s="158"/>
      <c r="C44" s="399" t="str">
        <f>IF('Inputs and eligible population'!E17=0,"Baseline population (inflated by growth(s))","Manually entered locality population (inflated by growth(s))")</f>
        <v>Baseline population (inflated by growth(s))</v>
      </c>
      <c r="D44" s="194"/>
      <c r="E44" s="166"/>
      <c r="F44" s="126">
        <f>IF(ISBLANK(E17),G14,'Population selection'!F16)</f>
        <v>46148904.437507473</v>
      </c>
      <c r="G44" s="126">
        <f>F44*G42</f>
        <v>46593863.28876517</v>
      </c>
      <c r="H44" s="126">
        <f>F44*H42</f>
        <v>47043112.347596072</v>
      </c>
      <c r="I44" s="126">
        <f>F44*I42</f>
        <v>47496692.979355574</v>
      </c>
      <c r="J44" s="126">
        <f>F44*J42</f>
        <v>47954646.948235855</v>
      </c>
      <c r="K44" s="126">
        <f>F44*K42</f>
        <v>48417016.421111427</v>
      </c>
      <c r="M44" s="283"/>
      <c r="N44" s="283"/>
      <c r="O44" s="283"/>
      <c r="P44" s="283"/>
      <c r="Q44" s="283"/>
      <c r="X44" s="157"/>
    </row>
    <row r="45" spans="2:25" x14ac:dyDescent="0.35">
      <c r="B45" s="158"/>
      <c r="C45" s="222" t="str">
        <f>IF(ISBLANK(F39),"Eligible population, NICE estimate","Eligible population, local estimate")</f>
        <v>Eligible population, NICE estimate</v>
      </c>
      <c r="D45" s="194"/>
      <c r="E45" s="166"/>
      <c r="F45" s="179">
        <f>IF(ISBLANK(F39),F35,F39)</f>
        <v>295.50418728148668</v>
      </c>
      <c r="G45" s="179">
        <f>$F$45*G42*G43</f>
        <v>298.35338176003955</v>
      </c>
      <c r="H45" s="179">
        <f>$F$45*H42*H43</f>
        <v>301.23004762318192</v>
      </c>
      <c r="I45" s="179">
        <f>$F$45*I42*I43</f>
        <v>304.1344497447148</v>
      </c>
      <c r="J45" s="179">
        <f>$F$45*J42*J43</f>
        <v>307.06685555230126</v>
      </c>
      <c r="K45" s="179">
        <f>$F$45*K42*K43</f>
        <v>310.02753505209057</v>
      </c>
      <c r="L45" s="168" t="str">
        <f>IF(F37="no","local estimate used","")</f>
        <v/>
      </c>
      <c r="M45" s="358"/>
      <c r="N45" s="358"/>
      <c r="O45" s="358"/>
      <c r="P45" s="358"/>
      <c r="Q45" s="358"/>
      <c r="X45" s="157"/>
    </row>
    <row r="46" spans="2:25" x14ac:dyDescent="0.3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1"/>
    </row>
    <row r="49" spans="2:19" x14ac:dyDescent="0.35">
      <c r="B49" s="154" t="s">
        <v>706</v>
      </c>
      <c r="C49" s="767"/>
      <c r="D49" s="767"/>
      <c r="E49" s="767"/>
      <c r="F49" s="767"/>
      <c r="G49" s="767"/>
      <c r="H49" s="767"/>
      <c r="I49" s="767"/>
      <c r="J49" s="767"/>
      <c r="K49" s="767"/>
      <c r="L49" s="767"/>
      <c r="M49" s="767"/>
      <c r="N49" s="767"/>
      <c r="O49" s="767"/>
      <c r="P49" s="767"/>
      <c r="Q49" s="767"/>
      <c r="R49" s="767"/>
      <c r="S49" s="155"/>
    </row>
    <row r="50" spans="2:19" x14ac:dyDescent="0.35">
      <c r="B50" s="158"/>
      <c r="D50" s="207" t="s">
        <v>707</v>
      </c>
      <c r="E50" s="207" t="s">
        <v>708</v>
      </c>
      <c r="F50" s="207" t="s">
        <v>709</v>
      </c>
      <c r="G50" s="207" t="s">
        <v>710</v>
      </c>
      <c r="H50" s="207" t="s">
        <v>711</v>
      </c>
      <c r="I50" s="207" t="s">
        <v>712</v>
      </c>
      <c r="J50" s="207" t="s">
        <v>713</v>
      </c>
      <c r="K50" s="207" t="s">
        <v>714</v>
      </c>
      <c r="L50" s="563"/>
      <c r="M50" s="563"/>
      <c r="N50" s="563"/>
      <c r="O50" s="563"/>
      <c r="P50" s="563"/>
      <c r="Q50" s="563"/>
      <c r="S50" s="157"/>
    </row>
    <row r="51" spans="2:19" x14ac:dyDescent="0.35">
      <c r="B51" s="158"/>
      <c r="C51" s="343" t="s">
        <v>715</v>
      </c>
      <c r="D51" s="633">
        <v>28</v>
      </c>
      <c r="E51" s="633">
        <v>1</v>
      </c>
      <c r="F51" s="633">
        <v>8.1999999999999993</v>
      </c>
      <c r="G51" s="633"/>
      <c r="H51" s="633"/>
      <c r="I51" s="633"/>
      <c r="J51" s="633"/>
      <c r="K51" s="147">
        <f>SUM(F51:J51)</f>
        <v>8.1999999999999993</v>
      </c>
      <c r="S51" s="157"/>
    </row>
    <row r="52" spans="2:19" x14ac:dyDescent="0.35">
      <c r="B52" s="158"/>
      <c r="C52" s="343" t="s">
        <v>716</v>
      </c>
      <c r="D52" s="633">
        <v>30</v>
      </c>
      <c r="E52" s="633">
        <v>1</v>
      </c>
      <c r="F52" s="633">
        <v>12</v>
      </c>
      <c r="G52" s="633"/>
      <c r="H52" s="633"/>
      <c r="I52" s="633"/>
      <c r="J52" s="633"/>
      <c r="K52" s="147">
        <f>SUM(F52:J52)</f>
        <v>12</v>
      </c>
      <c r="L52" s="561"/>
      <c r="M52" s="561"/>
      <c r="N52" s="561"/>
      <c r="O52" s="561"/>
      <c r="P52" s="561"/>
      <c r="Q52" s="561"/>
      <c r="S52" s="157"/>
    </row>
    <row r="53" spans="2:19" x14ac:dyDescent="0.35">
      <c r="B53" s="158"/>
    </row>
    <row r="54" spans="2:19" x14ac:dyDescent="0.35">
      <c r="B54" s="158"/>
      <c r="D54" s="150"/>
      <c r="E54" s="150"/>
      <c r="F54" s="150"/>
      <c r="G54" s="150"/>
      <c r="S54" s="157"/>
    </row>
    <row r="55" spans="2:19" ht="43.5" x14ac:dyDescent="0.35">
      <c r="B55" s="158"/>
      <c r="C55" s="343" t="s">
        <v>717</v>
      </c>
      <c r="D55" s="197" t="s">
        <v>718</v>
      </c>
      <c r="E55" s="198"/>
      <c r="F55" s="198"/>
      <c r="G55" s="198"/>
      <c r="H55" s="166"/>
      <c r="I55" s="635"/>
      <c r="J55" s="636">
        <v>0.2</v>
      </c>
      <c r="K55" s="772" t="s">
        <v>719</v>
      </c>
      <c r="S55" s="157"/>
    </row>
    <row r="56" spans="2:19" ht="43.5" x14ac:dyDescent="0.35">
      <c r="B56" s="158"/>
      <c r="C56" s="343" t="s">
        <v>720</v>
      </c>
      <c r="D56" s="197" t="s">
        <v>718</v>
      </c>
      <c r="E56" s="198"/>
      <c r="F56" s="198"/>
      <c r="G56" s="198"/>
      <c r="H56" s="166"/>
      <c r="I56" s="635"/>
      <c r="J56" s="636">
        <v>0</v>
      </c>
      <c r="K56" s="772" t="s">
        <v>719</v>
      </c>
      <c r="L56" s="562"/>
      <c r="M56" s="562"/>
      <c r="N56" s="562"/>
      <c r="O56" s="562"/>
      <c r="P56" s="562"/>
      <c r="Q56" s="562"/>
      <c r="S56" s="157"/>
    </row>
    <row r="57" spans="2:19" ht="43.5" x14ac:dyDescent="0.35">
      <c r="B57" s="158"/>
      <c r="C57" s="343" t="s">
        <v>721</v>
      </c>
      <c r="D57" s="197" t="s">
        <v>722</v>
      </c>
      <c r="E57" s="198"/>
      <c r="F57" s="198"/>
      <c r="G57" s="198"/>
      <c r="H57" s="166"/>
      <c r="I57" s="635"/>
      <c r="J57" s="636">
        <v>0.2</v>
      </c>
      <c r="K57" s="772" t="s">
        <v>719</v>
      </c>
      <c r="L57" s="562"/>
      <c r="M57" s="562"/>
      <c r="N57" s="562"/>
      <c r="O57" s="562"/>
      <c r="P57" s="562"/>
      <c r="Q57" s="562"/>
      <c r="S57" s="157"/>
    </row>
    <row r="58" spans="2:19" ht="43.5" x14ac:dyDescent="0.35">
      <c r="B58" s="158"/>
      <c r="C58" s="343" t="s">
        <v>723</v>
      </c>
      <c r="D58" s="197" t="s">
        <v>722</v>
      </c>
      <c r="E58" s="198"/>
      <c r="F58" s="198"/>
      <c r="G58" s="198"/>
      <c r="H58" s="166"/>
      <c r="I58" s="635"/>
      <c r="J58" s="636">
        <v>0</v>
      </c>
      <c r="K58" s="772" t="s">
        <v>719</v>
      </c>
      <c r="L58" s="562"/>
      <c r="M58" s="562"/>
      <c r="N58" s="562"/>
      <c r="O58" s="562"/>
      <c r="P58" s="562"/>
      <c r="Q58" s="562"/>
      <c r="S58" s="157"/>
    </row>
    <row r="59" spans="2:19" x14ac:dyDescent="0.35">
      <c r="B59" s="158"/>
      <c r="C59" s="192"/>
      <c r="D59" s="150"/>
      <c r="E59" s="150"/>
      <c r="F59" s="150"/>
      <c r="G59" s="150"/>
      <c r="S59" s="157"/>
    </row>
    <row r="60" spans="2:19" x14ac:dyDescent="0.35">
      <c r="B60" s="158"/>
      <c r="D60" s="150"/>
      <c r="E60" s="150"/>
      <c r="F60" s="150"/>
      <c r="G60" s="150"/>
      <c r="S60" s="157"/>
    </row>
    <row r="61" spans="2:19" x14ac:dyDescent="0.35">
      <c r="B61" s="158"/>
      <c r="C61" s="196" t="s">
        <v>724</v>
      </c>
      <c r="D61" s="637">
        <v>78.400000000000006</v>
      </c>
      <c r="E61" s="742" t="s">
        <v>725</v>
      </c>
      <c r="F61" s="198"/>
      <c r="G61" s="198"/>
      <c r="H61" s="166"/>
      <c r="S61" s="157"/>
    </row>
    <row r="62" spans="2:19" ht="16.5" x14ac:dyDescent="0.35">
      <c r="B62" s="158"/>
      <c r="C62" s="196" t="s">
        <v>726</v>
      </c>
      <c r="D62" s="633">
        <v>1.79</v>
      </c>
      <c r="E62" s="743" t="s">
        <v>727</v>
      </c>
      <c r="F62" s="198"/>
      <c r="G62" s="198"/>
      <c r="H62" s="166"/>
      <c r="S62" s="157"/>
    </row>
    <row r="63" spans="2:19" x14ac:dyDescent="0.35">
      <c r="B63" s="158"/>
      <c r="S63" s="157"/>
    </row>
    <row r="64" spans="2:19" x14ac:dyDescent="0.35">
      <c r="B64" s="158"/>
      <c r="C64" s="146" t="s">
        <v>728</v>
      </c>
      <c r="S64" s="157"/>
    </row>
    <row r="65" spans="2:19" x14ac:dyDescent="0.35">
      <c r="B65" s="158"/>
      <c r="D65" s="360" t="s">
        <v>729</v>
      </c>
      <c r="E65" s="208" t="s">
        <v>730</v>
      </c>
      <c r="F65" s="208" t="s">
        <v>731</v>
      </c>
      <c r="G65" s="208" t="s">
        <v>732</v>
      </c>
      <c r="H65" s="208" t="s">
        <v>733</v>
      </c>
      <c r="I65" s="207" t="s">
        <v>734</v>
      </c>
      <c r="J65" s="207" t="s">
        <v>735</v>
      </c>
      <c r="L65" s="207" t="s">
        <v>730</v>
      </c>
      <c r="M65" s="570" t="s">
        <v>731</v>
      </c>
      <c r="N65" s="208" t="s">
        <v>732</v>
      </c>
      <c r="O65" s="208" t="s">
        <v>733</v>
      </c>
      <c r="P65" s="207" t="s">
        <v>734</v>
      </c>
      <c r="Q65" s="207" t="s">
        <v>735</v>
      </c>
      <c r="S65" s="157"/>
    </row>
    <row r="66" spans="2:19" x14ac:dyDescent="0.35">
      <c r="B66" s="158"/>
      <c r="D66" s="343" t="s">
        <v>736</v>
      </c>
      <c r="E66" s="754">
        <v>0</v>
      </c>
      <c r="F66" s="755">
        <v>0.2</v>
      </c>
      <c r="G66" s="755">
        <v>0.45</v>
      </c>
      <c r="H66" s="755">
        <v>0.47499999999999998</v>
      </c>
      <c r="I66" s="755">
        <v>0.47499999999999998</v>
      </c>
      <c r="J66" s="755">
        <v>0.47499999999999998</v>
      </c>
      <c r="L66" s="775">
        <f t="shared" ref="L66:Q66" si="0">F45*E66</f>
        <v>0</v>
      </c>
      <c r="M66" s="776">
        <f t="shared" si="0"/>
        <v>59.670676352007916</v>
      </c>
      <c r="N66" s="776">
        <f t="shared" si="0"/>
        <v>135.55352143043186</v>
      </c>
      <c r="O66" s="776">
        <f t="shared" si="0"/>
        <v>144.46386362873952</v>
      </c>
      <c r="P66" s="776">
        <f t="shared" si="0"/>
        <v>145.8567563873431</v>
      </c>
      <c r="Q66" s="776">
        <f t="shared" si="0"/>
        <v>147.26307914974302</v>
      </c>
      <c r="S66" s="157"/>
    </row>
    <row r="67" spans="2:19" x14ac:dyDescent="0.35">
      <c r="B67" s="158"/>
      <c r="D67" s="343" t="s">
        <v>737</v>
      </c>
      <c r="E67" s="754">
        <v>0.75</v>
      </c>
      <c r="F67" s="755">
        <v>0.55000000000000004</v>
      </c>
      <c r="G67" s="755">
        <v>0.5</v>
      </c>
      <c r="H67" s="755">
        <v>0.47499999999999998</v>
      </c>
      <c r="I67" s="755">
        <v>0.47499999999999998</v>
      </c>
      <c r="J67" s="755">
        <v>0.47499999999999998</v>
      </c>
      <c r="L67" s="775">
        <f t="shared" ref="L67:Q67" si="1">F45*E67</f>
        <v>221.62814046111501</v>
      </c>
      <c r="M67" s="776">
        <f t="shared" si="1"/>
        <v>164.09435996802176</v>
      </c>
      <c r="N67" s="776">
        <f t="shared" si="1"/>
        <v>150.61502381159096</v>
      </c>
      <c r="O67" s="776">
        <f t="shared" si="1"/>
        <v>144.46386362873952</v>
      </c>
      <c r="P67" s="776">
        <f t="shared" si="1"/>
        <v>145.8567563873431</v>
      </c>
      <c r="Q67" s="776">
        <f t="shared" si="1"/>
        <v>147.26307914974302</v>
      </c>
      <c r="S67" s="157"/>
    </row>
    <row r="68" spans="2:19" x14ac:dyDescent="0.35">
      <c r="B68" s="158"/>
      <c r="D68" s="343" t="s">
        <v>738</v>
      </c>
      <c r="E68" s="754">
        <v>0.25</v>
      </c>
      <c r="F68" s="755">
        <v>0.25</v>
      </c>
      <c r="G68" s="755">
        <v>0.05</v>
      </c>
      <c r="H68" s="755">
        <v>0.05</v>
      </c>
      <c r="I68" s="755">
        <v>0.05</v>
      </c>
      <c r="J68" s="755">
        <v>0.05</v>
      </c>
      <c r="L68" s="775">
        <f t="shared" ref="L68:Q68" si="2">F45*E68</f>
        <v>73.87604682037167</v>
      </c>
      <c r="M68" s="775">
        <f t="shared" si="2"/>
        <v>74.588345440009888</v>
      </c>
      <c r="N68" s="775">
        <f t="shared" si="2"/>
        <v>15.061502381159096</v>
      </c>
      <c r="O68" s="775">
        <f t="shared" si="2"/>
        <v>15.206722487235741</v>
      </c>
      <c r="P68" s="775">
        <f t="shared" si="2"/>
        <v>15.353342777615063</v>
      </c>
      <c r="Q68" s="775">
        <f t="shared" si="2"/>
        <v>15.501376752604529</v>
      </c>
      <c r="S68" s="157"/>
    </row>
    <row r="69" spans="2:19" x14ac:dyDescent="0.35">
      <c r="B69" s="158"/>
      <c r="E69" s="149">
        <f>SUM(E66:E68)</f>
        <v>1</v>
      </c>
      <c r="F69" s="149">
        <f t="shared" ref="F69:J69" si="3">SUM(F66:F68)</f>
        <v>1</v>
      </c>
      <c r="G69" s="149">
        <f t="shared" si="3"/>
        <v>1</v>
      </c>
      <c r="H69" s="149">
        <f t="shared" si="3"/>
        <v>1</v>
      </c>
      <c r="I69" s="149">
        <f t="shared" si="3"/>
        <v>1</v>
      </c>
      <c r="J69" s="149">
        <f t="shared" si="3"/>
        <v>1</v>
      </c>
      <c r="L69" s="349">
        <f>SUM(L66:L68)</f>
        <v>295.50418728148668</v>
      </c>
      <c r="M69" s="349">
        <f t="shared" ref="M69:Q69" si="4">SUM(M66:M68)</f>
        <v>298.35338176003955</v>
      </c>
      <c r="N69" s="349">
        <f t="shared" si="4"/>
        <v>301.23004762318186</v>
      </c>
      <c r="O69" s="349">
        <f t="shared" si="4"/>
        <v>304.1344497447148</v>
      </c>
      <c r="P69" s="349">
        <f t="shared" si="4"/>
        <v>307.06685555230126</v>
      </c>
      <c r="Q69" s="349">
        <f t="shared" si="4"/>
        <v>310.02753505209057</v>
      </c>
      <c r="S69" s="157"/>
    </row>
    <row r="70" spans="2:19" x14ac:dyDescent="0.35">
      <c r="B70" s="158"/>
      <c r="E70" s="769"/>
      <c r="F70" s="769"/>
      <c r="G70" s="769"/>
      <c r="H70" s="769"/>
      <c r="I70" s="769"/>
      <c r="J70" s="769"/>
      <c r="S70" s="157"/>
    </row>
    <row r="71" spans="2:19" x14ac:dyDescent="0.35">
      <c r="B71" s="158"/>
      <c r="C71" t="s">
        <v>1056</v>
      </c>
      <c r="E71" s="544"/>
      <c r="F71" s="544"/>
      <c r="G71" s="544"/>
      <c r="H71" s="544"/>
      <c r="I71" s="544"/>
      <c r="J71" s="544"/>
      <c r="S71" s="157"/>
    </row>
    <row r="72" spans="2:19" x14ac:dyDescent="0.35">
      <c r="B72" s="159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1"/>
    </row>
    <row r="73" spans="2:19" x14ac:dyDescent="0.35">
      <c r="D73" s="194"/>
      <c r="K73" s="194"/>
    </row>
    <row r="74" spans="2:19" x14ac:dyDescent="0.35">
      <c r="B74" s="154" t="s">
        <v>739</v>
      </c>
      <c r="C74" s="767"/>
      <c r="E74" s="767"/>
      <c r="F74" s="767"/>
      <c r="G74" s="767"/>
      <c r="H74" s="767"/>
      <c r="I74" s="767"/>
      <c r="J74" s="767"/>
      <c r="L74" s="767"/>
      <c r="M74" s="767"/>
      <c r="N74" s="767"/>
      <c r="O74" s="767"/>
      <c r="P74" s="767"/>
      <c r="Q74" s="767"/>
      <c r="R74" s="767"/>
      <c r="S74" s="155"/>
    </row>
    <row r="75" spans="2:19" x14ac:dyDescent="0.35">
      <c r="B75" s="158" t="s">
        <v>740</v>
      </c>
      <c r="S75" s="157"/>
    </row>
    <row r="76" spans="2:19" x14ac:dyDescent="0.35">
      <c r="B76" s="158" t="s">
        <v>741</v>
      </c>
      <c r="S76" s="157"/>
    </row>
    <row r="77" spans="2:19" x14ac:dyDescent="0.35">
      <c r="B77" s="158"/>
      <c r="C77" s="350"/>
      <c r="D77" s="209"/>
      <c r="E77" s="209"/>
      <c r="F77" s="209"/>
      <c r="J77" s="146" t="s">
        <v>742</v>
      </c>
      <c r="S77" s="157"/>
    </row>
    <row r="78" spans="2:19" ht="43" customHeight="1" x14ac:dyDescent="0.35">
      <c r="B78" s="158"/>
      <c r="C78" s="407" t="s">
        <v>743</v>
      </c>
      <c r="D78" s="407" t="s">
        <v>744</v>
      </c>
      <c r="E78" s="407" t="s">
        <v>745</v>
      </c>
      <c r="F78" s="407" t="s">
        <v>736</v>
      </c>
      <c r="G78" s="407" t="s">
        <v>737</v>
      </c>
      <c r="H78" s="407" t="s">
        <v>738</v>
      </c>
      <c r="J78" s="407" t="s">
        <v>746</v>
      </c>
      <c r="K78" s="407" t="s">
        <v>747</v>
      </c>
      <c r="S78" s="157"/>
    </row>
    <row r="79" spans="2:19" hidden="1" x14ac:dyDescent="0.35">
      <c r="B79" s="158"/>
      <c r="C79" s="409" t="s">
        <v>748</v>
      </c>
      <c r="D79" s="163" t="s">
        <v>749</v>
      </c>
      <c r="E79" s="163" t="s">
        <v>750</v>
      </c>
      <c r="F79" s="638"/>
      <c r="G79" s="638"/>
      <c r="H79" s="638"/>
      <c r="J79" s="205"/>
      <c r="K79" s="205"/>
      <c r="S79" s="157"/>
    </row>
    <row r="80" spans="2:19" ht="43.5" hidden="1" x14ac:dyDescent="0.35">
      <c r="B80" s="158"/>
      <c r="C80" s="409" t="s">
        <v>748</v>
      </c>
      <c r="D80" s="163" t="s">
        <v>751</v>
      </c>
      <c r="E80" s="163" t="s">
        <v>752</v>
      </c>
      <c r="F80" s="633"/>
      <c r="G80" s="633"/>
      <c r="H80" s="633"/>
      <c r="J80" s="643" t="s">
        <v>753</v>
      </c>
      <c r="K80" s="644">
        <f>VLOOKUP(J80,payscales!B:K,10,0)</f>
        <v>121.08</v>
      </c>
      <c r="S80" s="157"/>
    </row>
    <row r="81" spans="2:19" x14ac:dyDescent="0.35">
      <c r="B81" s="158"/>
      <c r="C81" s="409" t="s">
        <v>748</v>
      </c>
      <c r="D81" s="163" t="s">
        <v>754</v>
      </c>
      <c r="E81" s="163" t="s">
        <v>750</v>
      </c>
      <c r="F81" s="633">
        <v>12</v>
      </c>
      <c r="G81" s="633">
        <v>12</v>
      </c>
      <c r="H81" s="633">
        <v>12</v>
      </c>
      <c r="J81" s="205"/>
      <c r="K81" s="205"/>
      <c r="S81" s="157"/>
    </row>
    <row r="82" spans="2:19" ht="43.5" x14ac:dyDescent="0.35">
      <c r="B82" s="158"/>
      <c r="C82" s="409" t="s">
        <v>748</v>
      </c>
      <c r="D82" s="163" t="s">
        <v>755</v>
      </c>
      <c r="E82" s="163" t="s">
        <v>752</v>
      </c>
      <c r="F82" s="633">
        <v>15</v>
      </c>
      <c r="G82" s="633">
        <v>15</v>
      </c>
      <c r="H82" s="633">
        <v>15</v>
      </c>
      <c r="J82" s="643" t="s">
        <v>753</v>
      </c>
      <c r="K82" s="644">
        <f>VLOOKUP(J82,payscales!B:K,10,0)</f>
        <v>121.08</v>
      </c>
      <c r="S82" s="157"/>
    </row>
    <row r="83" spans="2:19" ht="29" hidden="1" x14ac:dyDescent="0.35">
      <c r="B83" s="158"/>
      <c r="C83" s="405" t="s">
        <v>756</v>
      </c>
      <c r="D83" s="163" t="s">
        <v>757</v>
      </c>
      <c r="E83" s="163" t="s">
        <v>750</v>
      </c>
      <c r="F83" s="639">
        <v>0</v>
      </c>
      <c r="G83" s="639">
        <v>0</v>
      </c>
      <c r="H83" s="638">
        <v>0</v>
      </c>
      <c r="J83" s="643" t="s">
        <v>758</v>
      </c>
      <c r="K83" s="644">
        <f>VLOOKUP(J83,payscales!B:K,10,0)</f>
        <v>42.15</v>
      </c>
      <c r="S83" s="157"/>
    </row>
    <row r="84" spans="2:19" ht="43.5" hidden="1" x14ac:dyDescent="0.35">
      <c r="B84" s="158"/>
      <c r="C84" s="405" t="s">
        <v>756</v>
      </c>
      <c r="D84" s="163" t="s">
        <v>759</v>
      </c>
      <c r="E84" s="163" t="s">
        <v>750</v>
      </c>
      <c r="F84" s="639">
        <v>0</v>
      </c>
      <c r="G84" s="634">
        <v>0</v>
      </c>
      <c r="H84" s="633">
        <v>0</v>
      </c>
      <c r="J84" s="643" t="s">
        <v>758</v>
      </c>
      <c r="K84" s="644">
        <f>VLOOKUP(J84,payscales!B:K,10,0)</f>
        <v>42.15</v>
      </c>
      <c r="S84" s="157"/>
    </row>
    <row r="85" spans="2:19" ht="29" hidden="1" x14ac:dyDescent="0.35">
      <c r="B85" s="158"/>
      <c r="C85" s="405" t="s">
        <v>756</v>
      </c>
      <c r="D85" s="163" t="s">
        <v>760</v>
      </c>
      <c r="E85" s="163" t="s">
        <v>750</v>
      </c>
      <c r="F85" s="639">
        <v>0</v>
      </c>
      <c r="G85" s="634">
        <v>0</v>
      </c>
      <c r="H85" s="633">
        <v>0</v>
      </c>
      <c r="J85" s="643" t="s">
        <v>758</v>
      </c>
      <c r="K85" s="644">
        <f>VLOOKUP(J85,payscales!B:K,10,0)</f>
        <v>42.15</v>
      </c>
      <c r="S85" s="157"/>
    </row>
    <row r="86" spans="2:19" ht="29" x14ac:dyDescent="0.35">
      <c r="B86" s="158"/>
      <c r="C86" s="406" t="s">
        <v>761</v>
      </c>
      <c r="D86" s="163" t="s">
        <v>762</v>
      </c>
      <c r="E86" s="163" t="s">
        <v>763</v>
      </c>
      <c r="F86" s="640">
        <v>5</v>
      </c>
      <c r="G86" s="641">
        <v>5</v>
      </c>
      <c r="H86" s="633">
        <v>0</v>
      </c>
      <c r="J86" s="643" t="s">
        <v>764</v>
      </c>
      <c r="K86" s="644">
        <f>VLOOKUP(J86,payscales!B:K,10,0)</f>
        <v>46.77</v>
      </c>
      <c r="S86" s="157"/>
    </row>
    <row r="87" spans="2:19" hidden="1" x14ac:dyDescent="0.35">
      <c r="B87" s="158"/>
      <c r="C87" s="408" t="s">
        <v>765</v>
      </c>
      <c r="D87" s="163" t="s">
        <v>766</v>
      </c>
      <c r="E87" s="163" t="s">
        <v>767</v>
      </c>
      <c r="F87" s="633"/>
      <c r="G87" s="633"/>
      <c r="H87" s="633"/>
      <c r="J87" s="205"/>
      <c r="K87" s="205"/>
      <c r="S87" s="157"/>
    </row>
    <row r="88" spans="2:19" ht="43.5" hidden="1" x14ac:dyDescent="0.35">
      <c r="B88" s="158"/>
      <c r="C88" s="408" t="s">
        <v>765</v>
      </c>
      <c r="D88" s="163" t="s">
        <v>766</v>
      </c>
      <c r="E88" s="163" t="s">
        <v>752</v>
      </c>
      <c r="F88" s="633"/>
      <c r="G88" s="633"/>
      <c r="H88" s="633"/>
      <c r="J88" s="643" t="s">
        <v>753</v>
      </c>
      <c r="K88" s="644">
        <f>VLOOKUP(J88,payscales!B:K,10,0)</f>
        <v>121.08</v>
      </c>
      <c r="S88" s="157"/>
    </row>
    <row r="89" spans="2:19" ht="30" customHeight="1" x14ac:dyDescent="0.35">
      <c r="B89" s="158"/>
      <c r="C89" s="410" t="s">
        <v>768</v>
      </c>
      <c r="D89" s="163" t="s">
        <v>769</v>
      </c>
      <c r="E89" s="163" t="s">
        <v>767</v>
      </c>
      <c r="F89" s="639">
        <v>12</v>
      </c>
      <c r="G89" s="639">
        <v>12</v>
      </c>
      <c r="H89" s="639">
        <v>12</v>
      </c>
      <c r="J89" s="205"/>
      <c r="K89" s="205"/>
      <c r="S89" s="157"/>
    </row>
    <row r="90" spans="2:19" ht="29" x14ac:dyDescent="0.35">
      <c r="B90" s="158"/>
      <c r="C90" s="410" t="s">
        <v>768</v>
      </c>
      <c r="D90" s="163" t="s">
        <v>769</v>
      </c>
      <c r="E90" s="163" t="s">
        <v>770</v>
      </c>
      <c r="F90" s="639"/>
      <c r="G90" s="639"/>
      <c r="H90" s="639"/>
      <c r="J90" s="643" t="s">
        <v>758</v>
      </c>
      <c r="K90" s="644">
        <f>VLOOKUP(J90,payscales!B:K,10,0)</f>
        <v>42.15</v>
      </c>
      <c r="S90" s="157"/>
    </row>
    <row r="91" spans="2:19" ht="23.5" hidden="1" x14ac:dyDescent="0.55000000000000004">
      <c r="B91" s="158"/>
      <c r="C91" s="410" t="s">
        <v>768</v>
      </c>
      <c r="D91" s="163"/>
      <c r="E91" s="163" t="s">
        <v>767</v>
      </c>
      <c r="F91" s="639"/>
      <c r="G91" s="642"/>
      <c r="H91" s="642"/>
      <c r="J91" s="205"/>
      <c r="K91" s="205"/>
      <c r="L91" s="711"/>
      <c r="M91" s="691"/>
      <c r="N91" s="691"/>
      <c r="O91" s="691"/>
      <c r="P91" s="691"/>
      <c r="S91" s="157"/>
    </row>
    <row r="92" spans="2:19" ht="29" hidden="1" x14ac:dyDescent="0.35">
      <c r="B92" s="158"/>
      <c r="C92" s="410" t="s">
        <v>768</v>
      </c>
      <c r="D92" s="163"/>
      <c r="E92" s="163" t="s">
        <v>770</v>
      </c>
      <c r="F92" s="639"/>
      <c r="G92" s="642"/>
      <c r="H92" s="642"/>
      <c r="J92" s="643" t="s">
        <v>771</v>
      </c>
      <c r="K92" s="644">
        <f>VLOOKUP(J92,payscales!B:K,10,0)</f>
        <v>34.07</v>
      </c>
      <c r="L92" s="691"/>
      <c r="M92" s="691"/>
      <c r="N92" s="691"/>
      <c r="O92" s="691"/>
      <c r="P92" s="691"/>
      <c r="S92" s="157"/>
    </row>
    <row r="93" spans="2:19" hidden="1" x14ac:dyDescent="0.35">
      <c r="B93" s="158"/>
      <c r="C93" s="410" t="s">
        <v>768</v>
      </c>
      <c r="D93" s="163"/>
      <c r="E93" s="163" t="s">
        <v>772</v>
      </c>
      <c r="F93" s="639"/>
      <c r="G93" s="642"/>
      <c r="H93" s="642"/>
      <c r="J93" s="205"/>
      <c r="K93" s="205"/>
      <c r="S93" s="157"/>
    </row>
    <row r="94" spans="2:19" ht="29" hidden="1" x14ac:dyDescent="0.35">
      <c r="B94" s="158"/>
      <c r="C94" s="410" t="s">
        <v>768</v>
      </c>
      <c r="D94" s="163"/>
      <c r="E94" s="163" t="s">
        <v>770</v>
      </c>
      <c r="F94" s="639"/>
      <c r="G94" s="642"/>
      <c r="H94" s="642"/>
      <c r="J94" s="643" t="s">
        <v>773</v>
      </c>
      <c r="K94" s="644">
        <f>VLOOKUP(J94,payscales!B:K,10,0)</f>
        <v>49.16</v>
      </c>
      <c r="S94" s="157"/>
    </row>
    <row r="95" spans="2:19" ht="29" x14ac:dyDescent="0.35">
      <c r="B95" s="158"/>
      <c r="C95" s="359" t="s">
        <v>774</v>
      </c>
      <c r="D95" s="359" t="s">
        <v>775</v>
      </c>
      <c r="E95" s="163" t="s">
        <v>767</v>
      </c>
      <c r="F95" s="548" t="s">
        <v>776</v>
      </c>
      <c r="G95" s="548" t="s">
        <v>776</v>
      </c>
      <c r="H95" s="548" t="s">
        <v>776</v>
      </c>
      <c r="J95" s="207"/>
      <c r="K95" s="205"/>
      <c r="S95" s="157"/>
    </row>
    <row r="96" spans="2:19" x14ac:dyDescent="0.35">
      <c r="B96" s="158"/>
      <c r="C96" s="350"/>
      <c r="D96" s="209"/>
      <c r="E96" s="209"/>
      <c r="F96" s="209"/>
      <c r="S96" s="157"/>
    </row>
    <row r="97" spans="2:19" x14ac:dyDescent="0.35">
      <c r="B97" s="158"/>
      <c r="C97" s="195" t="s">
        <v>777</v>
      </c>
      <c r="D97" s="150"/>
      <c r="S97" s="157"/>
    </row>
    <row r="98" spans="2:19" x14ac:dyDescent="0.35">
      <c r="B98" s="158"/>
      <c r="C98" s="750" t="s">
        <v>1057</v>
      </c>
      <c r="D98" s="150"/>
      <c r="S98" s="157"/>
    </row>
    <row r="99" spans="2:19" x14ac:dyDescent="0.35">
      <c r="B99" s="158"/>
      <c r="C99" t="s">
        <v>1058</v>
      </c>
      <c r="D99" s="150"/>
      <c r="S99" s="157"/>
    </row>
    <row r="100" spans="2:19" x14ac:dyDescent="0.35">
      <c r="B100" s="158"/>
      <c r="C100" t="s">
        <v>1059</v>
      </c>
      <c r="D100" s="150"/>
      <c r="H100" s="527"/>
      <c r="S100" s="157"/>
    </row>
    <row r="101" spans="2:19" x14ac:dyDescent="0.35">
      <c r="B101" s="158"/>
      <c r="C101" t="s">
        <v>778</v>
      </c>
      <c r="D101" s="150"/>
      <c r="H101" s="527"/>
      <c r="S101" s="157"/>
    </row>
    <row r="102" spans="2:19" x14ac:dyDescent="0.35">
      <c r="B102" s="158"/>
      <c r="C102" t="s">
        <v>1060</v>
      </c>
      <c r="D102" s="150"/>
      <c r="H102" s="352"/>
      <c r="S102" s="157"/>
    </row>
    <row r="103" spans="2:19" x14ac:dyDescent="0.35">
      <c r="B103" s="159"/>
      <c r="C103" s="160"/>
      <c r="D103" s="162"/>
      <c r="E103" s="162"/>
      <c r="F103" s="162"/>
      <c r="G103" s="162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1"/>
    </row>
    <row r="104" spans="2:19" x14ac:dyDescent="0.35">
      <c r="D104" s="150"/>
      <c r="E104" s="150"/>
      <c r="F104" s="150"/>
      <c r="G104" s="150"/>
    </row>
    <row r="105" spans="2:19" x14ac:dyDescent="0.35">
      <c r="B105" s="401" t="s">
        <v>779</v>
      </c>
      <c r="C105" s="768"/>
      <c r="D105" s="768"/>
      <c r="E105" s="768"/>
      <c r="F105" s="768"/>
      <c r="G105" s="768"/>
      <c r="H105" s="768"/>
      <c r="I105" s="768"/>
      <c r="J105" s="768"/>
      <c r="K105" s="768"/>
      <c r="L105" s="768"/>
      <c r="M105" s="768"/>
      <c r="N105" s="768"/>
      <c r="O105" s="768"/>
      <c r="P105" s="768"/>
      <c r="Q105" s="768"/>
      <c r="R105" s="768"/>
      <c r="S105" s="224"/>
    </row>
    <row r="106" spans="2:19" x14ac:dyDescent="0.35">
      <c r="B106" s="228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9"/>
    </row>
    <row r="107" spans="2:19" x14ac:dyDescent="0.35">
      <c r="B107" s="228"/>
      <c r="C107" s="693" t="s">
        <v>780</v>
      </c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9"/>
    </row>
    <row r="108" spans="2:19" x14ac:dyDescent="0.35">
      <c r="B108" s="228"/>
      <c r="C108" s="688" t="s">
        <v>781</v>
      </c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9"/>
    </row>
    <row r="109" spans="2:19" x14ac:dyDescent="0.35">
      <c r="B109" s="228"/>
      <c r="C109" s="688" t="s">
        <v>782</v>
      </c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9"/>
    </row>
    <row r="110" spans="2:19" x14ac:dyDescent="0.35">
      <c r="B110" s="228"/>
      <c r="C110" s="474" t="s">
        <v>783</v>
      </c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9"/>
    </row>
    <row r="111" spans="2:19" x14ac:dyDescent="0.35">
      <c r="B111" s="228"/>
      <c r="C111" s="474" t="s">
        <v>784</v>
      </c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9"/>
    </row>
    <row r="112" spans="2:19" x14ac:dyDescent="0.35">
      <c r="B112" s="228"/>
      <c r="C112" s="474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9"/>
    </row>
    <row r="113" spans="2:19" x14ac:dyDescent="0.35">
      <c r="B113" s="228"/>
      <c r="C113" s="692" t="s">
        <v>785</v>
      </c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9"/>
    </row>
    <row r="114" spans="2:19" x14ac:dyDescent="0.35">
      <c r="B114" s="228"/>
      <c r="C114" s="688" t="s">
        <v>786</v>
      </c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9"/>
    </row>
    <row r="115" spans="2:19" x14ac:dyDescent="0.35">
      <c r="B115" s="228"/>
      <c r="C115" s="474" t="s">
        <v>787</v>
      </c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9"/>
    </row>
    <row r="116" spans="2:19" x14ac:dyDescent="0.35">
      <c r="B116" s="228"/>
      <c r="C116" s="474" t="s">
        <v>788</v>
      </c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9"/>
    </row>
    <row r="117" spans="2:19" x14ac:dyDescent="0.35">
      <c r="B117" s="228"/>
      <c r="C117" s="474" t="s">
        <v>789</v>
      </c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9"/>
    </row>
    <row r="118" spans="2:19" x14ac:dyDescent="0.35">
      <c r="B118" s="226"/>
      <c r="C118" s="230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7"/>
    </row>
  </sheetData>
  <sheetProtection algorithmName="SHA-512" hashValue="1onkIdH0kAOxbi2VjaA7XjLY+eCOflMVCWeLumsmwo5KVg80JjZb2L3Rmjc1/l8kzbz+hhPDN4VhEf4xoPH5tw==" saltValue="1JKadYL35YP7Ll9XXcjkLw==" spinCount="100000" sheet="1" objects="1" scenarios="1"/>
  <protectedRanges>
    <protectedRange sqref="E11:E13 E15 E17 E19:E20 F79:H94 H96 D61:D62 F37 E35:F36 E38:F38 G40 G77:H77 F39 E66:J68 L66:Q68 G35:G38" name="Range1"/>
    <protectedRange sqref="E27:G34" name="Range1_1"/>
    <protectedRange sqref="D51:J52" name="Range1_3"/>
    <protectedRange sqref="I55:J56" name="Range1_5"/>
    <protectedRange sqref="I57:J58" name="Range1_6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08" r:id="rId1" display="Office for National Statistics Population Estimates, England and Wales: mid-2022" xr:uid="{E5307553-7A6C-4E4A-A884-E27CF8AE4772}"/>
    <hyperlink ref="C109" r:id="rId2" xr:uid="{7973B0A5-0DDC-4D6E-A615-7910C6E2CF4A}"/>
    <hyperlink ref="C114" r:id="rId3" xr:uid="{EDC70E40-643A-4353-80EE-8CAA529E12F0}"/>
    <hyperlink ref="E61" r:id="rId4" xr:uid="{0E08A779-33C3-4F7D-BF78-6B0A0AFD427A}"/>
    <hyperlink ref="E62" r:id="rId5" xr:uid="{88E04311-B8B3-498E-97F1-580B0F7B7CAC}"/>
    <hyperlink ref="H28" r:id="rId6" xr:uid="{24A48B1C-E66E-43A7-A3DA-AFCC44CF9855}"/>
    <hyperlink ref="H29" r:id="rId7" xr:uid="{C55B9A25-FEA0-44FD-9616-694D057FAD5A}"/>
    <hyperlink ref="H30" r:id="rId8" display="https://www.healthpolicypartnership.com/app/uploads/Genetic-testing-for-BRCA-mutations-UK.pdf" xr:uid="{04172715-259E-41A8-B83B-98AAA5729261}"/>
    <hyperlink ref="H34" r:id="rId9" display="https://www.healthpolicypartnership.com/app/uploads/Genetic-testing-for-BRCA-mutations-UK.pdf" xr:uid="{DEFA08BA-BF94-4F99-8D2E-AFAF06BA6129}"/>
    <hyperlink ref="C98" r:id="rId10" display="Duration of administrations as per SmPC" xr:uid="{FC6C7DD0-D954-4847-B9CE-72C76B957BDF}"/>
    <hyperlink ref="H33" r:id="rId11" xr:uid="{DB9355CB-131D-4A1C-BD14-B3B0832C3342}"/>
    <hyperlink ref="H31" r:id="rId12" xr:uid="{442B9995-447C-428A-B3AA-C704F6B4F2CA}"/>
    <hyperlink ref="H27" r:id="rId13" display="https://digital.nhs.uk/data-and-information/publications/statistical/cancer-registration-statistics/england-2022" xr:uid="{26765D26-4C6C-4138-A9DC-58AF503079AA}"/>
  </hyperlinks>
  <pageMargins left="0.7" right="0.7" top="0.75" bottom="0.75" header="0.3" footer="0.3"/>
  <pageSetup paperSize="9" scale="49" orientation="portrait" verticalDpi="0" r:id="rId14"/>
  <rowBreaks count="1" manualBreakCount="1">
    <brk id="63" max="12" man="1"/>
  </rowBreaks>
  <legacyDrawing r:id="rId1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F37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J80 J82:J86 J88 J90 J92 J94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X59"/>
  <sheetViews>
    <sheetView showGridLines="0" zoomScale="70" zoomScaleNormal="70" workbookViewId="0">
      <selection activeCell="D4" sqref="D4"/>
    </sheetView>
  </sheetViews>
  <sheetFormatPr defaultColWidth="9.1796875" defaultRowHeight="12.5" x14ac:dyDescent="0.25"/>
  <cols>
    <col min="1" max="1" width="3.54296875" style="3" customWidth="1"/>
    <col min="2" max="2" width="52.453125" style="3" customWidth="1"/>
    <col min="3" max="3" width="29.81640625" style="3" bestFit="1" customWidth="1"/>
    <col min="4" max="4" width="11.81640625" style="3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11" style="3" customWidth="1"/>
    <col min="10" max="10" width="11.453125" style="3" customWidth="1"/>
    <col min="11" max="12" width="10.54296875" style="3" customWidth="1"/>
    <col min="13" max="13" width="12.54296875" style="3" customWidth="1"/>
    <col min="14" max="17" width="12.453125" style="3" customWidth="1"/>
    <col min="18" max="18" width="12.1796875" style="3" customWidth="1"/>
    <col min="19" max="19" width="15.7265625" style="3" customWidth="1"/>
    <col min="20" max="20" width="12.1796875" style="3" customWidth="1"/>
    <col min="21" max="21" width="3.453125" style="3" customWidth="1"/>
    <col min="22" max="22" width="9.453125" style="3" customWidth="1"/>
    <col min="23" max="16384" width="9.1796875" style="3"/>
  </cols>
  <sheetData>
    <row r="1" spans="1:24" ht="30" customHeight="1" x14ac:dyDescent="0.5">
      <c r="A1" s="190"/>
      <c r="B1" s="546" t="str">
        <f>'Inputs and eligible population'!B1</f>
        <v>Olaparib for treating BRCA mutation-positive HER2-negative advanced breast cancer after chemotherapy</v>
      </c>
      <c r="C1" s="145"/>
      <c r="D1" s="129"/>
      <c r="E1" s="129"/>
      <c r="F1" s="129"/>
      <c r="G1" s="129"/>
      <c r="H1" s="129"/>
      <c r="I1" s="129"/>
      <c r="J1" s="129" t="s">
        <v>790</v>
      </c>
      <c r="K1" s="129" t="s">
        <v>790</v>
      </c>
      <c r="L1" s="129" t="s">
        <v>790</v>
      </c>
      <c r="M1" s="129" t="s">
        <v>790</v>
      </c>
      <c r="N1" s="151"/>
      <c r="O1" s="151"/>
      <c r="P1" s="151"/>
      <c r="Q1" s="151"/>
      <c r="R1" s="190"/>
      <c r="S1" s="190"/>
      <c r="T1" s="190"/>
      <c r="U1" s="190"/>
    </row>
    <row r="2" spans="1:24" ht="26.25" customHeight="1" x14ac:dyDescent="0.5">
      <c r="A2" s="190"/>
      <c r="B2" s="143" t="s">
        <v>7</v>
      </c>
      <c r="C2" s="144" t="s">
        <v>790</v>
      </c>
      <c r="D2" s="129" t="s">
        <v>790</v>
      </c>
      <c r="E2" s="129" t="s">
        <v>790</v>
      </c>
      <c r="F2" s="129" t="s">
        <v>790</v>
      </c>
      <c r="G2" s="129" t="s">
        <v>790</v>
      </c>
      <c r="H2" s="129" t="s">
        <v>790</v>
      </c>
      <c r="I2" s="129" t="s">
        <v>790</v>
      </c>
      <c r="J2" s="129" t="s">
        <v>790</v>
      </c>
      <c r="K2" s="130" t="s">
        <v>790</v>
      </c>
      <c r="L2" s="130"/>
      <c r="M2" s="130"/>
      <c r="N2" s="130"/>
      <c r="O2" s="130"/>
      <c r="P2" s="130"/>
      <c r="Q2" s="130"/>
      <c r="R2" s="190"/>
      <c r="S2" s="190"/>
      <c r="T2" s="190"/>
      <c r="U2" s="190"/>
    </row>
    <row r="3" spans="1:24" ht="14.5" customHeight="1" x14ac:dyDescent="0.5">
      <c r="A3" s="190"/>
      <c r="B3" s="127"/>
      <c r="C3" s="145"/>
      <c r="D3" s="129"/>
      <c r="E3" s="129"/>
      <c r="F3" s="129"/>
      <c r="G3" s="129" t="s">
        <v>790</v>
      </c>
      <c r="H3" s="129" t="s">
        <v>790</v>
      </c>
      <c r="I3" s="129" t="s">
        <v>790</v>
      </c>
      <c r="J3" s="129" t="s">
        <v>790</v>
      </c>
      <c r="K3" s="130" t="s">
        <v>790</v>
      </c>
      <c r="L3" s="130"/>
      <c r="M3" s="130"/>
      <c r="N3" s="130"/>
      <c r="O3" s="130"/>
      <c r="P3" s="130"/>
      <c r="Q3" s="130"/>
      <c r="R3" s="190"/>
      <c r="S3" s="190"/>
      <c r="T3" s="190"/>
      <c r="U3" s="190"/>
    </row>
    <row r="4" spans="1:24" ht="14.5" customHeight="1" x14ac:dyDescent="0.5">
      <c r="A4" s="190"/>
      <c r="B4" t="s">
        <v>791</v>
      </c>
      <c r="C4" s="145"/>
      <c r="D4" s="129"/>
      <c r="E4" s="129"/>
      <c r="F4" s="129"/>
      <c r="G4" s="129" t="s">
        <v>790</v>
      </c>
      <c r="H4" s="129" t="s">
        <v>790</v>
      </c>
      <c r="I4" s="129" t="s">
        <v>790</v>
      </c>
      <c r="J4" s="129" t="s">
        <v>790</v>
      </c>
      <c r="K4" s="130" t="s">
        <v>790</v>
      </c>
      <c r="L4" s="129"/>
      <c r="M4" s="130"/>
      <c r="N4" s="130"/>
      <c r="O4" s="130"/>
      <c r="P4" s="130"/>
      <c r="Q4" s="130"/>
      <c r="R4" s="130"/>
      <c r="S4" s="130"/>
      <c r="T4" s="130"/>
      <c r="U4" s="130"/>
    </row>
    <row r="5" spans="1:24" ht="14.5" customHeight="1" x14ac:dyDescent="0.5">
      <c r="A5" s="190"/>
      <c r="B5" t="s">
        <v>669</v>
      </c>
      <c r="C5" s="145"/>
      <c r="D5" s="129"/>
      <c r="E5" s="129"/>
      <c r="F5" s="129"/>
      <c r="G5" s="129"/>
      <c r="H5" s="129" t="s">
        <v>790</v>
      </c>
      <c r="I5" s="129" t="s">
        <v>790</v>
      </c>
      <c r="J5" s="129" t="s">
        <v>790</v>
      </c>
      <c r="K5" s="130" t="s">
        <v>790</v>
      </c>
      <c r="L5" s="129"/>
      <c r="M5" s="130"/>
      <c r="N5" s="130"/>
      <c r="O5" s="130"/>
      <c r="P5" s="130"/>
      <c r="Q5" s="130"/>
      <c r="R5" s="130"/>
      <c r="S5" s="130"/>
      <c r="T5" s="130"/>
      <c r="U5" s="130"/>
    </row>
    <row r="6" spans="1:24" ht="14.5" customHeight="1" thickBot="1" x14ac:dyDescent="0.55000000000000004">
      <c r="A6" s="190"/>
      <c r="B6"/>
      <c r="C6" s="145"/>
      <c r="D6" s="129"/>
      <c r="E6" s="129"/>
      <c r="F6" s="129"/>
      <c r="G6" s="129"/>
      <c r="H6" s="129"/>
      <c r="I6" s="129"/>
      <c r="J6" s="129"/>
      <c r="K6" s="130"/>
      <c r="L6" s="129"/>
      <c r="M6" s="130"/>
      <c r="N6" s="130"/>
      <c r="O6" s="130"/>
      <c r="P6" s="130"/>
      <c r="Q6" s="130"/>
      <c r="R6" s="130"/>
      <c r="S6" s="130"/>
      <c r="T6" s="130"/>
      <c r="U6" s="130"/>
    </row>
    <row r="7" spans="1:24" s="242" customFormat="1" ht="14.5" x14ac:dyDescent="0.35">
      <c r="A7" s="244"/>
      <c r="B7" s="240" t="s">
        <v>792</v>
      </c>
      <c r="C7" s="244"/>
      <c r="D7" s="672" t="s">
        <v>793</v>
      </c>
      <c r="E7" s="673"/>
      <c r="F7" s="673"/>
      <c r="G7" s="673"/>
      <c r="H7" s="674"/>
      <c r="I7" s="672" t="s">
        <v>794</v>
      </c>
      <c r="J7" s="673"/>
      <c r="K7" s="673"/>
      <c r="L7" s="673"/>
      <c r="M7" s="673"/>
      <c r="N7" s="673"/>
      <c r="O7" s="673"/>
      <c r="P7" s="673"/>
      <c r="Q7" s="673"/>
      <c r="R7" s="673"/>
      <c r="S7" s="673"/>
      <c r="T7" s="674"/>
      <c r="U7" s="244"/>
      <c r="X7" s="3"/>
    </row>
    <row r="8" spans="1:24" s="242" customFormat="1" ht="49" customHeight="1" x14ac:dyDescent="0.35">
      <c r="A8" s="244"/>
      <c r="B8" s="243" t="s">
        <v>795</v>
      </c>
      <c r="C8" s="245" t="s">
        <v>796</v>
      </c>
      <c r="D8" s="675" t="s">
        <v>797</v>
      </c>
      <c r="E8" s="246" t="s">
        <v>798</v>
      </c>
      <c r="F8" s="246" t="s">
        <v>799</v>
      </c>
      <c r="G8" s="246" t="s">
        <v>800</v>
      </c>
      <c r="H8" s="676" t="s">
        <v>801</v>
      </c>
      <c r="I8" s="681" t="s">
        <v>802</v>
      </c>
      <c r="J8" s="243" t="s">
        <v>803</v>
      </c>
      <c r="K8" s="246" t="s">
        <v>804</v>
      </c>
      <c r="L8" s="246" t="s">
        <v>805</v>
      </c>
      <c r="M8" s="246" t="s">
        <v>806</v>
      </c>
      <c r="N8" s="246" t="s">
        <v>807</v>
      </c>
      <c r="O8" s="679" t="s">
        <v>808</v>
      </c>
      <c r="P8" s="679" t="s">
        <v>809</v>
      </c>
      <c r="Q8" s="679" t="s">
        <v>810</v>
      </c>
      <c r="R8" s="245" t="s">
        <v>811</v>
      </c>
      <c r="S8" s="243" t="s">
        <v>812</v>
      </c>
      <c r="T8" s="676" t="s">
        <v>813</v>
      </c>
      <c r="U8" s="244"/>
      <c r="X8" s="3"/>
    </row>
    <row r="9" spans="1:24" s="242" customFormat="1" ht="14.5" x14ac:dyDescent="0.35">
      <c r="A9" s="244"/>
      <c r="B9" s="645" t="s">
        <v>814</v>
      </c>
      <c r="C9" s="670" t="s">
        <v>815</v>
      </c>
      <c r="D9" s="677" t="s">
        <v>632</v>
      </c>
      <c r="E9" s="646" t="s">
        <v>816</v>
      </c>
      <c r="F9" s="647">
        <v>150</v>
      </c>
      <c r="G9" s="647">
        <v>56</v>
      </c>
      <c r="H9" s="678">
        <f>G9*F9</f>
        <v>8400</v>
      </c>
      <c r="I9" s="682">
        <v>150</v>
      </c>
      <c r="J9" s="648" t="s">
        <v>817</v>
      </c>
      <c r="K9" s="648" t="s">
        <v>817</v>
      </c>
      <c r="L9" s="647">
        <v>600</v>
      </c>
      <c r="M9" s="645">
        <v>28</v>
      </c>
      <c r="N9" s="645">
        <f>'Inputs and eligible population'!F51</f>
        <v>8.1999999999999993</v>
      </c>
      <c r="O9" s="645">
        <f>N9*M9*L9</f>
        <v>137759.99999999997</v>
      </c>
      <c r="P9" s="777">
        <f>O9/H9</f>
        <v>16.399999999999995</v>
      </c>
      <c r="Q9" s="751">
        <v>0.5</v>
      </c>
      <c r="R9" s="649">
        <f>'Inputs and eligible population'!I55</f>
        <v>0</v>
      </c>
      <c r="S9" s="650">
        <f>'Inputs and eligible population'!J55</f>
        <v>0.2</v>
      </c>
      <c r="T9" s="683">
        <f>(P9*R9*(100%+S9))*Q9</f>
        <v>0</v>
      </c>
      <c r="U9" s="244"/>
      <c r="X9" s="3"/>
    </row>
    <row r="10" spans="1:24" s="242" customFormat="1" ht="14.5" x14ac:dyDescent="0.35">
      <c r="A10" s="244"/>
      <c r="B10" s="645" t="s">
        <v>818</v>
      </c>
      <c r="C10" s="670" t="s">
        <v>815</v>
      </c>
      <c r="D10" s="677" t="s">
        <v>632</v>
      </c>
      <c r="E10" s="646" t="s">
        <v>816</v>
      </c>
      <c r="F10" s="647">
        <v>150</v>
      </c>
      <c r="G10" s="647">
        <v>56</v>
      </c>
      <c r="H10" s="678">
        <f>G10*F10</f>
        <v>8400</v>
      </c>
      <c r="I10" s="682">
        <v>150</v>
      </c>
      <c r="J10" s="648" t="s">
        <v>817</v>
      </c>
      <c r="K10" s="648" t="s">
        <v>817</v>
      </c>
      <c r="L10" s="647">
        <v>600</v>
      </c>
      <c r="M10" s="645">
        <v>28</v>
      </c>
      <c r="N10" s="645">
        <f>'Inputs and eligible population'!F51</f>
        <v>8.1999999999999993</v>
      </c>
      <c r="O10" s="645">
        <f>N10*M10*L10</f>
        <v>137759.99999999997</v>
      </c>
      <c r="P10" s="777">
        <f>O10/H10</f>
        <v>16.399999999999995</v>
      </c>
      <c r="Q10" s="751">
        <v>0.5</v>
      </c>
      <c r="R10" s="649">
        <f>'Inputs and eligible population'!I56</f>
        <v>0</v>
      </c>
      <c r="S10" s="650">
        <f>'Inputs and eligible population'!J56</f>
        <v>0</v>
      </c>
      <c r="T10" s="683">
        <f>(P10*R10*(100%+S10))*Q10</f>
        <v>0</v>
      </c>
      <c r="U10" s="244"/>
      <c r="X10" s="3"/>
    </row>
    <row r="11" spans="1:24" s="242" customFormat="1" ht="14.5" x14ac:dyDescent="0.35">
      <c r="A11" s="244"/>
      <c r="B11" s="669"/>
      <c r="C11" s="247" t="s">
        <v>819</v>
      </c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  <c r="Q11" s="671"/>
      <c r="R11" s="671"/>
      <c r="S11" s="773" t="s">
        <v>820</v>
      </c>
      <c r="T11" s="778">
        <f>SUM(T9:T10)</f>
        <v>0</v>
      </c>
      <c r="U11" s="244"/>
      <c r="X11" s="3"/>
    </row>
    <row r="12" spans="1:24" s="242" customFormat="1" ht="15" thickBot="1" x14ac:dyDescent="0.4">
      <c r="A12" s="244"/>
      <c r="B12" s="240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666"/>
      <c r="U12" s="244"/>
      <c r="X12" s="3"/>
    </row>
    <row r="13" spans="1:24" s="242" customFormat="1" ht="14.5" x14ac:dyDescent="0.35">
      <c r="A13" s="244"/>
      <c r="B13" s="240"/>
      <c r="C13" s="244"/>
      <c r="D13" s="672" t="s">
        <v>793</v>
      </c>
      <c r="E13" s="673"/>
      <c r="F13" s="673"/>
      <c r="G13" s="673"/>
      <c r="H13" s="674"/>
      <c r="I13" s="672" t="s">
        <v>794</v>
      </c>
      <c r="J13" s="685"/>
      <c r="K13" s="685"/>
      <c r="L13" s="685"/>
      <c r="M13" s="685"/>
      <c r="N13" s="685"/>
      <c r="O13" s="685"/>
      <c r="P13" s="685"/>
      <c r="Q13" s="685"/>
      <c r="R13" s="685"/>
      <c r="S13" s="685"/>
      <c r="T13" s="686"/>
      <c r="U13" s="244"/>
      <c r="X13" s="3"/>
    </row>
    <row r="14" spans="1:24" s="242" customFormat="1" ht="14.5" x14ac:dyDescent="0.35">
      <c r="A14" s="244"/>
      <c r="B14" s="645" t="s">
        <v>821</v>
      </c>
      <c r="C14" s="670" t="s">
        <v>822</v>
      </c>
      <c r="D14" s="677" t="s">
        <v>632</v>
      </c>
      <c r="E14" s="646" t="s">
        <v>816</v>
      </c>
      <c r="F14" s="647">
        <v>1</v>
      </c>
      <c r="G14" s="647">
        <v>30</v>
      </c>
      <c r="H14" s="678">
        <f t="shared" ref="H14:H15" si="0">G14*F14</f>
        <v>30</v>
      </c>
      <c r="I14" s="682">
        <v>1</v>
      </c>
      <c r="J14" s="648" t="s">
        <v>817</v>
      </c>
      <c r="K14" s="648" t="s">
        <v>817</v>
      </c>
      <c r="L14" s="647">
        <f>I14</f>
        <v>1</v>
      </c>
      <c r="M14" s="645">
        <v>30</v>
      </c>
      <c r="N14" s="651">
        <f>'Inputs and eligible population'!F52</f>
        <v>12</v>
      </c>
      <c r="O14" s="645">
        <f>N14*M14*L14</f>
        <v>360</v>
      </c>
      <c r="P14" s="645">
        <f>O14/H14</f>
        <v>12</v>
      </c>
      <c r="Q14" s="751">
        <v>0.5</v>
      </c>
      <c r="R14" s="649">
        <f>'Inputs and eligible population'!I57</f>
        <v>0</v>
      </c>
      <c r="S14" s="650">
        <f>'Inputs and eligible population'!J57</f>
        <v>0.2</v>
      </c>
      <c r="T14" s="683">
        <f>(P14*R14*(100%+S14))*Q14</f>
        <v>0</v>
      </c>
      <c r="U14" s="244"/>
      <c r="X14" s="3"/>
    </row>
    <row r="15" spans="1:24" s="242" customFormat="1" ht="14.5" x14ac:dyDescent="0.35">
      <c r="A15" s="244"/>
      <c r="B15" s="645" t="s">
        <v>823</v>
      </c>
      <c r="C15" s="670" t="s">
        <v>822</v>
      </c>
      <c r="D15" s="677" t="s">
        <v>632</v>
      </c>
      <c r="E15" s="646" t="s">
        <v>816</v>
      </c>
      <c r="F15" s="647">
        <v>1</v>
      </c>
      <c r="G15" s="647">
        <v>30</v>
      </c>
      <c r="H15" s="678">
        <f t="shared" si="0"/>
        <v>30</v>
      </c>
      <c r="I15" s="682">
        <v>1</v>
      </c>
      <c r="J15" s="648" t="s">
        <v>817</v>
      </c>
      <c r="K15" s="648" t="s">
        <v>817</v>
      </c>
      <c r="L15" s="647">
        <f>I15</f>
        <v>1</v>
      </c>
      <c r="M15" s="645">
        <v>30</v>
      </c>
      <c r="N15" s="651">
        <f>'Inputs and eligible population'!F52</f>
        <v>12</v>
      </c>
      <c r="O15" s="645">
        <f>N15*M15*L15</f>
        <v>360</v>
      </c>
      <c r="P15" s="645">
        <f>O15/H15</f>
        <v>12</v>
      </c>
      <c r="Q15" s="751">
        <v>0.5</v>
      </c>
      <c r="R15" s="649">
        <f>'Inputs and eligible population'!I58</f>
        <v>0</v>
      </c>
      <c r="S15" s="650">
        <f>'Inputs and eligible population'!J58</f>
        <v>0</v>
      </c>
      <c r="T15" s="683">
        <f>(P15*R15*(100%+S15))*Q15</f>
        <v>0</v>
      </c>
      <c r="U15" s="244"/>
      <c r="X15" s="3"/>
    </row>
    <row r="16" spans="1:24" s="242" customFormat="1" ht="14.5" x14ac:dyDescent="0.35">
      <c r="A16" s="244"/>
      <c r="B16" s="669"/>
      <c r="C16" s="247" t="s">
        <v>819</v>
      </c>
      <c r="D16" s="671"/>
      <c r="E16" s="671"/>
      <c r="F16" s="671"/>
      <c r="G16" s="671"/>
      <c r="H16" s="671"/>
      <c r="I16" s="671"/>
      <c r="J16" s="671"/>
      <c r="K16" s="671"/>
      <c r="L16" s="671"/>
      <c r="M16" s="671"/>
      <c r="N16" s="684"/>
      <c r="O16" s="684"/>
      <c r="P16" s="684"/>
      <c r="Q16" s="684"/>
      <c r="R16" s="671"/>
      <c r="S16" s="773" t="s">
        <v>820</v>
      </c>
      <c r="T16" s="778">
        <f>SUM(T14:T15)</f>
        <v>0</v>
      </c>
      <c r="U16" s="244"/>
      <c r="X16" s="3"/>
    </row>
    <row r="17" spans="1:24" s="242" customFormat="1" ht="14.5" x14ac:dyDescent="0.35">
      <c r="A17" s="244"/>
      <c r="B17" s="240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627"/>
      <c r="O17" s="627"/>
      <c r="P17" s="627"/>
      <c r="Q17" s="627"/>
      <c r="R17" s="244"/>
      <c r="S17" s="244"/>
      <c r="T17" s="666"/>
      <c r="U17" s="244"/>
      <c r="X17" s="3"/>
    </row>
    <row r="18" spans="1:24" s="4" customFormat="1" ht="14.5" x14ac:dyDescent="0.35">
      <c r="A18" s="5"/>
      <c r="B18" s="458"/>
      <c r="C18" s="5"/>
      <c r="D18" s="175"/>
      <c r="E18" s="110"/>
      <c r="F18" s="176"/>
      <c r="G18" s="177"/>
      <c r="H18" s="5"/>
      <c r="I18" s="5"/>
      <c r="J18" s="178"/>
      <c r="K18" s="177"/>
      <c r="L18" s="177"/>
      <c r="M18" s="177"/>
      <c r="N18" s="177"/>
      <c r="O18" s="177"/>
      <c r="P18" s="177"/>
      <c r="Q18" s="177"/>
      <c r="R18" s="177"/>
      <c r="S18" s="178"/>
      <c r="T18" s="752"/>
      <c r="U18" s="5"/>
      <c r="X18" s="3"/>
    </row>
    <row r="19" spans="1:24" s="4" customFormat="1" ht="14.5" x14ac:dyDescent="0.35">
      <c r="A19" s="5"/>
      <c r="B19" s="240" t="s">
        <v>824</v>
      </c>
      <c r="C19" s="244"/>
      <c r="D19" s="175"/>
      <c r="E19" s="110"/>
      <c r="F19" s="176"/>
      <c r="G19" s="177"/>
      <c r="H19" s="5"/>
      <c r="I19" s="5"/>
      <c r="J19" s="178"/>
      <c r="K19" s="177"/>
      <c r="L19" s="177"/>
      <c r="M19" s="177"/>
      <c r="N19" s="177"/>
      <c r="O19" s="177"/>
      <c r="P19" s="177"/>
      <c r="Q19" s="177"/>
      <c r="R19" s="177"/>
      <c r="S19" s="178"/>
      <c r="T19" s="484" t="s">
        <v>825</v>
      </c>
      <c r="U19" s="5"/>
      <c r="X19" s="3"/>
    </row>
    <row r="20" spans="1:24" s="4" customFormat="1" ht="14.5" x14ac:dyDescent="0.35">
      <c r="A20" s="5"/>
      <c r="B20" s="243" t="s">
        <v>826</v>
      </c>
      <c r="C20" s="245" t="s">
        <v>827</v>
      </c>
      <c r="D20" s="245" t="s">
        <v>828</v>
      </c>
      <c r="E20" s="248" t="s">
        <v>829</v>
      </c>
      <c r="F20" s="455"/>
      <c r="G20" s="456"/>
      <c r="H20" s="457"/>
      <c r="I20" s="456"/>
      <c r="J20" s="457"/>
      <c r="K20" s="456"/>
      <c r="L20" s="457"/>
      <c r="M20" s="456"/>
      <c r="N20" s="460" t="s">
        <v>830</v>
      </c>
      <c r="O20" s="177"/>
      <c r="P20" s="177"/>
      <c r="Q20" s="177"/>
      <c r="R20" s="177"/>
      <c r="S20" s="178"/>
      <c r="T20" s="484" t="s">
        <v>831</v>
      </c>
      <c r="U20" s="5"/>
      <c r="X20" s="3"/>
    </row>
    <row r="21" spans="1:24" s="4" customFormat="1" ht="14.5" x14ac:dyDescent="0.35">
      <c r="A21" s="5"/>
      <c r="B21" s="645" t="s">
        <v>832</v>
      </c>
      <c r="C21" s="652" t="s">
        <v>833</v>
      </c>
      <c r="D21" s="653">
        <f>'Inputs and eligible population'!E51</f>
        <v>1</v>
      </c>
      <c r="E21" s="654" t="s">
        <v>834</v>
      </c>
      <c r="F21" s="655"/>
      <c r="G21" s="656"/>
      <c r="H21" s="657"/>
      <c r="I21" s="657"/>
      <c r="J21" s="657"/>
      <c r="K21" s="657"/>
      <c r="L21" s="656"/>
      <c r="M21" s="658"/>
      <c r="N21" s="659">
        <v>142</v>
      </c>
      <c r="O21" s="177"/>
      <c r="P21" s="177"/>
      <c r="Q21" s="177"/>
      <c r="R21" s="177"/>
      <c r="S21" s="178"/>
      <c r="T21" s="484" t="s">
        <v>835</v>
      </c>
      <c r="U21" s="5"/>
      <c r="X21" s="3"/>
    </row>
    <row r="22" spans="1:24" s="4" customFormat="1" ht="14.5" x14ac:dyDescent="0.35">
      <c r="A22" s="5"/>
      <c r="B22" s="645" t="s">
        <v>836</v>
      </c>
      <c r="C22" s="652" t="s">
        <v>817</v>
      </c>
      <c r="D22" s="653">
        <v>1</v>
      </c>
      <c r="E22" s="654" t="s">
        <v>837</v>
      </c>
      <c r="F22" s="655"/>
      <c r="G22" s="656"/>
      <c r="H22" s="657"/>
      <c r="I22" s="657"/>
      <c r="J22" s="657"/>
      <c r="K22" s="657"/>
      <c r="L22" s="656"/>
      <c r="M22" s="658"/>
      <c r="N22" s="659">
        <v>50</v>
      </c>
      <c r="O22" s="177"/>
      <c r="P22" s="177"/>
      <c r="Q22" s="177"/>
      <c r="R22" s="177"/>
      <c r="S22" s="178"/>
      <c r="T22" s="484" t="s">
        <v>838</v>
      </c>
      <c r="U22" s="5"/>
      <c r="X22" s="3"/>
    </row>
    <row r="23" spans="1:24" s="4" customFormat="1" ht="14.5" x14ac:dyDescent="0.35">
      <c r="A23" s="5"/>
      <c r="B23" s="645" t="s">
        <v>839</v>
      </c>
      <c r="C23" s="652" t="s">
        <v>833</v>
      </c>
      <c r="D23" s="653">
        <f>'Inputs and eligible population'!E52</f>
        <v>1</v>
      </c>
      <c r="E23" s="654" t="s">
        <v>834</v>
      </c>
      <c r="F23" s="655"/>
      <c r="G23" s="656"/>
      <c r="H23" s="657"/>
      <c r="I23" s="657"/>
      <c r="J23" s="657"/>
      <c r="K23" s="657"/>
      <c r="L23" s="656"/>
      <c r="M23" s="658"/>
      <c r="N23" s="659">
        <v>142</v>
      </c>
      <c r="O23" s="177"/>
      <c r="P23" s="177"/>
      <c r="Q23" s="177"/>
      <c r="R23" s="177"/>
      <c r="S23" s="178"/>
      <c r="T23" s="484" t="s">
        <v>840</v>
      </c>
      <c r="U23" s="5"/>
      <c r="X23" s="3"/>
    </row>
    <row r="24" spans="1:24" s="4" customFormat="1" ht="14.5" x14ac:dyDescent="0.35">
      <c r="A24" s="5"/>
      <c r="B24" s="645" t="s">
        <v>841</v>
      </c>
      <c r="C24" s="652" t="s">
        <v>817</v>
      </c>
      <c r="D24" s="653">
        <v>1</v>
      </c>
      <c r="E24" s="654" t="s">
        <v>837</v>
      </c>
      <c r="F24" s="655"/>
      <c r="G24" s="656"/>
      <c r="H24" s="657"/>
      <c r="I24" s="657"/>
      <c r="J24" s="657"/>
      <c r="K24" s="657"/>
      <c r="L24" s="656"/>
      <c r="M24" s="658"/>
      <c r="N24" s="659">
        <v>50</v>
      </c>
      <c r="O24" s="177"/>
      <c r="P24" s="177"/>
      <c r="Q24" s="177"/>
      <c r="R24" s="177"/>
      <c r="S24" s="178"/>
      <c r="T24" s="484" t="s">
        <v>842</v>
      </c>
      <c r="U24" s="5"/>
      <c r="X24" s="3"/>
    </row>
    <row r="25" spans="1:24" s="4" customFormat="1" ht="14.5" x14ac:dyDescent="0.3">
      <c r="A25" s="5"/>
      <c r="B25" s="694" t="s">
        <v>843</v>
      </c>
      <c r="C25" s="175"/>
      <c r="D25" s="175"/>
      <c r="E25" s="110"/>
      <c r="F25" s="176"/>
      <c r="G25" s="177"/>
      <c r="H25" s="5"/>
      <c r="I25" s="5"/>
      <c r="J25" s="178"/>
      <c r="K25" s="177"/>
      <c r="L25" s="177"/>
      <c r="M25" s="177"/>
      <c r="N25" s="177"/>
      <c r="O25" s="177"/>
      <c r="P25" s="177"/>
      <c r="Q25" s="177"/>
      <c r="R25" s="177"/>
      <c r="S25" s="178"/>
      <c r="T25" s="483"/>
      <c r="U25" s="5"/>
      <c r="X25" s="3"/>
    </row>
    <row r="26" spans="1:24" s="4" customFormat="1" ht="14.5" x14ac:dyDescent="0.35">
      <c r="A26" s="5"/>
      <c r="B26" s="175"/>
      <c r="C26" s="175"/>
      <c r="D26" s="175"/>
      <c r="E26" s="110"/>
      <c r="F26" s="176"/>
      <c r="G26" s="177"/>
      <c r="H26" s="5"/>
      <c r="I26" s="5"/>
      <c r="J26" s="178"/>
      <c r="K26" s="177"/>
      <c r="L26" s="177"/>
      <c r="M26" s="177"/>
      <c r="N26" s="177"/>
      <c r="O26" s="177"/>
      <c r="P26" s="177"/>
      <c r="Q26" s="177"/>
      <c r="R26" s="177"/>
      <c r="S26" s="178"/>
      <c r="T26" s="484" t="s">
        <v>844</v>
      </c>
      <c r="U26" s="5"/>
      <c r="X26" s="3"/>
    </row>
    <row r="27" spans="1:24" s="4" customFormat="1" ht="14.5" x14ac:dyDescent="0.35">
      <c r="A27" s="5"/>
      <c r="B27" s="459" t="s">
        <v>845</v>
      </c>
      <c r="C27" s="175"/>
      <c r="D27" s="175"/>
      <c r="E27" s="110"/>
      <c r="F27" s="176"/>
      <c r="G27" s="177"/>
      <c r="H27" s="5"/>
      <c r="I27" s="5"/>
      <c r="J27" s="178"/>
      <c r="K27" s="177"/>
      <c r="L27" s="177"/>
      <c r="M27" s="177"/>
      <c r="N27" s="177"/>
      <c r="O27" s="177"/>
      <c r="P27" s="177"/>
      <c r="Q27" s="177"/>
      <c r="R27" s="177"/>
      <c r="S27" s="178"/>
      <c r="T27" s="484" t="s">
        <v>846</v>
      </c>
      <c r="U27" s="5"/>
      <c r="X27" s="3"/>
    </row>
    <row r="28" spans="1:24" s="4" customFormat="1" ht="14.5" x14ac:dyDescent="0.35">
      <c r="A28" s="5"/>
      <c r="B28" s="243" t="s">
        <v>826</v>
      </c>
      <c r="C28" s="245" t="s">
        <v>827</v>
      </c>
      <c r="D28" s="248" t="s">
        <v>829</v>
      </c>
      <c r="E28" s="454"/>
      <c r="F28" s="455"/>
      <c r="G28" s="456"/>
      <c r="H28" s="457"/>
      <c r="I28" s="456"/>
      <c r="J28" s="457"/>
      <c r="K28" s="456"/>
      <c r="L28" s="457"/>
      <c r="M28" s="456"/>
      <c r="N28" s="460" t="s">
        <v>830</v>
      </c>
      <c r="O28" s="177"/>
      <c r="P28" s="177"/>
      <c r="Q28" s="177"/>
      <c r="R28" s="177"/>
      <c r="S28" s="178"/>
      <c r="T28" s="484" t="s">
        <v>847</v>
      </c>
      <c r="U28" s="5"/>
      <c r="X28" s="3"/>
    </row>
    <row r="29" spans="1:24" s="4" customFormat="1" ht="14.5" x14ac:dyDescent="0.35">
      <c r="A29" s="5"/>
      <c r="B29" s="645" t="s">
        <v>848</v>
      </c>
      <c r="C29" s="660" t="s">
        <v>849</v>
      </c>
      <c r="D29" s="654" t="s">
        <v>850</v>
      </c>
      <c r="E29" s="661"/>
      <c r="F29" s="655"/>
      <c r="G29" s="656"/>
      <c r="H29" s="657"/>
      <c r="I29" s="657"/>
      <c r="J29" s="657"/>
      <c r="K29" s="657"/>
      <c r="L29" s="656"/>
      <c r="M29" s="658"/>
      <c r="N29" s="659">
        <v>149</v>
      </c>
      <c r="O29" s="177"/>
      <c r="P29" s="177"/>
      <c r="Q29" s="177"/>
      <c r="R29" s="177"/>
      <c r="S29" s="178"/>
      <c r="T29" s="484" t="s">
        <v>851</v>
      </c>
      <c r="U29" s="5"/>
      <c r="X29" s="3"/>
    </row>
    <row r="30" spans="1:24" s="4" customFormat="1" ht="14.5" x14ac:dyDescent="0.35">
      <c r="A30" s="5"/>
      <c r="B30" s="689" t="s">
        <v>852</v>
      </c>
      <c r="C30" s="5"/>
      <c r="D30" s="175"/>
      <c r="E30" s="110"/>
      <c r="F30" s="176"/>
      <c r="G30" s="177"/>
      <c r="H30" s="5"/>
      <c r="I30" s="5"/>
      <c r="J30" s="178"/>
      <c r="K30" s="177"/>
      <c r="L30" s="177"/>
      <c r="M30" s="177"/>
      <c r="N30" s="177"/>
      <c r="O30" s="177"/>
      <c r="P30" s="177"/>
      <c r="Q30" s="177"/>
      <c r="R30" s="177"/>
      <c r="S30" s="178"/>
      <c r="T30" s="484" t="s">
        <v>853</v>
      </c>
      <c r="U30" s="5"/>
      <c r="X30" s="3"/>
    </row>
    <row r="31" spans="1:24" s="4" customFormat="1" ht="14.5" x14ac:dyDescent="0.35">
      <c r="A31" s="5"/>
      <c r="B31" s="191"/>
      <c r="C31" s="5"/>
      <c r="D31" s="175"/>
      <c r="E31" s="110"/>
      <c r="F31" s="176"/>
      <c r="G31" s="177"/>
      <c r="H31" s="5"/>
      <c r="I31" s="5"/>
      <c r="J31" s="178"/>
      <c r="K31" s="177"/>
      <c r="L31" s="177"/>
      <c r="M31" s="177"/>
      <c r="N31" s="177"/>
      <c r="O31" s="177"/>
      <c r="P31" s="177"/>
      <c r="Q31" s="177"/>
      <c r="R31" s="177"/>
      <c r="S31" s="178"/>
      <c r="T31" s="484" t="s">
        <v>854</v>
      </c>
      <c r="U31" s="5"/>
      <c r="X31" s="3"/>
    </row>
    <row r="32" spans="1:24" s="4" customFormat="1" ht="14.5" x14ac:dyDescent="0.35">
      <c r="A32" s="5"/>
      <c r="B32" s="191"/>
      <c r="C32" s="5"/>
      <c r="D32" s="175"/>
      <c r="E32" s="110"/>
      <c r="F32" s="176"/>
      <c r="G32" s="177"/>
      <c r="H32" s="5"/>
      <c r="I32" s="5"/>
      <c r="J32" s="178"/>
      <c r="K32" s="177"/>
      <c r="L32" s="177"/>
      <c r="M32" s="177"/>
      <c r="N32" s="177"/>
      <c r="O32" s="177"/>
      <c r="P32" s="177"/>
      <c r="Q32" s="177"/>
      <c r="R32" s="177"/>
      <c r="S32" s="178"/>
      <c r="T32" s="483"/>
      <c r="U32" s="5"/>
      <c r="X32" s="3"/>
    </row>
    <row r="33" spans="1:24" s="4" customFormat="1" ht="14.5" hidden="1" x14ac:dyDescent="0.35">
      <c r="A33" s="5"/>
      <c r="B33" s="459" t="s">
        <v>855</v>
      </c>
      <c r="C33" s="175"/>
      <c r="D33" s="175"/>
      <c r="E33" s="110"/>
      <c r="F33" s="176"/>
      <c r="G33" s="177"/>
      <c r="H33" s="5"/>
      <c r="I33" s="5"/>
      <c r="J33" s="178"/>
      <c r="K33" s="177"/>
      <c r="L33" s="177"/>
      <c r="M33" s="177"/>
      <c r="N33" s="177"/>
      <c r="O33" s="177"/>
      <c r="P33" s="177"/>
      <c r="Q33" s="177"/>
      <c r="R33" s="177"/>
      <c r="S33" s="178"/>
      <c r="U33" s="5"/>
      <c r="X33" s="3"/>
    </row>
    <row r="34" spans="1:24" s="4" customFormat="1" ht="14.5" hidden="1" x14ac:dyDescent="0.35">
      <c r="A34" s="5"/>
      <c r="B34" s="243" t="s">
        <v>826</v>
      </c>
      <c r="C34" s="245" t="s">
        <v>827</v>
      </c>
      <c r="D34" s="248" t="s">
        <v>829</v>
      </c>
      <c r="E34" s="454"/>
      <c r="F34" s="455"/>
      <c r="G34" s="456"/>
      <c r="H34" s="457"/>
      <c r="I34" s="456"/>
      <c r="J34" s="457"/>
      <c r="K34" s="456"/>
      <c r="L34" s="457"/>
      <c r="M34" s="456"/>
      <c r="N34" s="460" t="s">
        <v>830</v>
      </c>
      <c r="O34" s="177"/>
      <c r="P34" s="177"/>
      <c r="Q34" s="177"/>
      <c r="R34" s="177"/>
      <c r="S34" s="178"/>
      <c r="U34" s="5"/>
      <c r="X34" s="3"/>
    </row>
    <row r="35" spans="1:24" s="4" customFormat="1" ht="14.5" hidden="1" x14ac:dyDescent="0.35">
      <c r="A35" s="5"/>
      <c r="B35" s="645" t="s">
        <v>848</v>
      </c>
      <c r="C35" s="660"/>
      <c r="D35" s="654"/>
      <c r="E35" s="661"/>
      <c r="F35" s="655"/>
      <c r="G35" s="656"/>
      <c r="H35" s="657"/>
      <c r="I35" s="657"/>
      <c r="J35" s="657"/>
      <c r="K35" s="657"/>
      <c r="L35" s="656"/>
      <c r="M35" s="658"/>
      <c r="N35" s="659"/>
      <c r="O35" s="177"/>
      <c r="P35" s="177"/>
      <c r="Q35" s="177"/>
      <c r="R35" s="177"/>
      <c r="S35" s="178"/>
      <c r="U35" s="5"/>
      <c r="X35" s="3"/>
    </row>
    <row r="36" spans="1:24" s="4" customFormat="1" ht="14.5" hidden="1" x14ac:dyDescent="0.35">
      <c r="A36" s="5"/>
      <c r="B36" s="689" t="s">
        <v>852</v>
      </c>
      <c r="C36" s="5"/>
      <c r="D36" s="175"/>
      <c r="E36" s="110"/>
      <c r="F36" s="176"/>
      <c r="G36" s="177"/>
      <c r="H36" s="5"/>
      <c r="I36" s="5"/>
      <c r="J36" s="178"/>
      <c r="K36" s="177"/>
      <c r="L36" s="177"/>
      <c r="M36" s="177"/>
      <c r="N36" s="177"/>
      <c r="O36" s="177"/>
      <c r="P36" s="177"/>
      <c r="Q36" s="177"/>
      <c r="R36" s="177"/>
      <c r="S36" s="178"/>
      <c r="T36" s="484"/>
      <c r="U36" s="5"/>
      <c r="X36" s="3"/>
    </row>
    <row r="37" spans="1:24" s="4" customFormat="1" ht="14.5" hidden="1" x14ac:dyDescent="0.35">
      <c r="A37" s="5"/>
      <c r="B37" s="191"/>
      <c r="C37" s="5"/>
      <c r="D37" s="175"/>
      <c r="E37" s="110"/>
      <c r="F37" s="176"/>
      <c r="G37" s="177"/>
      <c r="H37" s="5"/>
      <c r="I37" s="5"/>
      <c r="J37" s="178"/>
      <c r="K37" s="177"/>
      <c r="L37" s="177"/>
      <c r="M37" s="177"/>
      <c r="N37" s="177"/>
      <c r="O37" s="177"/>
      <c r="P37" s="177"/>
      <c r="Q37" s="177"/>
      <c r="R37" s="177"/>
      <c r="S37" s="178"/>
      <c r="U37" s="5"/>
      <c r="X37" s="3"/>
    </row>
    <row r="38" spans="1:24" s="4" customFormat="1" ht="14.5" hidden="1" x14ac:dyDescent="0.35">
      <c r="A38" s="5"/>
      <c r="B38" s="191"/>
      <c r="C38" s="5"/>
      <c r="D38" s="175"/>
      <c r="E38" s="110"/>
      <c r="F38" s="176"/>
      <c r="G38" s="177"/>
      <c r="H38" s="5"/>
      <c r="I38" s="5"/>
      <c r="J38" s="178"/>
      <c r="K38" s="177"/>
      <c r="L38" s="177"/>
      <c r="M38" s="177"/>
      <c r="N38" s="177"/>
      <c r="O38" s="177"/>
      <c r="P38" s="177"/>
      <c r="Q38" s="177"/>
      <c r="R38" s="177"/>
      <c r="S38" s="178"/>
      <c r="U38" s="5"/>
      <c r="X38" s="3"/>
    </row>
    <row r="39" spans="1:24" s="4" customFormat="1" ht="14.5" hidden="1" x14ac:dyDescent="0.35">
      <c r="A39" s="5"/>
      <c r="B39" s="191"/>
      <c r="C39" s="5"/>
      <c r="D39" s="175"/>
      <c r="E39" s="110"/>
      <c r="F39" s="176"/>
      <c r="G39" s="177"/>
      <c r="H39" s="5"/>
      <c r="I39" s="5"/>
      <c r="J39" s="178"/>
      <c r="K39" s="177"/>
      <c r="L39" s="177"/>
      <c r="M39" s="177"/>
      <c r="N39" s="177"/>
      <c r="O39" s="177"/>
      <c r="P39" s="177"/>
      <c r="Q39" s="177"/>
      <c r="R39" s="177"/>
      <c r="S39" s="178"/>
      <c r="U39" s="5"/>
      <c r="X39" s="3"/>
    </row>
    <row r="40" spans="1:24" s="4" customFormat="1" ht="14.5" hidden="1" x14ac:dyDescent="0.35">
      <c r="A40" s="5"/>
      <c r="B40" s="459" t="s">
        <v>856</v>
      </c>
      <c r="C40" s="175"/>
      <c r="D40" s="175"/>
      <c r="E40" s="110"/>
      <c r="F40" s="176"/>
      <c r="G40" s="177"/>
      <c r="H40" s="5"/>
      <c r="I40" s="5"/>
      <c r="J40" s="178"/>
      <c r="K40" s="177"/>
      <c r="L40" s="177"/>
      <c r="M40" s="177"/>
      <c r="N40" s="177"/>
      <c r="O40" s="177"/>
      <c r="P40" s="177"/>
      <c r="Q40" s="177"/>
      <c r="R40" s="177"/>
      <c r="S40" s="178"/>
      <c r="U40" s="5"/>
      <c r="X40" s="3"/>
    </row>
    <row r="41" spans="1:24" s="4" customFormat="1" ht="14.5" hidden="1" x14ac:dyDescent="0.35">
      <c r="A41" s="5"/>
      <c r="B41" s="243" t="s">
        <v>826</v>
      </c>
      <c r="C41" s="245" t="s">
        <v>827</v>
      </c>
      <c r="D41" s="248" t="s">
        <v>829</v>
      </c>
      <c r="E41" s="454"/>
      <c r="F41" s="455"/>
      <c r="G41" s="456"/>
      <c r="H41" s="457"/>
      <c r="I41" s="456"/>
      <c r="J41" s="457"/>
      <c r="K41" s="456"/>
      <c r="L41" s="457"/>
      <c r="M41" s="456"/>
      <c r="N41" s="460" t="s">
        <v>830</v>
      </c>
      <c r="O41" s="177"/>
      <c r="P41" s="177"/>
      <c r="Q41" s="177"/>
      <c r="R41" s="177"/>
      <c r="S41" s="178"/>
      <c r="U41" s="5"/>
      <c r="X41" s="3"/>
    </row>
    <row r="42" spans="1:24" s="4" customFormat="1" ht="14.5" hidden="1" x14ac:dyDescent="0.35">
      <c r="A42" s="5"/>
      <c r="B42" s="645" t="s">
        <v>848</v>
      </c>
      <c r="C42" s="660"/>
      <c r="D42" s="654"/>
      <c r="E42" s="661"/>
      <c r="F42" s="655"/>
      <c r="G42" s="656"/>
      <c r="H42" s="657"/>
      <c r="I42" s="657"/>
      <c r="J42" s="657"/>
      <c r="K42" s="657"/>
      <c r="L42" s="656"/>
      <c r="M42" s="658"/>
      <c r="N42" s="659"/>
      <c r="O42" s="177"/>
      <c r="P42" s="177"/>
      <c r="Q42" s="177"/>
      <c r="R42" s="177"/>
      <c r="S42" s="178"/>
      <c r="U42" s="5"/>
      <c r="X42" s="3"/>
    </row>
    <row r="43" spans="1:24" s="4" customFormat="1" ht="14.5" hidden="1" x14ac:dyDescent="0.3">
      <c r="A43" s="5"/>
      <c r="B43" s="689" t="s">
        <v>852</v>
      </c>
      <c r="C43" s="5"/>
      <c r="D43" s="175"/>
      <c r="E43" s="110"/>
      <c r="F43" s="176"/>
      <c r="G43" s="177"/>
      <c r="H43" s="5"/>
      <c r="I43" s="5"/>
      <c r="J43" s="178"/>
      <c r="K43" s="177"/>
      <c r="L43" s="177"/>
      <c r="M43" s="177"/>
      <c r="N43" s="177"/>
      <c r="O43" s="177"/>
      <c r="P43" s="177"/>
      <c r="Q43" s="177"/>
      <c r="R43" s="177"/>
      <c r="S43" s="178"/>
      <c r="U43" s="5"/>
      <c r="X43" s="3"/>
    </row>
    <row r="44" spans="1:24" s="4" customFormat="1" ht="14.5" hidden="1" x14ac:dyDescent="0.35">
      <c r="A44" s="5"/>
      <c r="B44" s="191"/>
      <c r="C44" s="5"/>
      <c r="D44" s="175"/>
      <c r="E44" s="110"/>
      <c r="F44" s="176"/>
      <c r="G44" s="177"/>
      <c r="H44" s="5"/>
      <c r="I44" s="5"/>
      <c r="J44" s="178"/>
      <c r="K44" s="177"/>
      <c r="L44" s="177"/>
      <c r="M44" s="177"/>
      <c r="N44" s="177"/>
      <c r="O44" s="177"/>
      <c r="P44" s="177"/>
      <c r="Q44" s="177"/>
      <c r="R44" s="177"/>
      <c r="S44" s="178"/>
      <c r="U44" s="5"/>
      <c r="X44" s="3"/>
    </row>
    <row r="45" spans="1:24" s="4" customFormat="1" ht="14.5" hidden="1" x14ac:dyDescent="0.35">
      <c r="A45" s="5"/>
      <c r="B45" s="192"/>
      <c r="C45" s="5"/>
      <c r="D45" s="175"/>
      <c r="E45" s="110"/>
      <c r="F45" s="176"/>
      <c r="G45" s="177"/>
      <c r="H45" s="5"/>
      <c r="I45" s="5"/>
      <c r="J45" s="178"/>
      <c r="K45" s="177"/>
      <c r="L45" s="177"/>
      <c r="M45" s="177"/>
      <c r="N45" s="177"/>
      <c r="O45" s="177"/>
      <c r="P45" s="177"/>
      <c r="Q45" s="177"/>
      <c r="R45" s="177"/>
      <c r="S45" s="178"/>
      <c r="U45" s="5"/>
      <c r="X45" s="3"/>
    </row>
    <row r="46" spans="1:24" s="4" customFormat="1" ht="14.5" x14ac:dyDescent="0.35">
      <c r="A46" s="5"/>
      <c r="B46" s="240" t="s">
        <v>857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77"/>
      <c r="S46" s="5"/>
      <c r="T46" s="484" t="s">
        <v>858</v>
      </c>
      <c r="U46" s="5"/>
      <c r="X46" s="3"/>
    </row>
    <row r="47" spans="1:24" s="4" customFormat="1" ht="14.5" x14ac:dyDescent="0.35">
      <c r="A47" s="5"/>
      <c r="B47" t="s">
        <v>859</v>
      </c>
      <c r="C47" s="5"/>
      <c r="D47" s="5"/>
      <c r="E47" s="5"/>
      <c r="F47" s="5"/>
      <c r="G47" s="462"/>
      <c r="H47" s="457"/>
      <c r="I47" s="465" t="s">
        <v>15</v>
      </c>
      <c r="J47" s="463"/>
      <c r="K47" s="177"/>
      <c r="L47" s="462"/>
      <c r="M47" s="457"/>
      <c r="N47" s="466" t="s">
        <v>20</v>
      </c>
      <c r="O47" s="463"/>
      <c r="P47" s="695"/>
      <c r="Q47" s="695"/>
      <c r="R47" s="177"/>
      <c r="S47" s="5"/>
      <c r="T47" s="484" t="s">
        <v>860</v>
      </c>
      <c r="U47" s="5"/>
      <c r="X47" s="3"/>
    </row>
    <row r="48" spans="1:24" s="4" customFormat="1" ht="58" x14ac:dyDescent="0.35">
      <c r="A48" s="5"/>
      <c r="B48" s="246" t="s">
        <v>861</v>
      </c>
      <c r="C48" s="246" t="s">
        <v>736</v>
      </c>
      <c r="D48" s="246" t="s">
        <v>737</v>
      </c>
      <c r="E48" s="246" t="s">
        <v>738</v>
      </c>
      <c r="F48" s="5"/>
      <c r="G48" s="246" t="s">
        <v>862</v>
      </c>
      <c r="H48" s="246" t="s">
        <v>736</v>
      </c>
      <c r="I48" s="246" t="s">
        <v>737</v>
      </c>
      <c r="J48" s="246" t="s">
        <v>738</v>
      </c>
      <c r="K48" s="177"/>
      <c r="L48" s="246" t="s">
        <v>863</v>
      </c>
      <c r="M48" s="246" t="s">
        <v>736</v>
      </c>
      <c r="N48" s="246" t="s">
        <v>737</v>
      </c>
      <c r="O48" s="246" t="s">
        <v>738</v>
      </c>
      <c r="P48" s="696"/>
      <c r="Q48" s="696"/>
      <c r="R48" s="177"/>
      <c r="S48" s="5"/>
      <c r="T48" s="484" t="s">
        <v>864</v>
      </c>
      <c r="U48" s="5"/>
      <c r="X48" s="3"/>
    </row>
    <row r="49" spans="1:24" s="4" customFormat="1" ht="14.5" x14ac:dyDescent="0.35">
      <c r="A49" s="5"/>
      <c r="B49" s="662" t="s">
        <v>865</v>
      </c>
      <c r="C49" s="663">
        <v>0.161</v>
      </c>
      <c r="D49" s="663">
        <v>0.39200000000000002</v>
      </c>
      <c r="E49" s="663">
        <v>0</v>
      </c>
      <c r="F49" s="5"/>
      <c r="G49" s="461">
        <v>258</v>
      </c>
      <c r="H49" s="664">
        <f t="shared" ref="H49:J55" si="1">C49*$G49</f>
        <v>41.538000000000004</v>
      </c>
      <c r="I49" s="664">
        <f t="shared" si="1"/>
        <v>101.13600000000001</v>
      </c>
      <c r="J49" s="659">
        <f t="shared" si="1"/>
        <v>0</v>
      </c>
      <c r="K49" s="177"/>
      <c r="L49" s="665">
        <f>G49*0.8</f>
        <v>206.4</v>
      </c>
      <c r="M49" s="664">
        <f t="shared" ref="M49:O55" si="2">C49*$L49</f>
        <v>33.230400000000003</v>
      </c>
      <c r="N49" s="664">
        <f t="shared" si="2"/>
        <v>80.908799999999999</v>
      </c>
      <c r="O49" s="659">
        <f t="shared" si="2"/>
        <v>0</v>
      </c>
      <c r="P49" s="696"/>
      <c r="Q49" s="696"/>
      <c r="R49" s="177"/>
      <c r="S49" s="5"/>
      <c r="T49" s="484" t="s">
        <v>866</v>
      </c>
      <c r="U49" s="5"/>
      <c r="X49" s="3"/>
    </row>
    <row r="50" spans="1:24" s="4" customFormat="1" ht="14.5" x14ac:dyDescent="0.35">
      <c r="A50" s="5"/>
      <c r="B50" s="662" t="s">
        <v>867</v>
      </c>
      <c r="C50" s="663">
        <v>9.2999999999999999E-2</v>
      </c>
      <c r="D50" s="663">
        <v>0.20899999999999999</v>
      </c>
      <c r="E50" s="663">
        <v>0</v>
      </c>
      <c r="F50" s="5"/>
      <c r="G50" s="461">
        <v>737.86</v>
      </c>
      <c r="H50" s="664">
        <f t="shared" si="1"/>
        <v>68.620980000000003</v>
      </c>
      <c r="I50" s="664">
        <f t="shared" si="1"/>
        <v>154.21274</v>
      </c>
      <c r="J50" s="659">
        <f t="shared" si="1"/>
        <v>0</v>
      </c>
      <c r="K50" s="177"/>
      <c r="L50" s="665">
        <f t="shared" ref="L50:L54" si="3">G50*0.8</f>
        <v>590.28800000000001</v>
      </c>
      <c r="M50" s="664">
        <f t="shared" si="2"/>
        <v>54.896784000000004</v>
      </c>
      <c r="N50" s="664">
        <f t="shared" si="2"/>
        <v>123.370192</v>
      </c>
      <c r="O50" s="659">
        <f t="shared" si="2"/>
        <v>0</v>
      </c>
      <c r="P50" s="696"/>
      <c r="Q50" s="696"/>
      <c r="R50" s="177"/>
      <c r="S50" s="5"/>
      <c r="T50" s="484" t="s">
        <v>868</v>
      </c>
      <c r="U50" s="5"/>
      <c r="X50" s="3"/>
    </row>
    <row r="51" spans="1:24" s="4" customFormat="1" ht="14.5" x14ac:dyDescent="0.35">
      <c r="A51" s="5"/>
      <c r="B51" s="662" t="s">
        <v>869</v>
      </c>
      <c r="C51" s="663">
        <v>5.0000000000000001E-3</v>
      </c>
      <c r="D51" s="663">
        <v>7.0000000000000001E-3</v>
      </c>
      <c r="E51" s="663">
        <v>0</v>
      </c>
      <c r="F51" s="5"/>
      <c r="G51" s="461">
        <v>307</v>
      </c>
      <c r="H51" s="664">
        <f t="shared" si="1"/>
        <v>1.5350000000000001</v>
      </c>
      <c r="I51" s="664">
        <f t="shared" si="1"/>
        <v>2.149</v>
      </c>
      <c r="J51" s="659">
        <f t="shared" si="1"/>
        <v>0</v>
      </c>
      <c r="K51" s="177"/>
      <c r="L51" s="665">
        <f t="shared" si="3"/>
        <v>245.60000000000002</v>
      </c>
      <c r="M51" s="664">
        <f t="shared" si="2"/>
        <v>1.2280000000000002</v>
      </c>
      <c r="N51" s="664">
        <f t="shared" si="2"/>
        <v>1.7192000000000003</v>
      </c>
      <c r="O51" s="659">
        <f t="shared" si="2"/>
        <v>0</v>
      </c>
      <c r="P51" s="696"/>
      <c r="Q51" s="696"/>
      <c r="R51" s="177"/>
      <c r="S51" s="5"/>
      <c r="T51" s="484" t="s">
        <v>870</v>
      </c>
      <c r="U51" s="5"/>
      <c r="X51" s="3"/>
    </row>
    <row r="52" spans="1:24" s="4" customFormat="1" ht="14.5" x14ac:dyDescent="0.35">
      <c r="A52" s="5"/>
      <c r="B52" s="662" t="s">
        <v>871</v>
      </c>
      <c r="C52" s="663">
        <v>1.4999999999999999E-2</v>
      </c>
      <c r="D52" s="663">
        <v>0.14699999999999999</v>
      </c>
      <c r="E52" s="663">
        <v>0</v>
      </c>
      <c r="F52" s="5"/>
      <c r="G52" s="461">
        <v>358</v>
      </c>
      <c r="H52" s="664">
        <f t="shared" si="1"/>
        <v>5.37</v>
      </c>
      <c r="I52" s="664">
        <f t="shared" si="1"/>
        <v>52.625999999999998</v>
      </c>
      <c r="J52" s="659">
        <f t="shared" si="1"/>
        <v>0</v>
      </c>
      <c r="K52" s="177"/>
      <c r="L52" s="665">
        <f t="shared" si="3"/>
        <v>286.40000000000003</v>
      </c>
      <c r="M52" s="664">
        <f t="shared" si="2"/>
        <v>4.2960000000000003</v>
      </c>
      <c r="N52" s="664">
        <f t="shared" si="2"/>
        <v>42.1008</v>
      </c>
      <c r="O52" s="659">
        <f t="shared" si="2"/>
        <v>0</v>
      </c>
      <c r="P52" s="696"/>
      <c r="Q52" s="696"/>
      <c r="R52" s="177"/>
      <c r="S52" s="5"/>
      <c r="T52" s="484" t="s">
        <v>872</v>
      </c>
      <c r="U52" s="5"/>
      <c r="X52" s="3"/>
    </row>
    <row r="53" spans="1:24" s="4" customFormat="1" ht="14.5" x14ac:dyDescent="0.35">
      <c r="A53" s="5"/>
      <c r="B53" s="662" t="s">
        <v>873</v>
      </c>
      <c r="C53" s="663">
        <v>0.01</v>
      </c>
      <c r="D53" s="663">
        <v>1.7000000000000001E-2</v>
      </c>
      <c r="E53" s="663">
        <v>0</v>
      </c>
      <c r="F53" s="5"/>
      <c r="G53" s="461">
        <v>0.7</v>
      </c>
      <c r="H53" s="664">
        <f t="shared" si="1"/>
        <v>6.9999999999999993E-3</v>
      </c>
      <c r="I53" s="664">
        <f t="shared" si="1"/>
        <v>1.1900000000000001E-2</v>
      </c>
      <c r="J53" s="659">
        <f t="shared" si="1"/>
        <v>0</v>
      </c>
      <c r="K53" s="177"/>
      <c r="L53" s="665">
        <f t="shared" si="3"/>
        <v>0.55999999999999994</v>
      </c>
      <c r="M53" s="664">
        <f t="shared" si="2"/>
        <v>5.5999999999999999E-3</v>
      </c>
      <c r="N53" s="664">
        <f t="shared" si="2"/>
        <v>9.5199999999999989E-3</v>
      </c>
      <c r="O53" s="659">
        <f t="shared" si="2"/>
        <v>0</v>
      </c>
      <c r="P53" s="696"/>
      <c r="Q53" s="696"/>
      <c r="R53" s="177"/>
      <c r="S53" s="5"/>
      <c r="T53" s="484" t="s">
        <v>840</v>
      </c>
      <c r="U53" s="5"/>
      <c r="X53" s="3"/>
    </row>
    <row r="54" spans="1:24" s="4" customFormat="1" ht="14.5" x14ac:dyDescent="0.35">
      <c r="A54" s="5"/>
      <c r="B54" s="662" t="s">
        <v>874</v>
      </c>
      <c r="C54" s="663">
        <v>2.4E-2</v>
      </c>
      <c r="D54" s="663">
        <v>6.6000000000000003E-2</v>
      </c>
      <c r="E54" s="663">
        <v>0</v>
      </c>
      <c r="F54" s="5"/>
      <c r="G54" s="461">
        <v>319</v>
      </c>
      <c r="H54" s="664">
        <f t="shared" si="1"/>
        <v>7.6560000000000006</v>
      </c>
      <c r="I54" s="664">
        <f t="shared" si="1"/>
        <v>21.054000000000002</v>
      </c>
      <c r="J54" s="659">
        <f t="shared" si="1"/>
        <v>0</v>
      </c>
      <c r="K54" s="177"/>
      <c r="L54" s="665">
        <f t="shared" si="3"/>
        <v>255.20000000000002</v>
      </c>
      <c r="M54" s="664">
        <f t="shared" si="2"/>
        <v>6.1248000000000005</v>
      </c>
      <c r="N54" s="664">
        <f t="shared" si="2"/>
        <v>16.843200000000003</v>
      </c>
      <c r="O54" s="659">
        <f t="shared" si="2"/>
        <v>0</v>
      </c>
      <c r="P54" s="696"/>
      <c r="Q54" s="696"/>
      <c r="R54" s="177"/>
      <c r="S54" s="5"/>
      <c r="T54" s="484" t="s">
        <v>875</v>
      </c>
      <c r="U54" s="5"/>
      <c r="X54" s="3"/>
    </row>
    <row r="55" spans="1:24" s="4" customFormat="1" ht="14.5" x14ac:dyDescent="0.35">
      <c r="A55" s="5"/>
      <c r="B55" s="662"/>
      <c r="C55" s="663"/>
      <c r="D55" s="663"/>
      <c r="E55" s="663"/>
      <c r="F55" s="5"/>
      <c r="G55" s="461"/>
      <c r="H55" s="664">
        <f t="shared" si="1"/>
        <v>0</v>
      </c>
      <c r="I55" s="664">
        <f t="shared" si="1"/>
        <v>0</v>
      </c>
      <c r="J55" s="659">
        <f t="shared" si="1"/>
        <v>0</v>
      </c>
      <c r="K55" s="177"/>
      <c r="L55" s="665"/>
      <c r="M55" s="664">
        <f t="shared" si="2"/>
        <v>0</v>
      </c>
      <c r="N55" s="664">
        <f t="shared" si="2"/>
        <v>0</v>
      </c>
      <c r="O55" s="659">
        <f t="shared" si="2"/>
        <v>0</v>
      </c>
      <c r="P55" s="680"/>
      <c r="Q55" s="680"/>
      <c r="R55" s="177"/>
      <c r="S55" s="5"/>
      <c r="T55" s="484" t="s">
        <v>876</v>
      </c>
      <c r="U55" s="5"/>
      <c r="X55" s="3"/>
    </row>
    <row r="56" spans="1:24" s="4" customFormat="1" ht="14.5" x14ac:dyDescent="0.35">
      <c r="A56" s="5"/>
      <c r="B56" s="5"/>
      <c r="C56" s="355">
        <f t="shared" ref="C56:E56" si="4">SUM(C49:C55)</f>
        <v>0.30800000000000005</v>
      </c>
      <c r="D56" s="355">
        <f t="shared" si="4"/>
        <v>0.83800000000000008</v>
      </c>
      <c r="E56" s="355">
        <f t="shared" si="4"/>
        <v>0</v>
      </c>
      <c r="F56" s="5"/>
      <c r="G56" s="464"/>
      <c r="H56" s="440">
        <f>SUM(H49:H55)</f>
        <v>124.72698000000003</v>
      </c>
      <c r="I56" s="440">
        <f>SUM(I49:I55)</f>
        <v>331.18964000000005</v>
      </c>
      <c r="J56" s="441">
        <f>SUM(J49:J55)</f>
        <v>0</v>
      </c>
      <c r="K56" s="177"/>
      <c r="L56" s="5"/>
      <c r="M56" s="440">
        <f>SUM(M49:M55)</f>
        <v>99.781584000000009</v>
      </c>
      <c r="N56" s="440">
        <f>SUM(N49:N55)</f>
        <v>264.95171200000004</v>
      </c>
      <c r="O56" s="441">
        <f>SUM(O49:O55)</f>
        <v>0</v>
      </c>
      <c r="P56" s="5"/>
      <c r="Q56" s="5"/>
      <c r="R56" s="5"/>
      <c r="S56" s="5"/>
      <c r="T56" s="483"/>
      <c r="U56" s="5"/>
      <c r="X56" s="3"/>
    </row>
    <row r="57" spans="1:24" s="4" customFormat="1" ht="14.5" x14ac:dyDescent="0.3">
      <c r="A57" s="5"/>
      <c r="B57" s="697" t="s">
        <v>877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485"/>
      <c r="U57" s="5"/>
      <c r="X57" s="3"/>
    </row>
    <row r="58" spans="1:24" s="4" customFormat="1" ht="14.5" x14ac:dyDescent="0.35">
      <c r="A58" s="5"/>
      <c r="B58" t="s">
        <v>859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X58" s="3"/>
    </row>
    <row r="59" spans="1:24" ht="14.5" x14ac:dyDescent="0.35">
      <c r="A59" s="190"/>
      <c r="B59" t="s">
        <v>878</v>
      </c>
      <c r="C59" s="333"/>
      <c r="D59" s="333"/>
      <c r="E59" s="333"/>
      <c r="F59" s="333"/>
      <c r="G59" s="333"/>
      <c r="H59" s="333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</row>
  </sheetData>
  <sheetProtection algorithmName="SHA-512" hashValue="cROa+jLnQ+4Di1VGFvSpsiWa6HqHRR2P5pnKnFCHeUs6ssttGzXq5gf5WHJKK+oGk+LxZt5cepFSHafNoyqmQQ==" saltValue="V+pAx8M/mxkcouK96ONR4A==" spinCount="100000" sheet="1" objects="1" scenarios="1"/>
  <protectedRanges>
    <protectedRange sqref="G49:G55 L49:L55 B49:E55" name="Range1"/>
  </protectedRanges>
  <phoneticPr fontId="43" type="noConversion"/>
  <hyperlinks>
    <hyperlink ref="B25" r:id="rId1" location="National-Tariff-Payment-System" xr:uid="{20EB959E-79F7-4539-9E86-3ADDF93D0860}"/>
    <hyperlink ref="B30" r:id="rId2" location="National-Tariff-Payment-System" xr:uid="{F3BC5873-6E66-475B-821A-EF39B8D5033A}"/>
    <hyperlink ref="B36" r:id="rId3" location="National-Tariff-Payment-System" xr:uid="{9885F19C-CDD8-4680-A296-B6B7F5893CA7}"/>
    <hyperlink ref="B43" r:id="rId4" location="National-Tariff-Payment-System" xr:uid="{AB2CBFFE-3AD6-4F6E-9946-DBE217E0603D}"/>
  </hyperlinks>
  <pageMargins left="0.70866141732283472" right="0.70866141732283472" top="0.74803149606299213" bottom="0.74803149606299213" header="0.31496062992125984" footer="0.31496062992125984"/>
  <pageSetup paperSize="9" scale="35" orientation="portrait" r:id="rId5"/>
  <ignoredErrors>
    <ignoredError sqref="H9 L14 N14:P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1"/>
  <sheetViews>
    <sheetView showGridLines="0" zoomScale="80" zoomScaleNormal="80" zoomScaleSheetLayoutView="80" workbookViewId="0">
      <selection activeCell="H27" sqref="H27 C27"/>
    </sheetView>
  </sheetViews>
  <sheetFormatPr defaultColWidth="8.81640625" defaultRowHeight="14.5" x14ac:dyDescent="0.3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 x14ac:dyDescent="0.35">
      <c r="B1" s="545" t="str">
        <f>'Inputs and eligible population'!B1</f>
        <v>Olaparib for treating BRCA mutation-positive HER2-negative advanced breast cancer after chemotherapy</v>
      </c>
      <c r="C1" s="142"/>
      <c r="D1" s="139"/>
      <c r="E1" s="139"/>
      <c r="F1" s="139"/>
      <c r="G1" s="139"/>
      <c r="H1" s="139"/>
      <c r="I1" s="139"/>
      <c r="J1" s="139"/>
    </row>
    <row r="2" spans="2:10" ht="30" customHeight="1" x14ac:dyDescent="0.35">
      <c r="B2" s="377" t="s">
        <v>647</v>
      </c>
      <c r="C2" s="139"/>
      <c r="E2" s="125" t="s">
        <v>790</v>
      </c>
      <c r="F2" s="125" t="s">
        <v>790</v>
      </c>
      <c r="G2" s="125" t="s">
        <v>790</v>
      </c>
      <c r="H2" s="125" t="s">
        <v>790</v>
      </c>
      <c r="I2" s="125" t="s">
        <v>790</v>
      </c>
      <c r="J2" s="139"/>
    </row>
    <row r="3" spans="2:10" x14ac:dyDescent="0.35">
      <c r="B3" s="128" t="s">
        <v>790</v>
      </c>
      <c r="C3" s="128"/>
      <c r="D3" s="131" t="s">
        <v>790</v>
      </c>
      <c r="E3" s="131" t="s">
        <v>790</v>
      </c>
      <c r="F3" s="131" t="s">
        <v>790</v>
      </c>
      <c r="G3" s="131" t="s">
        <v>790</v>
      </c>
      <c r="H3" s="131" t="s">
        <v>790</v>
      </c>
      <c r="I3" s="131" t="s">
        <v>790</v>
      </c>
      <c r="J3" s="139"/>
    </row>
    <row r="4" spans="2:10" ht="43.5" x14ac:dyDescent="0.35">
      <c r="B4" s="255" t="s">
        <v>879</v>
      </c>
      <c r="C4" s="235" t="s">
        <v>880</v>
      </c>
      <c r="D4" s="268" t="s">
        <v>698</v>
      </c>
      <c r="E4" s="268" t="s">
        <v>699</v>
      </c>
      <c r="F4" s="269" t="s">
        <v>881</v>
      </c>
      <c r="G4" s="269" t="s">
        <v>882</v>
      </c>
      <c r="H4" s="268" t="s">
        <v>883</v>
      </c>
      <c r="J4" s="139"/>
    </row>
    <row r="5" spans="2:10" s="146" customFormat="1" x14ac:dyDescent="0.35">
      <c r="B5" s="165" t="s">
        <v>884</v>
      </c>
      <c r="C5" s="126">
        <f>'Inputs and eligible population'!F45</f>
        <v>295.50418728148668</v>
      </c>
      <c r="D5" s="126">
        <f>'Inputs and eligible population'!G45</f>
        <v>298.35338176003955</v>
      </c>
      <c r="E5" s="126">
        <f>'Inputs and eligible population'!H45</f>
        <v>301.23004762318192</v>
      </c>
      <c r="F5" s="126">
        <f>'Inputs and eligible population'!I45</f>
        <v>304.1344497447148</v>
      </c>
      <c r="G5" s="126">
        <f>'Inputs and eligible population'!J45</f>
        <v>307.06685555230126</v>
      </c>
      <c r="H5" s="126">
        <f>'Inputs and eligible population'!K45</f>
        <v>310.02753505209057</v>
      </c>
      <c r="I5"/>
      <c r="J5" s="139"/>
    </row>
    <row r="6" spans="2:10" x14ac:dyDescent="0.35">
      <c r="B6" s="257" t="s">
        <v>885</v>
      </c>
      <c r="C6" s="533">
        <f>'Inputs and eligible population'!E66</f>
        <v>0</v>
      </c>
      <c r="D6" s="533">
        <f>'Inputs and eligible population'!F66</f>
        <v>0.2</v>
      </c>
      <c r="E6" s="533">
        <f>'Inputs and eligible population'!G66</f>
        <v>0.45</v>
      </c>
      <c r="F6" s="533">
        <f>'Inputs and eligible population'!H66</f>
        <v>0.47499999999999998</v>
      </c>
      <c r="G6" s="533">
        <f>'Inputs and eligible population'!I66</f>
        <v>0.47499999999999998</v>
      </c>
      <c r="H6" s="533">
        <f>'Inputs and eligible population'!J66</f>
        <v>0.47499999999999998</v>
      </c>
      <c r="J6" s="139"/>
    </row>
    <row r="7" spans="2:10" ht="33" customHeight="1" x14ac:dyDescent="0.35">
      <c r="B7" s="165" t="s">
        <v>886</v>
      </c>
      <c r="C7" s="126">
        <f>'Financial impact (cash)'!D13</f>
        <v>0</v>
      </c>
      <c r="D7" s="126">
        <f>'Financial impact (cash)'!E13</f>
        <v>59.670676352007916</v>
      </c>
      <c r="E7" s="126">
        <f>'Financial impact (cash)'!F13</f>
        <v>135.55352143043186</v>
      </c>
      <c r="F7" s="126">
        <f>'Financial impact (cash)'!G13</f>
        <v>144.46386362873952</v>
      </c>
      <c r="G7" s="126">
        <f>'Financial impact (cash)'!H13</f>
        <v>145.8567563873431</v>
      </c>
      <c r="H7" s="126">
        <f>'Financial impact (cash)'!I13</f>
        <v>147.26307914974302</v>
      </c>
      <c r="J7" s="131"/>
    </row>
    <row r="8" spans="2:10" ht="14.5" customHeight="1" x14ac:dyDescent="0.35">
      <c r="B8" s="241"/>
      <c r="C8" s="241"/>
      <c r="D8" s="131"/>
      <c r="E8" s="131"/>
      <c r="F8" s="131"/>
      <c r="G8" s="131"/>
      <c r="H8" s="131"/>
      <c r="J8" s="131"/>
    </row>
    <row r="9" spans="2:10" ht="43.5" x14ac:dyDescent="0.35">
      <c r="B9" s="262" t="s">
        <v>887</v>
      </c>
      <c r="C9" s="235" t="s">
        <v>880</v>
      </c>
      <c r="D9" s="268" t="s">
        <v>698</v>
      </c>
      <c r="E9" s="268" t="s">
        <v>699</v>
      </c>
      <c r="F9" s="269" t="s">
        <v>881</v>
      </c>
      <c r="G9" s="269" t="s">
        <v>882</v>
      </c>
      <c r="H9" s="268" t="s">
        <v>883</v>
      </c>
      <c r="J9" s="131"/>
    </row>
    <row r="10" spans="2:10" x14ac:dyDescent="0.35">
      <c r="B10" s="343" t="s">
        <v>736</v>
      </c>
      <c r="C10" s="126">
        <f>'Inputs and eligible population'!E66*C5</f>
        <v>0</v>
      </c>
      <c r="D10" s="126">
        <f>D5*'Inputs and eligible population'!F66</f>
        <v>59.670676352007916</v>
      </c>
      <c r="E10" s="126">
        <f>E5*'Inputs and eligible population'!G66</f>
        <v>135.55352143043186</v>
      </c>
      <c r="F10" s="126">
        <f>F5*'Inputs and eligible population'!H66</f>
        <v>144.46386362873952</v>
      </c>
      <c r="G10" s="126">
        <f>G5*'Inputs and eligible population'!I66</f>
        <v>145.8567563873431</v>
      </c>
      <c r="H10" s="126">
        <f>H5*'Inputs and eligible population'!J66</f>
        <v>147.26307914974302</v>
      </c>
      <c r="J10" s="131"/>
    </row>
    <row r="11" spans="2:10" x14ac:dyDescent="0.35">
      <c r="B11" s="343" t="s">
        <v>737</v>
      </c>
      <c r="C11" s="126">
        <f>'Inputs and eligible population'!E67*C5</f>
        <v>221.62814046111501</v>
      </c>
      <c r="D11" s="126">
        <f>D5*'Inputs and eligible population'!F67</f>
        <v>164.09435996802176</v>
      </c>
      <c r="E11" s="126">
        <f>E5*'Inputs and eligible population'!G67</f>
        <v>150.61502381159096</v>
      </c>
      <c r="F11" s="126">
        <f>F5*'Inputs and eligible population'!H67</f>
        <v>144.46386362873952</v>
      </c>
      <c r="G11" s="126">
        <f>G5*'Inputs and eligible population'!I67</f>
        <v>145.8567563873431</v>
      </c>
      <c r="H11" s="126">
        <f>H5*'Inputs and eligible population'!J67</f>
        <v>147.26307914974302</v>
      </c>
      <c r="J11" s="131"/>
    </row>
    <row r="12" spans="2:10" x14ac:dyDescent="0.35">
      <c r="B12" s="343" t="s">
        <v>738</v>
      </c>
      <c r="C12" s="126">
        <f>'Inputs and eligible population'!E68*C5</f>
        <v>73.87604682037167</v>
      </c>
      <c r="D12" s="126">
        <f>'Inputs and eligible population'!F68*D5</f>
        <v>74.588345440009888</v>
      </c>
      <c r="E12" s="126">
        <f>'Inputs and eligible population'!G68*E5</f>
        <v>15.061502381159096</v>
      </c>
      <c r="F12" s="126">
        <f>'Inputs and eligible population'!H68*F5</f>
        <v>15.206722487235741</v>
      </c>
      <c r="G12" s="126">
        <f>'Inputs and eligible population'!I68*G5</f>
        <v>15.353342777615063</v>
      </c>
      <c r="H12" s="126">
        <f>'Inputs and eligible population'!J68*H5</f>
        <v>15.501376752604529</v>
      </c>
      <c r="J12" s="131"/>
    </row>
    <row r="13" spans="2:10" x14ac:dyDescent="0.35">
      <c r="B13" s="263"/>
      <c r="C13" s="179">
        <f t="shared" ref="C13:H13" si="0">SUM(C10:C12)</f>
        <v>295.50418728148668</v>
      </c>
      <c r="D13" s="179">
        <f t="shared" si="0"/>
        <v>298.35338176003955</v>
      </c>
      <c r="E13" s="179">
        <f t="shared" si="0"/>
        <v>301.23004762318186</v>
      </c>
      <c r="F13" s="179">
        <f t="shared" si="0"/>
        <v>304.1344497447148</v>
      </c>
      <c r="G13" s="179">
        <f t="shared" si="0"/>
        <v>307.06685555230126</v>
      </c>
      <c r="H13" s="179">
        <f t="shared" si="0"/>
        <v>310.02753505209057</v>
      </c>
      <c r="J13" s="131"/>
    </row>
    <row r="14" spans="2:10" ht="15" thickBot="1" x14ac:dyDescent="0.4">
      <c r="B14" s="507"/>
      <c r="C14" s="507"/>
      <c r="D14" s="508"/>
      <c r="E14" s="508"/>
      <c r="F14" s="508"/>
      <c r="G14" s="508"/>
      <c r="H14" s="508"/>
      <c r="I14" s="509"/>
      <c r="J14" s="131"/>
    </row>
    <row r="15" spans="2:10" x14ac:dyDescent="0.35">
      <c r="B15" s="265"/>
      <c r="C15" s="265"/>
      <c r="D15" s="334"/>
      <c r="E15" s="334"/>
      <c r="F15" s="334"/>
      <c r="G15" s="334"/>
      <c r="H15" s="334"/>
      <c r="I15" s="131"/>
      <c r="J15" s="131"/>
    </row>
    <row r="16" spans="2:10" ht="43.5" x14ac:dyDescent="0.35">
      <c r="B16" s="258" t="s">
        <v>888</v>
      </c>
      <c r="C16" s="235" t="s">
        <v>880</v>
      </c>
      <c r="D16" s="268" t="s">
        <v>698</v>
      </c>
      <c r="E16" s="268" t="s">
        <v>699</v>
      </c>
      <c r="F16" s="269" t="s">
        <v>881</v>
      </c>
      <c r="G16" s="269" t="s">
        <v>882</v>
      </c>
      <c r="H16" s="268" t="s">
        <v>883</v>
      </c>
      <c r="I16" s="131"/>
      <c r="J16" s="131"/>
    </row>
    <row r="17" spans="1:10" x14ac:dyDescent="0.35">
      <c r="B17" s="291" t="s">
        <v>889</v>
      </c>
      <c r="C17" s="698" t="s">
        <v>890</v>
      </c>
      <c r="D17" s="698" t="s">
        <v>890</v>
      </c>
      <c r="E17" s="698" t="s">
        <v>890</v>
      </c>
      <c r="F17" s="698" t="s">
        <v>890</v>
      </c>
      <c r="G17" s="698" t="s">
        <v>890</v>
      </c>
      <c r="H17" s="698" t="s">
        <v>890</v>
      </c>
      <c r="I17" s="131"/>
      <c r="J17" s="131"/>
    </row>
    <row r="18" spans="1:10" x14ac:dyDescent="0.35">
      <c r="B18" s="264" t="s">
        <v>891</v>
      </c>
      <c r="C18" s="250">
        <f>'Financial impact (cash)'!D22</f>
        <v>0</v>
      </c>
      <c r="D18" s="250">
        <f>'Financial impact (cash)'!E22</f>
        <v>0</v>
      </c>
      <c r="E18" s="250">
        <f>'Financial impact (cash)'!F22</f>
        <v>0</v>
      </c>
      <c r="F18" s="250">
        <f>'Financial impact (cash)'!G22</f>
        <v>0</v>
      </c>
      <c r="G18" s="250">
        <f>'Financial impact (cash)'!H22</f>
        <v>0</v>
      </c>
      <c r="H18" s="250">
        <f>'Financial impact (cash)'!I22</f>
        <v>0</v>
      </c>
      <c r="I18" s="131"/>
      <c r="J18" s="131"/>
    </row>
    <row r="19" spans="1:10" x14ac:dyDescent="0.35">
      <c r="C19" s="77"/>
      <c r="D19" s="193">
        <f>D18-$C$18</f>
        <v>0</v>
      </c>
      <c r="E19" s="193">
        <f>E18-$C$18</f>
        <v>0</v>
      </c>
      <c r="F19" s="193">
        <f>F18-$C$18</f>
        <v>0</v>
      </c>
      <c r="G19" s="193">
        <f>G18-$C$18</f>
        <v>0</v>
      </c>
      <c r="H19" s="193">
        <f>H18-$C$18</f>
        <v>0</v>
      </c>
      <c r="I19" s="467" t="s">
        <v>892</v>
      </c>
      <c r="J19" s="131"/>
    </row>
    <row r="20" spans="1:10" x14ac:dyDescent="0.35">
      <c r="C20" s="87"/>
      <c r="D20" s="193">
        <f>D18-C18</f>
        <v>0</v>
      </c>
      <c r="E20" s="193">
        <f>E18-D18</f>
        <v>0</v>
      </c>
      <c r="F20" s="193">
        <f>F18-E18</f>
        <v>0</v>
      </c>
      <c r="G20" s="193">
        <f>G18-F18</f>
        <v>0</v>
      </c>
      <c r="H20" s="193">
        <f>H18-G18</f>
        <v>0</v>
      </c>
      <c r="I20" s="467" t="s">
        <v>893</v>
      </c>
      <c r="J20" s="131"/>
    </row>
    <row r="21" spans="1:10" x14ac:dyDescent="0.35">
      <c r="B21" s="265"/>
      <c r="C21" s="265"/>
      <c r="D21" s="403"/>
      <c r="E21" s="403"/>
      <c r="F21" s="403"/>
      <c r="G21" s="403"/>
      <c r="H21" s="403"/>
      <c r="J21" s="131"/>
    </row>
    <row r="22" spans="1:10" x14ac:dyDescent="0.35">
      <c r="B22" t="s">
        <v>894</v>
      </c>
      <c r="C22" s="265"/>
      <c r="D22" s="403"/>
      <c r="E22" s="403"/>
      <c r="F22" s="403"/>
      <c r="G22" s="403"/>
      <c r="H22" s="403"/>
      <c r="J22" s="131"/>
    </row>
    <row r="23" spans="1:10" x14ac:dyDescent="0.35">
      <c r="B23" s="626" t="s">
        <v>15</v>
      </c>
      <c r="C23" s="265"/>
      <c r="D23" s="403"/>
      <c r="E23" s="403"/>
      <c r="F23" s="403"/>
      <c r="G23" s="403"/>
      <c r="H23" s="403"/>
      <c r="J23" s="131"/>
    </row>
    <row r="24" spans="1:10" x14ac:dyDescent="0.35">
      <c r="B24" s="265"/>
      <c r="C24" s="265"/>
      <c r="D24" s="403"/>
      <c r="E24" s="403"/>
      <c r="F24" s="403"/>
      <c r="G24" s="403"/>
      <c r="H24" s="403"/>
      <c r="J24" s="131"/>
    </row>
    <row r="25" spans="1:10" ht="43.5" x14ac:dyDescent="0.35">
      <c r="A25" s="403"/>
      <c r="B25" s="258" t="s">
        <v>895</v>
      </c>
      <c r="C25" s="235" t="s">
        <v>880</v>
      </c>
      <c r="D25" s="268" t="s">
        <v>698</v>
      </c>
      <c r="E25" s="268" t="s">
        <v>699</v>
      </c>
      <c r="F25" s="269" t="s">
        <v>881</v>
      </c>
      <c r="G25" s="269" t="s">
        <v>882</v>
      </c>
      <c r="H25" s="268" t="s">
        <v>883</v>
      </c>
      <c r="J25" s="131"/>
    </row>
    <row r="26" spans="1:10" x14ac:dyDescent="0.35">
      <c r="A26" s="403"/>
      <c r="B26" s="291" t="s">
        <v>896</v>
      </c>
      <c r="C26" s="698" t="s">
        <v>890</v>
      </c>
      <c r="D26" s="698" t="s">
        <v>890</v>
      </c>
      <c r="E26" s="698" t="s">
        <v>890</v>
      </c>
      <c r="F26" s="698" t="s">
        <v>890</v>
      </c>
      <c r="G26" s="698" t="s">
        <v>890</v>
      </c>
      <c r="H26" s="698" t="s">
        <v>890</v>
      </c>
      <c r="J26" s="131"/>
    </row>
    <row r="27" spans="1:10" x14ac:dyDescent="0.35">
      <c r="A27" s="403"/>
      <c r="B27" s="264" t="s">
        <v>897</v>
      </c>
      <c r="C27" s="250">
        <f>IF($B$23="national prices",'Capacity (national prices)'!L23,IF($B$23="local prices",'Capacity (local prices)'!L25,0))</f>
        <v>979.4167822582242</v>
      </c>
      <c r="D27" s="250">
        <f>IF($B$23="national prices",'Capacity (national prices)'!M23,IF($B$23="local prices",'Capacity (local prices)'!M25,0))</f>
        <v>944.34206677652071</v>
      </c>
      <c r="E27" s="250">
        <f>IF($B$23="national prices",'Capacity (national prices)'!N23,IF($B$23="local prices",'Capacity (local prices)'!N25,0))</f>
        <v>1019.8751629499303</v>
      </c>
      <c r="F27" s="250">
        <f>IF($B$23="national prices",'Capacity (national prices)'!O23,IF($B$23="local prices",'Capacity (local prices)'!O25,0))</f>
        <v>1024.0360189939822</v>
      </c>
      <c r="G27" s="250">
        <f>IF($B$23="national prices",'Capacity (national prices)'!P23,IF($B$23="local prices",'Capacity (local prices)'!P25,0))</f>
        <v>1033.9095771252505</v>
      </c>
      <c r="H27" s="250">
        <f>IF($B$23="national prices",'Capacity (national prices)'!Q23,IF($B$23="local prices",'Capacity (local prices)'!Q25,0))</f>
        <v>1043.8783342030042</v>
      </c>
      <c r="J27" s="131"/>
    </row>
    <row r="28" spans="1:10" x14ac:dyDescent="0.35">
      <c r="A28" s="403"/>
      <c r="C28" s="77"/>
      <c r="D28" s="193">
        <f>D27-$C$27</f>
        <v>-35.074715481703493</v>
      </c>
      <c r="E28" s="193">
        <f>E27-$C$27</f>
        <v>40.458380691706111</v>
      </c>
      <c r="F28" s="193">
        <f>F27-$C$27</f>
        <v>44.619236735758022</v>
      </c>
      <c r="G28" s="193">
        <f>G27-$C$27</f>
        <v>54.492794867026305</v>
      </c>
      <c r="H28" s="193">
        <f>H27-$C$27</f>
        <v>64.461551944780012</v>
      </c>
      <c r="I28" s="467" t="s">
        <v>892</v>
      </c>
      <c r="J28" s="131"/>
    </row>
    <row r="29" spans="1:10" x14ac:dyDescent="0.35">
      <c r="A29" s="403"/>
      <c r="C29" s="87"/>
      <c r="D29" s="193">
        <f>D27-C27</f>
        <v>-35.074715481703493</v>
      </c>
      <c r="E29" s="193">
        <f>E27-D27</f>
        <v>75.533096173409604</v>
      </c>
      <c r="F29" s="193">
        <f>F27-E27</f>
        <v>4.1608560440519113</v>
      </c>
      <c r="G29" s="193">
        <f>G27-F27</f>
        <v>9.8735581312682825</v>
      </c>
      <c r="H29" s="193">
        <f>H27-G27</f>
        <v>9.9687570777537076</v>
      </c>
      <c r="I29" s="467" t="s">
        <v>893</v>
      </c>
      <c r="J29" s="131"/>
    </row>
    <row r="30" spans="1:10" x14ac:dyDescent="0.35">
      <c r="A30" s="403"/>
      <c r="B30" s="403"/>
      <c r="C30" s="403"/>
      <c r="D30" s="403"/>
      <c r="E30" s="403"/>
      <c r="F30" s="403"/>
      <c r="G30" s="403"/>
      <c r="H30" s="403"/>
      <c r="J30" s="131"/>
    </row>
    <row r="31" spans="1:10" ht="43.5" x14ac:dyDescent="0.35">
      <c r="A31" s="403"/>
      <c r="B31" s="258" t="s">
        <v>898</v>
      </c>
      <c r="C31" s="235" t="s">
        <v>880</v>
      </c>
      <c r="D31" s="268" t="s">
        <v>698</v>
      </c>
      <c r="E31" s="268" t="s">
        <v>699</v>
      </c>
      <c r="F31" s="269" t="s">
        <v>881</v>
      </c>
      <c r="G31" s="269" t="s">
        <v>882</v>
      </c>
      <c r="H31" s="268" t="s">
        <v>883</v>
      </c>
      <c r="J31" s="131"/>
    </row>
    <row r="32" spans="1:10" x14ac:dyDescent="0.35">
      <c r="B32" s="291"/>
      <c r="C32" s="698" t="s">
        <v>890</v>
      </c>
      <c r="D32" s="698" t="s">
        <v>890</v>
      </c>
      <c r="E32" s="698" t="s">
        <v>890</v>
      </c>
      <c r="F32" s="698" t="s">
        <v>890</v>
      </c>
      <c r="G32" s="698" t="s">
        <v>890</v>
      </c>
      <c r="H32" s="698" t="s">
        <v>890</v>
      </c>
      <c r="I32" s="131"/>
      <c r="J32" s="131"/>
    </row>
    <row r="33" spans="2:10" x14ac:dyDescent="0.35">
      <c r="B33" s="503" t="s">
        <v>899</v>
      </c>
      <c r="C33" s="523">
        <f>C18+C27</f>
        <v>979.4167822582242</v>
      </c>
      <c r="D33" s="523">
        <f t="shared" ref="D33:H33" si="1">D18+D27</f>
        <v>944.34206677652071</v>
      </c>
      <c r="E33" s="523">
        <f t="shared" si="1"/>
        <v>1019.8751629499303</v>
      </c>
      <c r="F33" s="523">
        <f t="shared" si="1"/>
        <v>1024.0360189939822</v>
      </c>
      <c r="G33" s="523">
        <f t="shared" si="1"/>
        <v>1033.9095771252505</v>
      </c>
      <c r="H33" s="523">
        <f t="shared" si="1"/>
        <v>1043.8783342030042</v>
      </c>
      <c r="I33" s="131"/>
      <c r="J33" s="131"/>
    </row>
    <row r="34" spans="2:10" x14ac:dyDescent="0.35">
      <c r="B34" s="502"/>
      <c r="C34" s="504"/>
      <c r="D34" s="505">
        <f>D33-$C$33</f>
        <v>-35.074715481703493</v>
      </c>
      <c r="E34" s="505">
        <f t="shared" ref="E34:H34" si="2">E33-$C$33</f>
        <v>40.458380691706111</v>
      </c>
      <c r="F34" s="505">
        <f t="shared" si="2"/>
        <v>44.619236735758022</v>
      </c>
      <c r="G34" s="505">
        <f t="shared" si="2"/>
        <v>54.492794867026305</v>
      </c>
      <c r="H34" s="505">
        <f t="shared" si="2"/>
        <v>64.461551944780012</v>
      </c>
      <c r="I34" s="467" t="s">
        <v>892</v>
      </c>
      <c r="J34" s="131"/>
    </row>
    <row r="35" spans="2:10" x14ac:dyDescent="0.35">
      <c r="B35" s="502"/>
      <c r="C35" s="504"/>
      <c r="D35" s="506">
        <f>D33-C33</f>
        <v>-35.074715481703493</v>
      </c>
      <c r="E35" s="506">
        <f>E33-D33</f>
        <v>75.533096173409604</v>
      </c>
      <c r="F35" s="506">
        <f>F33-E33</f>
        <v>4.1608560440519113</v>
      </c>
      <c r="G35" s="506">
        <f>G33-F33</f>
        <v>9.8735581312682825</v>
      </c>
      <c r="H35" s="506">
        <f>H33-G33</f>
        <v>9.9687570777537076</v>
      </c>
      <c r="I35" s="467" t="s">
        <v>893</v>
      </c>
      <c r="J35" s="131"/>
    </row>
    <row r="36" spans="2:10" ht="15" thickBot="1" x14ac:dyDescent="0.4">
      <c r="B36" s="507"/>
      <c r="C36" s="507"/>
      <c r="D36" s="508"/>
      <c r="E36" s="508"/>
      <c r="F36" s="508"/>
      <c r="G36" s="508"/>
      <c r="H36" s="508"/>
      <c r="I36" s="509"/>
      <c r="J36" s="131"/>
    </row>
    <row r="37" spans="2:10" x14ac:dyDescent="0.35">
      <c r="B37" s="265"/>
      <c r="C37" s="265"/>
      <c r="D37" s="334"/>
      <c r="E37" s="334"/>
      <c r="F37" s="334"/>
      <c r="G37" s="334"/>
      <c r="H37" s="334"/>
      <c r="I37" s="131"/>
      <c r="J37" s="131"/>
    </row>
    <row r="38" spans="2:10" ht="43.5" x14ac:dyDescent="0.35">
      <c r="B38" s="258" t="s">
        <v>900</v>
      </c>
      <c r="C38" s="495"/>
      <c r="D38" s="268" t="s">
        <v>698</v>
      </c>
      <c r="E38" s="268" t="s">
        <v>699</v>
      </c>
      <c r="F38" s="269" t="s">
        <v>881</v>
      </c>
      <c r="G38" s="269" t="s">
        <v>882</v>
      </c>
      <c r="H38" s="268" t="s">
        <v>883</v>
      </c>
      <c r="I38" s="131"/>
      <c r="J38" s="131"/>
    </row>
    <row r="39" spans="2:10" x14ac:dyDescent="0.35">
      <c r="B39" s="498"/>
      <c r="C39" s="496"/>
      <c r="D39" s="497"/>
      <c r="E39" s="497"/>
      <c r="F39" s="497"/>
      <c r="G39" s="497"/>
      <c r="H39" s="497"/>
      <c r="I39" s="131"/>
      <c r="J39" s="131"/>
    </row>
    <row r="40" spans="2:10" x14ac:dyDescent="0.35">
      <c r="B40" s="258" t="s">
        <v>901</v>
      </c>
      <c r="C40" s="256"/>
      <c r="D40" s="252"/>
      <c r="E40" s="252"/>
      <c r="F40" s="252"/>
      <c r="G40" s="252"/>
      <c r="H40" s="253"/>
      <c r="I40" s="131"/>
      <c r="J40" s="131"/>
    </row>
    <row r="41" spans="2:10" hidden="1" x14ac:dyDescent="0.35">
      <c r="B41" s="624" t="s">
        <v>902</v>
      </c>
      <c r="C41" s="623"/>
      <c r="D41" s="625">
        <f>'Capacity (local prices)'!E10-'Capacity (local prices)'!$D10</f>
        <v>0</v>
      </c>
      <c r="E41" s="625">
        <f>'Capacity (local prices)'!F10-'Capacity (local prices)'!$D10</f>
        <v>0</v>
      </c>
      <c r="F41" s="625">
        <f>'Capacity (local prices)'!G10-'Capacity (local prices)'!$D10</f>
        <v>0</v>
      </c>
      <c r="G41" s="625">
        <f>'Capacity (local prices)'!H10-'Capacity (local prices)'!$D10</f>
        <v>0</v>
      </c>
      <c r="H41" s="625">
        <f>'Capacity (local prices)'!I10-'Capacity (local prices)'!$D10</f>
        <v>0</v>
      </c>
      <c r="I41" s="131"/>
      <c r="J41" s="131"/>
    </row>
    <row r="42" spans="2:10" x14ac:dyDescent="0.35">
      <c r="B42" s="624" t="s">
        <v>903</v>
      </c>
      <c r="C42" s="623"/>
      <c r="D42" s="625">
        <f>'Capacity (local prices)'!E11-'Capacity (local prices)'!$D11</f>
        <v>34.190333742634266</v>
      </c>
      <c r="E42" s="625">
        <f>'Capacity (local prices)'!F11-'Capacity (local prices)'!$D11</f>
        <v>68.710324100342859</v>
      </c>
      <c r="F42" s="625">
        <f>'Capacity (local prices)'!G11-'Capacity (local prices)'!$D11</f>
        <v>103.56314955873677</v>
      </c>
      <c r="G42" s="625">
        <f>'Capacity (local prices)'!H11-'Capacity (local prices)'!$D11</f>
        <v>138.75201924977455</v>
      </c>
      <c r="H42" s="625">
        <f>'Capacity (local prices)'!I11-'Capacity (local prices)'!$D11</f>
        <v>174.28017324724669</v>
      </c>
      <c r="I42" s="131"/>
      <c r="J42" s="131"/>
    </row>
    <row r="43" spans="2:10" hidden="1" x14ac:dyDescent="0.35">
      <c r="B43" s="260" t="s">
        <v>904</v>
      </c>
      <c r="C43" s="261"/>
      <c r="D43" s="179">
        <f>'Capacity (local prices)'!E35</f>
        <v>0</v>
      </c>
      <c r="E43" s="179">
        <f>'Capacity (local prices)'!F35</f>
        <v>0</v>
      </c>
      <c r="F43" s="179">
        <f>'Capacity (local prices)'!G35</f>
        <v>0</v>
      </c>
      <c r="G43" s="179">
        <f>'Capacity (local prices)'!H35</f>
        <v>0</v>
      </c>
      <c r="H43" s="179">
        <f>'Capacity (local prices)'!I35</f>
        <v>0</v>
      </c>
      <c r="I43" s="131"/>
      <c r="J43" s="131"/>
    </row>
    <row r="44" spans="2:10" x14ac:dyDescent="0.35">
      <c r="B44" s="260" t="s">
        <v>905</v>
      </c>
      <c r="C44" s="261"/>
      <c r="D44" s="179">
        <f>'Capacity (local prices)'!E43</f>
        <v>8.5475834356585665</v>
      </c>
      <c r="E44" s="179">
        <f>'Capacity (local prices)'!F43</f>
        <v>17.177581025085715</v>
      </c>
      <c r="F44" s="179">
        <f>'Capacity (local prices)'!G43</f>
        <v>25.890787389684192</v>
      </c>
      <c r="G44" s="179">
        <f>'Capacity (local prices)'!H43</f>
        <v>34.688004812443637</v>
      </c>
      <c r="H44" s="179">
        <f>'Capacity (local prices)'!I43</f>
        <v>43.570043311811673</v>
      </c>
      <c r="I44" s="131"/>
      <c r="J44" s="131"/>
    </row>
    <row r="45" spans="2:10" x14ac:dyDescent="0.35">
      <c r="B45" s="260" t="s">
        <v>906</v>
      </c>
      <c r="C45" s="261"/>
      <c r="D45" s="179">
        <f>'Capacity (local prices)'!E51</f>
        <v>-201.10581983065413</v>
      </c>
      <c r="E45" s="179">
        <f>'Capacity (local prices)'!F51</f>
        <v>259.38147593525218</v>
      </c>
      <c r="F45" s="179">
        <f>'Capacity (local prices)'!G51</f>
        <v>258.6323597671576</v>
      </c>
      <c r="G45" s="179">
        <f>'Capacity (local prices)'!H51</f>
        <v>286.76879349095043</v>
      </c>
      <c r="H45" s="179">
        <f>'Capacity (local prices)'!I51</f>
        <v>315.17651329142836</v>
      </c>
      <c r="I45" s="131"/>
      <c r="J45" s="131"/>
    </row>
    <row r="46" spans="2:10" x14ac:dyDescent="0.35">
      <c r="B46" s="260" t="s">
        <v>907</v>
      </c>
      <c r="C46" s="261"/>
      <c r="D46" s="179">
        <f>'Capacity (local prices)'!E60</f>
        <v>-201.10581983065413</v>
      </c>
      <c r="E46" s="179">
        <f>'Capacity (local prices)'!F60</f>
        <v>259.38147593525218</v>
      </c>
      <c r="F46" s="179">
        <f>'Capacity (local prices)'!G60</f>
        <v>258.6323597671576</v>
      </c>
      <c r="G46" s="179">
        <f>'Capacity (local prices)'!H60</f>
        <v>286.76879349094997</v>
      </c>
      <c r="H46" s="179">
        <f>'Capacity (local prices)'!I60</f>
        <v>315.17651329142836</v>
      </c>
      <c r="I46" s="131"/>
      <c r="J46" s="131"/>
    </row>
    <row r="47" spans="2:10" x14ac:dyDescent="0.35">
      <c r="I47" s="131"/>
      <c r="J47" s="131"/>
    </row>
    <row r="48" spans="2:10" hidden="1" x14ac:dyDescent="0.35">
      <c r="B48" s="258" t="s">
        <v>908</v>
      </c>
      <c r="C48" s="259"/>
      <c r="D48" s="252"/>
      <c r="E48" s="252"/>
      <c r="F48" s="252"/>
      <c r="G48" s="252"/>
      <c r="H48" s="253"/>
      <c r="I48" s="131"/>
      <c r="J48" s="131"/>
    </row>
    <row r="49" spans="2:10" hidden="1" x14ac:dyDescent="0.35">
      <c r="B49" s="260" t="s">
        <v>909</v>
      </c>
      <c r="C49" s="261"/>
      <c r="D49" s="179">
        <f>'Capacity (local prices)'!E69</f>
        <v>0</v>
      </c>
      <c r="E49" s="179">
        <f>'Capacity (local prices)'!F69</f>
        <v>0</v>
      </c>
      <c r="F49" s="179">
        <f>'Capacity (local prices)'!G69</f>
        <v>0</v>
      </c>
      <c r="G49" s="179">
        <f>'Capacity (local prices)'!H69</f>
        <v>0</v>
      </c>
      <c r="H49" s="179">
        <f>'Capacity (local prices)'!I69</f>
        <v>0</v>
      </c>
      <c r="I49" s="131"/>
      <c r="J49" s="131"/>
    </row>
    <row r="50" spans="2:10" hidden="1" x14ac:dyDescent="0.35">
      <c r="B50" s="260" t="s">
        <v>910</v>
      </c>
      <c r="C50" s="261"/>
      <c r="D50" s="179">
        <f>'Capacity (local prices)'!E77</f>
        <v>0</v>
      </c>
      <c r="E50" s="179">
        <f>'Capacity (local prices)'!F77</f>
        <v>0</v>
      </c>
      <c r="F50" s="179">
        <f>'Capacity (local prices)'!G77</f>
        <v>0</v>
      </c>
      <c r="G50" s="179">
        <f>'Capacity (local prices)'!H77</f>
        <v>0</v>
      </c>
      <c r="H50" s="179">
        <f>'Capacity (local prices)'!I77</f>
        <v>0</v>
      </c>
      <c r="I50" s="131"/>
      <c r="J50" s="131"/>
    </row>
    <row r="51" spans="2:10" hidden="1" x14ac:dyDescent="0.35">
      <c r="B51" s="260" t="s">
        <v>911</v>
      </c>
      <c r="C51" s="261"/>
      <c r="D51" s="179">
        <f>'Capacity (local prices)'!E85</f>
        <v>0</v>
      </c>
      <c r="E51" s="179">
        <f>'Capacity (local prices)'!F85</f>
        <v>0</v>
      </c>
      <c r="F51" s="179">
        <f>'Capacity (local prices)'!G85</f>
        <v>0</v>
      </c>
      <c r="G51" s="179">
        <f>'Capacity (local prices)'!H85</f>
        <v>0</v>
      </c>
      <c r="H51" s="179">
        <f>'Capacity (local prices)'!I85</f>
        <v>0</v>
      </c>
      <c r="I51" s="131"/>
      <c r="J51" s="131"/>
    </row>
    <row r="52" spans="2:10" hidden="1" x14ac:dyDescent="0.35">
      <c r="I52" s="131"/>
      <c r="J52" s="131"/>
    </row>
    <row r="53" spans="2:10" x14ac:dyDescent="0.35">
      <c r="B53" s="258" t="s">
        <v>912</v>
      </c>
      <c r="C53" s="259"/>
      <c r="D53" s="252"/>
      <c r="E53" s="252"/>
      <c r="F53" s="252"/>
      <c r="G53" s="252"/>
      <c r="H53" s="253"/>
      <c r="I53" s="131"/>
      <c r="J53" s="131"/>
    </row>
    <row r="54" spans="2:10" x14ac:dyDescent="0.35">
      <c r="B54" s="341" t="s">
        <v>913</v>
      </c>
      <c r="C54" s="266"/>
      <c r="D54" s="376">
        <f>'Capacity (local prices)'!E94</f>
        <v>-8.3794091596105886</v>
      </c>
      <c r="E54" s="179">
        <f>'Capacity (local prices)'!F94</f>
        <v>10.807561497302189</v>
      </c>
      <c r="F54" s="179">
        <f>'Capacity (local prices)'!G94</f>
        <v>10.776348323631581</v>
      </c>
      <c r="G54" s="179">
        <f>'Capacity (local prices)'!H94</f>
        <v>11.948699728789592</v>
      </c>
      <c r="H54" s="179">
        <f>'Capacity (local prices)'!I94</f>
        <v>13.132354720476201</v>
      </c>
      <c r="I54" s="131"/>
      <c r="J54" s="131"/>
    </row>
    <row r="55" spans="2:10" x14ac:dyDescent="0.35">
      <c r="I55" s="131"/>
      <c r="J55" s="131"/>
    </row>
    <row r="56" spans="2:10" hidden="1" x14ac:dyDescent="0.35">
      <c r="B56" s="258" t="s">
        <v>914</v>
      </c>
      <c r="C56" s="259"/>
      <c r="D56" s="252"/>
      <c r="E56" s="252"/>
      <c r="F56" s="252"/>
      <c r="G56" s="252"/>
      <c r="H56" s="253"/>
      <c r="I56" s="131"/>
      <c r="J56" s="131"/>
    </row>
    <row r="57" spans="2:10" hidden="1" x14ac:dyDescent="0.35">
      <c r="B57" s="341" t="s">
        <v>915</v>
      </c>
      <c r="C57" s="266"/>
      <c r="D57" s="376">
        <f>'Capacity (local prices)'!E103</f>
        <v>0</v>
      </c>
      <c r="E57" s="179">
        <f>'Capacity (local prices)'!F103</f>
        <v>0</v>
      </c>
      <c r="F57" s="179">
        <f>'Capacity (local prices)'!G103</f>
        <v>0</v>
      </c>
      <c r="G57" s="179">
        <f>'Capacity (local prices)'!H103</f>
        <v>0</v>
      </c>
      <c r="H57" s="179">
        <f>'Capacity (local prices)'!I103</f>
        <v>0</v>
      </c>
      <c r="I57" s="131"/>
      <c r="J57" s="131"/>
    </row>
    <row r="58" spans="2:10" hidden="1" x14ac:dyDescent="0.35">
      <c r="I58" s="131"/>
      <c r="J58" s="131"/>
    </row>
    <row r="59" spans="2:10" x14ac:dyDescent="0.35">
      <c r="B59" s="258" t="s">
        <v>916</v>
      </c>
      <c r="C59" s="259"/>
      <c r="D59" s="252"/>
      <c r="E59" s="252"/>
      <c r="F59" s="252"/>
      <c r="G59" s="252"/>
      <c r="H59" s="253"/>
      <c r="I59" s="131"/>
      <c r="J59" s="131"/>
    </row>
    <row r="60" spans="2:10" x14ac:dyDescent="0.35">
      <c r="B60" s="341" t="s">
        <v>917</v>
      </c>
      <c r="C60" s="261"/>
      <c r="D60" s="376">
        <f>'Capacity (local prices)'!E112</f>
        <v>34.190333742634266</v>
      </c>
      <c r="E60" s="179">
        <f>'Capacity (local prices)'!F112</f>
        <v>68.710324100342859</v>
      </c>
      <c r="F60" s="179">
        <f>'Capacity (local prices)'!G112</f>
        <v>103.56314955873677</v>
      </c>
      <c r="G60" s="179">
        <f>'Capacity (local prices)'!H112</f>
        <v>138.75201924977455</v>
      </c>
      <c r="H60" s="179">
        <f>'Capacity (local prices)'!I112</f>
        <v>174.28017324724669</v>
      </c>
      <c r="I60" s="131"/>
      <c r="J60" s="131"/>
    </row>
    <row r="61" spans="2:10" hidden="1" x14ac:dyDescent="0.35">
      <c r="B61" s="341" t="s">
        <v>918</v>
      </c>
      <c r="C61" s="261"/>
      <c r="D61" s="376">
        <f>'Capacity (local prices)'!E120</f>
        <v>0</v>
      </c>
      <c r="E61" s="179">
        <f>'Capacity (local prices)'!F120</f>
        <v>0</v>
      </c>
      <c r="F61" s="179">
        <f>'Capacity (local prices)'!G120</f>
        <v>0</v>
      </c>
      <c r="G61" s="179">
        <f>'Capacity (local prices)'!H120</f>
        <v>0</v>
      </c>
      <c r="H61" s="179">
        <f>'Capacity (local prices)'!I120</f>
        <v>0</v>
      </c>
      <c r="I61" s="131"/>
      <c r="J61" s="131"/>
    </row>
    <row r="62" spans="2:10" hidden="1" x14ac:dyDescent="0.35">
      <c r="B62" s="341" t="s">
        <v>919</v>
      </c>
      <c r="C62" s="261"/>
      <c r="D62" s="376">
        <f>'Capacity (local prices)'!E128</f>
        <v>0</v>
      </c>
      <c r="E62" s="179">
        <f>'Capacity (local prices)'!F128</f>
        <v>0</v>
      </c>
      <c r="F62" s="179">
        <f>'Capacity (local prices)'!G128</f>
        <v>0</v>
      </c>
      <c r="G62" s="179">
        <f>'Capacity (local prices)'!H128</f>
        <v>0</v>
      </c>
      <c r="H62" s="179">
        <f>'Capacity (local prices)'!I128</f>
        <v>0</v>
      </c>
      <c r="I62" s="131"/>
      <c r="J62" s="131"/>
    </row>
    <row r="63" spans="2:10" ht="29" hidden="1" x14ac:dyDescent="0.35">
      <c r="B63" s="341" t="s">
        <v>920</v>
      </c>
      <c r="C63" s="261"/>
      <c r="D63" s="376">
        <f>'Capacity (local prices)'!E136</f>
        <v>0</v>
      </c>
      <c r="E63" s="179">
        <f>'Capacity (local prices)'!F136</f>
        <v>0</v>
      </c>
      <c r="F63" s="179">
        <f>'Capacity (local prices)'!G136</f>
        <v>0</v>
      </c>
      <c r="G63" s="179">
        <f>'Capacity (local prices)'!H136</f>
        <v>0</v>
      </c>
      <c r="H63" s="179">
        <f>'Capacity (local prices)'!I136</f>
        <v>0</v>
      </c>
      <c r="I63" s="131"/>
      <c r="J63" s="131"/>
    </row>
    <row r="64" spans="2:10" x14ac:dyDescent="0.35">
      <c r="I64" s="131"/>
      <c r="J64" s="131"/>
    </row>
    <row r="65" spans="2:14" x14ac:dyDescent="0.35">
      <c r="B65" s="258" t="s">
        <v>921</v>
      </c>
      <c r="C65" s="256"/>
      <c r="D65" s="252"/>
      <c r="E65" s="252"/>
      <c r="F65" s="252"/>
      <c r="G65" s="252"/>
      <c r="H65" s="253"/>
      <c r="I65" s="131"/>
      <c r="J65" s="131"/>
    </row>
    <row r="66" spans="2:14" x14ac:dyDescent="0.35">
      <c r="B66" s="260" t="s">
        <v>922</v>
      </c>
      <c r="C66" s="261"/>
      <c r="D66" s="376">
        <f>'Capacity (local prices)'!E149</f>
        <v>-29.834739736793694</v>
      </c>
      <c r="E66" s="179">
        <f>'Capacity (local prices)'!F149</f>
        <v>-17.758507151728139</v>
      </c>
      <c r="F66" s="179">
        <f>'Capacity (local prices)'!G149</f>
        <v>-20.168793987878871</v>
      </c>
      <c r="G66" s="179">
        <f>'Capacity (local prices)'!H149</f>
        <v>-18.572538886519169</v>
      </c>
      <c r="H66" s="179">
        <f>'Capacity (local prices)'!I149</f>
        <v>-16.960893000808881</v>
      </c>
      <c r="I66" s="131"/>
      <c r="J66" s="131"/>
    </row>
    <row r="67" spans="2:14" x14ac:dyDescent="0.35">
      <c r="B67" s="265"/>
      <c r="C67" s="265"/>
      <c r="D67" s="251"/>
      <c r="E67" s="251"/>
      <c r="F67" s="251"/>
      <c r="G67" s="251"/>
      <c r="H67" s="251"/>
      <c r="I67" s="131"/>
      <c r="J67" s="131"/>
    </row>
    <row r="69" spans="2:14" x14ac:dyDescent="0.35">
      <c r="D69" s="786"/>
      <c r="E69" s="787"/>
      <c r="F69" s="787"/>
      <c r="G69" s="787"/>
      <c r="H69" s="787"/>
      <c r="I69" s="787"/>
      <c r="J69" s="787"/>
      <c r="K69" s="787"/>
      <c r="L69" s="787"/>
      <c r="M69" s="787"/>
      <c r="N69" s="787"/>
    </row>
    <row r="70" spans="2:14" x14ac:dyDescent="0.35">
      <c r="D70" s="787"/>
      <c r="E70" s="787"/>
      <c r="F70" s="787"/>
      <c r="G70" s="787"/>
      <c r="H70" s="787"/>
      <c r="I70" s="787"/>
      <c r="J70" s="787"/>
      <c r="K70" s="787"/>
      <c r="L70" s="787"/>
      <c r="M70" s="787"/>
      <c r="N70" s="787"/>
    </row>
    <row r="71" spans="2:14" x14ac:dyDescent="0.35">
      <c r="D71" s="786"/>
      <c r="E71" s="787"/>
      <c r="F71" s="787"/>
      <c r="G71" s="787"/>
      <c r="H71" s="787"/>
      <c r="I71" s="787"/>
      <c r="J71" s="787"/>
      <c r="K71" s="787"/>
      <c r="L71" s="787"/>
      <c r="M71" s="787"/>
      <c r="N71" s="787"/>
    </row>
  </sheetData>
  <sheetProtection algorithmName="SHA-512" hashValue="DuPVFN044ItwYXqszgV8YD766aXgCQl0eMKYs5TJ3zgAAxTRQzNva1Lem7+yUJEXuLsRqhbd2z4nEGRBwqTN3Q==" saltValue="bYQYx5iKn7pfkG3OZ3KOUA==" spinCount="100000" sheet="1" objects="1" scenarios="1"/>
  <mergeCells count="2">
    <mergeCell ref="D69:N70"/>
    <mergeCell ref="D71:N7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9"/>
  <sheetViews>
    <sheetView showGridLines="0" zoomScale="80" zoomScaleNormal="80" zoomScaleSheetLayoutView="80" workbookViewId="0">
      <selection activeCell="D15" sqref="D15"/>
    </sheetView>
  </sheetViews>
  <sheetFormatPr defaultColWidth="8.81640625" defaultRowHeight="14.5" x14ac:dyDescent="0.3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 x14ac:dyDescent="0.35">
      <c r="B1" s="545" t="str">
        <f>'Inputs and eligible population'!B1</f>
        <v>Olaparib for treating BRCA mutation-positive HER2-negative advanced breast cancer after chemotherapy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5" customHeight="1" x14ac:dyDescent="0.35">
      <c r="B2" s="374" t="s">
        <v>923</v>
      </c>
      <c r="C2" s="125" t="s">
        <v>790</v>
      </c>
      <c r="D2" s="125" t="s">
        <v>790</v>
      </c>
      <c r="E2" s="125" t="s">
        <v>790</v>
      </c>
      <c r="F2" s="125" t="s">
        <v>790</v>
      </c>
      <c r="G2" s="125" t="s">
        <v>790</v>
      </c>
      <c r="H2" s="125"/>
      <c r="I2" s="125" t="s">
        <v>790</v>
      </c>
      <c r="J2" s="125" t="s">
        <v>790</v>
      </c>
      <c r="K2" s="131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5">
      <c r="B3" s="128" t="s">
        <v>790</v>
      </c>
      <c r="C3" s="131" t="s">
        <v>790</v>
      </c>
      <c r="D3" s="131" t="s">
        <v>790</v>
      </c>
      <c r="E3" s="131" t="s">
        <v>790</v>
      </c>
      <c r="F3" s="131" t="s">
        <v>790</v>
      </c>
      <c r="G3" s="131" t="s">
        <v>790</v>
      </c>
      <c r="H3" s="131" t="s">
        <v>790</v>
      </c>
      <c r="I3" s="131" t="s">
        <v>790</v>
      </c>
      <c r="J3" s="131" t="s">
        <v>790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34" s="239" customFormat="1" x14ac:dyDescent="0.35">
      <c r="B4" s="244" t="s">
        <v>924</v>
      </c>
      <c r="F4" s="131"/>
      <c r="G4" s="131"/>
      <c r="H4" s="131"/>
      <c r="I4" s="131"/>
      <c r="J4" s="131" t="s">
        <v>790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39" customFormat="1" x14ac:dyDescent="0.35">
      <c r="B5" s="244" t="s">
        <v>925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39" customFormat="1" x14ac:dyDescent="0.35">
      <c r="B6" s="244"/>
      <c r="C6" s="131" t="s">
        <v>790</v>
      </c>
      <c r="D6" s="131" t="s">
        <v>790</v>
      </c>
      <c r="E6" s="131"/>
      <c r="F6" s="131"/>
      <c r="G6" s="131"/>
      <c r="H6" s="131"/>
      <c r="I6" s="131" t="s">
        <v>790</v>
      </c>
      <c r="J6" s="131" t="s">
        <v>790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39" customFormat="1" ht="43.5" x14ac:dyDescent="0.35">
      <c r="B7" s="255" t="s">
        <v>884</v>
      </c>
      <c r="C7" s="267"/>
      <c r="D7" s="770" t="s">
        <v>926</v>
      </c>
      <c r="E7" s="268" t="s">
        <v>698</v>
      </c>
      <c r="F7" s="268" t="s">
        <v>699</v>
      </c>
      <c r="G7" s="269" t="s">
        <v>881</v>
      </c>
      <c r="H7" s="269" t="s">
        <v>882</v>
      </c>
      <c r="I7" s="268" t="s">
        <v>883</v>
      </c>
      <c r="K7" s="131"/>
      <c r="L7" s="131"/>
      <c r="N7" s="131"/>
      <c r="O7" s="131"/>
      <c r="P7" s="131"/>
      <c r="Q7" s="131"/>
      <c r="R7" s="131"/>
      <c r="S7" s="131"/>
      <c r="T7" s="131"/>
    </row>
    <row r="8" spans="2:34" s="146" customFormat="1" x14ac:dyDescent="0.35">
      <c r="B8" s="222" t="s">
        <v>884</v>
      </c>
      <c r="C8" s="180"/>
      <c r="D8" s="179">
        <f>'Inputs and eligible population'!F45</f>
        <v>295.50418728148668</v>
      </c>
      <c r="E8" s="179">
        <f>'Inputs and eligible population'!G45</f>
        <v>298.35338176003955</v>
      </c>
      <c r="F8" s="179">
        <f>'Inputs and eligible population'!H45</f>
        <v>301.23004762318192</v>
      </c>
      <c r="G8" s="179">
        <f>'Inputs and eligible population'!I45</f>
        <v>304.1344497447148</v>
      </c>
      <c r="H8" s="179">
        <f>'Inputs and eligible population'!J45</f>
        <v>307.06685555230126</v>
      </c>
      <c r="I8" s="179">
        <f>'Inputs and eligible population'!K45</f>
        <v>310.02753505209057</v>
      </c>
      <c r="K8" s="131"/>
      <c r="L8" s="131"/>
    </row>
    <row r="9" spans="2:34" s="239" customFormat="1" x14ac:dyDescent="0.35">
      <c r="B9" s="241" t="s">
        <v>790</v>
      </c>
      <c r="C9" s="131" t="s">
        <v>790</v>
      </c>
      <c r="D9" s="131" t="s">
        <v>790</v>
      </c>
      <c r="E9" s="131" t="s">
        <v>790</v>
      </c>
      <c r="F9" s="131" t="s">
        <v>790</v>
      </c>
      <c r="G9" s="131" t="s">
        <v>790</v>
      </c>
      <c r="H9" s="131"/>
      <c r="I9" s="131"/>
      <c r="K9" s="131"/>
      <c r="L9" s="131"/>
      <c r="N9" s="131"/>
      <c r="O9" s="131"/>
      <c r="P9" s="131"/>
      <c r="Q9" s="131"/>
      <c r="R9" s="131"/>
      <c r="S9" s="131"/>
      <c r="T9" s="131"/>
      <c r="AD9" s="270"/>
      <c r="AE9" s="270"/>
      <c r="AF9" s="270"/>
      <c r="AG9" s="270"/>
      <c r="AH9" s="270"/>
    </row>
    <row r="10" spans="2:34" s="239" customFormat="1" x14ac:dyDescent="0.35">
      <c r="B10" s="337" t="s">
        <v>889</v>
      </c>
      <c r="C10" s="338"/>
      <c r="D10" s="339"/>
      <c r="E10" s="339"/>
      <c r="F10" s="339"/>
      <c r="G10" s="339"/>
      <c r="H10" s="339"/>
      <c r="I10" s="340"/>
      <c r="K10" s="131"/>
      <c r="L10" s="131"/>
      <c r="N10" s="131"/>
      <c r="O10" s="131"/>
      <c r="P10" s="131"/>
      <c r="Q10" s="131"/>
      <c r="R10" s="131"/>
      <c r="S10" s="131"/>
      <c r="T10" s="131"/>
    </row>
    <row r="11" spans="2:34" s="239" customFormat="1" x14ac:dyDescent="0.35">
      <c r="B11" s="241"/>
      <c r="C11" s="131"/>
      <c r="D11" s="131"/>
      <c r="E11" s="131"/>
      <c r="F11" s="131"/>
      <c r="G11" s="131"/>
      <c r="H11" s="131"/>
      <c r="I11" s="131"/>
      <c r="N11" s="131"/>
      <c r="O11" s="131"/>
      <c r="P11" s="131"/>
      <c r="Q11" s="131"/>
      <c r="R11" s="131"/>
      <c r="S11" s="131"/>
      <c r="T11" s="131"/>
      <c r="AD11" s="270"/>
      <c r="AE11" s="270"/>
      <c r="AF11" s="270"/>
      <c r="AG11" s="270"/>
      <c r="AH11" s="270"/>
    </row>
    <row r="12" spans="2:34" s="239" customFormat="1" x14ac:dyDescent="0.35">
      <c r="B12" s="276" t="s">
        <v>927</v>
      </c>
      <c r="C12" s="271"/>
      <c r="D12" s="181"/>
      <c r="E12" s="181"/>
      <c r="F12" s="181"/>
      <c r="G12" s="181"/>
      <c r="H12" s="181"/>
      <c r="I12" s="182"/>
      <c r="N12" s="131"/>
      <c r="O12" s="131"/>
      <c r="P12" s="131"/>
      <c r="Q12" s="131"/>
      <c r="R12" s="131"/>
      <c r="S12" s="131"/>
      <c r="T12" s="131"/>
    </row>
    <row r="13" spans="2:34" s="239" customFormat="1" x14ac:dyDescent="0.35">
      <c r="B13" s="345" t="s">
        <v>736</v>
      </c>
      <c r="C13" s="346"/>
      <c r="D13" s="272">
        <f>'Inputs and eligible population'!L66</f>
        <v>0</v>
      </c>
      <c r="E13" s="272">
        <f>'Inputs and eligible population'!M66</f>
        <v>59.670676352007916</v>
      </c>
      <c r="F13" s="272">
        <f>'Inputs and eligible population'!N66</f>
        <v>135.55352143043186</v>
      </c>
      <c r="G13" s="272">
        <f>'Inputs and eligible population'!O66</f>
        <v>144.46386362873952</v>
      </c>
      <c r="H13" s="272">
        <f>'Inputs and eligible population'!P66</f>
        <v>145.8567563873431</v>
      </c>
      <c r="I13" s="272">
        <f>'Inputs and eligible population'!Q66</f>
        <v>147.26307914974302</v>
      </c>
      <c r="N13" s="131"/>
      <c r="O13" s="131"/>
      <c r="P13" s="131"/>
      <c r="Q13" s="131"/>
      <c r="R13" s="131"/>
      <c r="S13" s="131"/>
      <c r="T13" s="131"/>
      <c r="V13" s="270"/>
      <c r="W13" s="270"/>
      <c r="X13" s="270"/>
      <c r="Y13" s="270"/>
      <c r="Z13" s="270"/>
      <c r="AA13" s="270"/>
      <c r="AC13" s="270"/>
      <c r="AD13" s="270"/>
      <c r="AE13" s="270"/>
      <c r="AF13" s="270"/>
      <c r="AG13" s="270"/>
      <c r="AH13" s="270"/>
    </row>
    <row r="14" spans="2:34" s="239" customFormat="1" x14ac:dyDescent="0.35">
      <c r="B14" s="345" t="s">
        <v>737</v>
      </c>
      <c r="C14" s="346"/>
      <c r="D14" s="272">
        <f>'Inputs and eligible population'!L67</f>
        <v>221.62814046111501</v>
      </c>
      <c r="E14" s="272">
        <f>'Inputs and eligible population'!M67</f>
        <v>164.09435996802176</v>
      </c>
      <c r="F14" s="272">
        <f>'Inputs and eligible population'!N67</f>
        <v>150.61502381159096</v>
      </c>
      <c r="G14" s="272">
        <f>'Inputs and eligible population'!O67</f>
        <v>144.46386362873952</v>
      </c>
      <c r="H14" s="272">
        <f>'Inputs and eligible population'!P67</f>
        <v>145.8567563873431</v>
      </c>
      <c r="I14" s="272">
        <f>'Inputs and eligible population'!Q67</f>
        <v>147.26307914974302</v>
      </c>
      <c r="N14" s="131"/>
      <c r="O14" s="131"/>
      <c r="P14" s="131"/>
      <c r="Q14" s="131"/>
      <c r="R14" s="131"/>
      <c r="S14" s="131"/>
      <c r="T14" s="131"/>
      <c r="V14" s="270"/>
      <c r="W14" s="270"/>
      <c r="X14" s="270"/>
      <c r="Y14" s="270"/>
      <c r="Z14" s="270"/>
      <c r="AA14" s="270"/>
      <c r="AC14" s="270"/>
      <c r="AD14" s="270"/>
      <c r="AE14" s="270"/>
      <c r="AF14" s="270"/>
      <c r="AG14" s="270"/>
      <c r="AH14" s="270"/>
    </row>
    <row r="15" spans="2:34" s="239" customFormat="1" x14ac:dyDescent="0.35">
      <c r="B15" s="345" t="s">
        <v>738</v>
      </c>
      <c r="C15" s="347"/>
      <c r="D15" s="272">
        <f>'Inputs and eligible population'!L68</f>
        <v>73.87604682037167</v>
      </c>
      <c r="E15" s="272">
        <f>'Inputs and eligible population'!M68</f>
        <v>74.588345440009888</v>
      </c>
      <c r="F15" s="272">
        <f>'Inputs and eligible population'!N68</f>
        <v>15.061502381159096</v>
      </c>
      <c r="G15" s="272">
        <f>'Inputs and eligible population'!O68</f>
        <v>15.206722487235741</v>
      </c>
      <c r="H15" s="272">
        <f>'Inputs and eligible population'!P68</f>
        <v>15.353342777615063</v>
      </c>
      <c r="I15" s="272">
        <f>'Inputs and eligible population'!Q68</f>
        <v>15.501376752604529</v>
      </c>
      <c r="N15" s="131"/>
      <c r="O15" s="131"/>
      <c r="P15" s="131"/>
      <c r="Q15" s="131"/>
      <c r="R15" s="131"/>
      <c r="S15" s="131"/>
      <c r="T15" s="131"/>
      <c r="V15" s="270"/>
      <c r="W15" s="270"/>
      <c r="X15" s="270"/>
      <c r="Y15" s="270"/>
      <c r="Z15" s="270"/>
      <c r="AA15" s="270"/>
      <c r="AC15" s="270"/>
      <c r="AD15" s="270"/>
      <c r="AE15" s="270"/>
      <c r="AF15" s="270"/>
      <c r="AG15" s="270"/>
      <c r="AH15" s="270"/>
    </row>
    <row r="16" spans="2:34" s="239" customFormat="1" x14ac:dyDescent="0.35">
      <c r="B16" s="277"/>
      <c r="C16" s="183"/>
      <c r="D16" s="184">
        <f t="shared" ref="D16:I16" si="0">SUM(D13:D15)</f>
        <v>295.50418728148668</v>
      </c>
      <c r="E16" s="184">
        <f t="shared" si="0"/>
        <v>298.35338176003955</v>
      </c>
      <c r="F16" s="184">
        <f t="shared" si="0"/>
        <v>301.23004762318186</v>
      </c>
      <c r="G16" s="184">
        <f t="shared" si="0"/>
        <v>304.1344497447148</v>
      </c>
      <c r="H16" s="184">
        <f t="shared" si="0"/>
        <v>307.06685555230126</v>
      </c>
      <c r="I16" s="184">
        <f t="shared" si="0"/>
        <v>310.02753505209057</v>
      </c>
      <c r="N16" s="131"/>
      <c r="O16" s="131"/>
      <c r="P16" s="131"/>
      <c r="Q16" s="131"/>
      <c r="R16" s="131"/>
      <c r="S16" s="131"/>
      <c r="T16" s="131"/>
      <c r="V16" s="270"/>
      <c r="W16" s="270"/>
      <c r="X16" s="270"/>
      <c r="Y16" s="270"/>
      <c r="Z16" s="270"/>
      <c r="AA16" s="270"/>
      <c r="AC16" s="270"/>
      <c r="AD16" s="270"/>
      <c r="AE16" s="270"/>
      <c r="AF16" s="270"/>
      <c r="AG16" s="270"/>
      <c r="AH16" s="270"/>
    </row>
    <row r="17" spans="2:34" s="239" customFormat="1" x14ac:dyDescent="0.35">
      <c r="B17" s="278"/>
      <c r="C17" s="131"/>
      <c r="D17" s="131"/>
      <c r="E17" s="131"/>
      <c r="F17" s="131"/>
      <c r="G17" s="131"/>
      <c r="H17" s="131"/>
      <c r="I17" s="131"/>
      <c r="N17" s="131"/>
      <c r="O17" s="131"/>
      <c r="P17" s="131"/>
      <c r="Q17" s="131"/>
      <c r="R17" s="131"/>
      <c r="S17" s="131"/>
      <c r="T17" s="131"/>
      <c r="AD17" s="270"/>
      <c r="AE17" s="270"/>
      <c r="AF17" s="270"/>
      <c r="AG17" s="270"/>
      <c r="AH17" s="270"/>
    </row>
    <row r="18" spans="2:34" s="239" customFormat="1" x14ac:dyDescent="0.35">
      <c r="B18" s="279" t="s">
        <v>928</v>
      </c>
      <c r="C18" s="273" t="s">
        <v>929</v>
      </c>
      <c r="D18" s="698" t="s">
        <v>890</v>
      </c>
      <c r="E18" s="698" t="s">
        <v>890</v>
      </c>
      <c r="F18" s="698" t="s">
        <v>890</v>
      </c>
      <c r="G18" s="698" t="s">
        <v>890</v>
      </c>
      <c r="H18" s="698" t="s">
        <v>890</v>
      </c>
      <c r="I18" s="698" t="s">
        <v>890</v>
      </c>
      <c r="N18" s="131"/>
      <c r="O18" s="131"/>
      <c r="P18" s="131"/>
      <c r="Q18" s="131"/>
      <c r="R18" s="131"/>
      <c r="S18" s="131"/>
      <c r="T18" s="131"/>
      <c r="AD18" s="270"/>
      <c r="AE18" s="270"/>
      <c r="AF18" s="270"/>
      <c r="AG18" s="270"/>
      <c r="AH18" s="270"/>
    </row>
    <row r="19" spans="2:34" s="239" customFormat="1" x14ac:dyDescent="0.35">
      <c r="B19" s="344" t="s">
        <v>736</v>
      </c>
      <c r="C19" s="274">
        <f>'Unit costs'!T11</f>
        <v>0</v>
      </c>
      <c r="D19" s="274">
        <f t="shared" ref="D19:I21" si="1">D13*$C19/1000</f>
        <v>0</v>
      </c>
      <c r="E19" s="274">
        <f t="shared" si="1"/>
        <v>0</v>
      </c>
      <c r="F19" s="274">
        <f t="shared" si="1"/>
        <v>0</v>
      </c>
      <c r="G19" s="274">
        <f t="shared" si="1"/>
        <v>0</v>
      </c>
      <c r="H19" s="274">
        <f t="shared" si="1"/>
        <v>0</v>
      </c>
      <c r="I19" s="274">
        <f t="shared" si="1"/>
        <v>0</v>
      </c>
      <c r="N19" s="131"/>
      <c r="O19" s="131"/>
      <c r="P19" s="131"/>
      <c r="Q19" s="131"/>
      <c r="R19" s="131"/>
      <c r="S19" s="131"/>
      <c r="T19" s="131"/>
      <c r="AD19" s="270"/>
      <c r="AE19" s="270"/>
      <c r="AF19" s="270"/>
      <c r="AG19" s="270"/>
      <c r="AH19" s="270"/>
    </row>
    <row r="20" spans="2:34" s="239" customFormat="1" x14ac:dyDescent="0.35">
      <c r="B20" s="344" t="s">
        <v>737</v>
      </c>
      <c r="C20" s="274">
        <f>'Unit costs'!T16</f>
        <v>0</v>
      </c>
      <c r="D20" s="274">
        <f t="shared" si="1"/>
        <v>0</v>
      </c>
      <c r="E20" s="274">
        <f t="shared" si="1"/>
        <v>0</v>
      </c>
      <c r="F20" s="274">
        <f t="shared" si="1"/>
        <v>0</v>
      </c>
      <c r="G20" s="274">
        <f>G14*$C20/1000</f>
        <v>0</v>
      </c>
      <c r="H20" s="274">
        <f t="shared" si="1"/>
        <v>0</v>
      </c>
      <c r="I20" s="274">
        <f t="shared" si="1"/>
        <v>0</v>
      </c>
      <c r="N20" s="131"/>
      <c r="O20" s="131"/>
      <c r="P20" s="131"/>
      <c r="Q20" s="131"/>
      <c r="R20" s="131"/>
      <c r="S20" s="131"/>
      <c r="T20" s="131"/>
      <c r="AD20" s="270"/>
      <c r="AE20" s="270"/>
      <c r="AF20" s="270"/>
      <c r="AG20" s="270"/>
      <c r="AH20" s="270"/>
    </row>
    <row r="21" spans="2:34" s="239" customFormat="1" x14ac:dyDescent="0.35">
      <c r="B21" s="344" t="s">
        <v>738</v>
      </c>
      <c r="C21" s="274">
        <v>0</v>
      </c>
      <c r="D21" s="274">
        <f t="shared" si="1"/>
        <v>0</v>
      </c>
      <c r="E21" s="274">
        <f t="shared" si="1"/>
        <v>0</v>
      </c>
      <c r="F21" s="274">
        <f t="shared" si="1"/>
        <v>0</v>
      </c>
      <c r="G21" s="274">
        <f t="shared" si="1"/>
        <v>0</v>
      </c>
      <c r="H21" s="274">
        <f t="shared" si="1"/>
        <v>0</v>
      </c>
      <c r="I21" s="274">
        <f t="shared" si="1"/>
        <v>0</v>
      </c>
      <c r="N21" s="131"/>
      <c r="O21" s="131"/>
      <c r="P21" s="131"/>
      <c r="Q21" s="131"/>
      <c r="R21" s="131"/>
      <c r="S21" s="131"/>
      <c r="T21" s="131"/>
      <c r="AD21" s="270"/>
      <c r="AE21" s="270"/>
      <c r="AF21" s="270"/>
      <c r="AG21" s="270"/>
      <c r="AH21" s="270"/>
    </row>
    <row r="22" spans="2:34" s="239" customFormat="1" x14ac:dyDescent="0.35">
      <c r="B22" s="277" t="s">
        <v>930</v>
      </c>
      <c r="C22" s="667"/>
      <c r="D22" s="185">
        <f t="shared" ref="D22:I22" si="2">SUM(D19:D21)</f>
        <v>0</v>
      </c>
      <c r="E22" s="185">
        <f t="shared" si="2"/>
        <v>0</v>
      </c>
      <c r="F22" s="185">
        <f t="shared" si="2"/>
        <v>0</v>
      </c>
      <c r="G22" s="185">
        <f t="shared" si="2"/>
        <v>0</v>
      </c>
      <c r="H22" s="186">
        <f t="shared" si="2"/>
        <v>0</v>
      </c>
      <c r="I22" s="185">
        <f t="shared" si="2"/>
        <v>0</v>
      </c>
      <c r="J22" s="354"/>
      <c r="N22" s="131"/>
      <c r="O22" s="131"/>
      <c r="P22" s="131"/>
      <c r="Q22" s="131"/>
      <c r="R22" s="131"/>
      <c r="S22" s="131"/>
      <c r="T22" s="131"/>
      <c r="AD22" s="270"/>
      <c r="AE22" s="270"/>
      <c r="AF22" s="270"/>
      <c r="AG22" s="270"/>
      <c r="AH22" s="270"/>
    </row>
    <row r="23" spans="2:34" s="239" customFormat="1" x14ac:dyDescent="0.35">
      <c r="B23" s="278"/>
      <c r="C23" s="131"/>
      <c r="D23" s="131"/>
      <c r="E23" s="131"/>
      <c r="F23" s="131"/>
      <c r="G23" s="131"/>
      <c r="H23" s="131"/>
      <c r="I23" s="131"/>
      <c r="N23" s="131"/>
      <c r="O23" s="131"/>
      <c r="P23" s="131"/>
      <c r="Q23" s="131"/>
      <c r="R23" s="131"/>
      <c r="S23" s="131"/>
      <c r="T23" s="131"/>
      <c r="AD23" s="270"/>
      <c r="AE23" s="270"/>
      <c r="AF23" s="270"/>
      <c r="AG23" s="270"/>
      <c r="AH23" s="270"/>
    </row>
    <row r="24" spans="2:34" s="239" customFormat="1" x14ac:dyDescent="0.35">
      <c r="B24" s="375"/>
      <c r="C24" s="275"/>
      <c r="D24" s="353" t="s">
        <v>892</v>
      </c>
      <c r="E24" s="185">
        <f>E22-$D$22</f>
        <v>0</v>
      </c>
      <c r="F24" s="185">
        <f t="shared" ref="F24:I24" si="3">F22-$D$22</f>
        <v>0</v>
      </c>
      <c r="G24" s="185">
        <f t="shared" si="3"/>
        <v>0</v>
      </c>
      <c r="H24" s="185">
        <f t="shared" si="3"/>
        <v>0</v>
      </c>
      <c r="I24" s="185">
        <f t="shared" si="3"/>
        <v>0</v>
      </c>
      <c r="N24" s="131"/>
      <c r="O24" s="131"/>
      <c r="P24" s="131"/>
      <c r="Q24" s="131"/>
      <c r="R24" s="131"/>
      <c r="S24" s="131"/>
      <c r="T24" s="131"/>
      <c r="AD24" s="270"/>
      <c r="AE24" s="270"/>
      <c r="AF24" s="270"/>
      <c r="AG24" s="270"/>
      <c r="AH24" s="270"/>
    </row>
    <row r="25" spans="2:34" s="239" customFormat="1" x14ac:dyDescent="0.35">
      <c r="B25" s="375"/>
      <c r="C25" s="275"/>
      <c r="D25" s="281" t="s">
        <v>931</v>
      </c>
      <c r="E25" s="185">
        <f>E24</f>
        <v>0</v>
      </c>
      <c r="F25" s="187">
        <f>F24-E24</f>
        <v>0</v>
      </c>
      <c r="G25" s="187">
        <f t="shared" ref="G25:I25" si="4">G24-F24</f>
        <v>0</v>
      </c>
      <c r="H25" s="187">
        <f t="shared" si="4"/>
        <v>0</v>
      </c>
      <c r="I25" s="187">
        <f t="shared" si="4"/>
        <v>0</v>
      </c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AD25" s="270"/>
      <c r="AE25" s="270"/>
      <c r="AF25" s="270"/>
      <c r="AG25" s="270"/>
      <c r="AH25" s="270"/>
    </row>
    <row r="27" spans="2:34" x14ac:dyDescent="0.35">
      <c r="J27" s="239"/>
      <c r="K27" s="239"/>
    </row>
    <row r="28" spans="2:34" x14ac:dyDescent="0.35">
      <c r="J28" s="239"/>
      <c r="K28" s="239"/>
    </row>
    <row r="29" spans="2:34" x14ac:dyDescent="0.35">
      <c r="J29" s="239"/>
      <c r="K29" s="239"/>
    </row>
  </sheetData>
  <sheetProtection algorithmName="SHA-512" hashValue="p0dBBIoQ4TcB7PtXP5ZO0yHewQ1n/csB6q4uAhImyu2MrcQ1V57wPCqO4PZqpzpRTIWCv+U28kgbirJA8K05aQ==" saltValue="so4mCoeyLd6kourpHzumY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55"/>
  <sheetViews>
    <sheetView showGridLines="0" zoomScale="80" zoomScaleNormal="80" zoomScaleSheetLayoutView="30" workbookViewId="0">
      <selection activeCell="G2" sqref="G2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545" t="str">
        <f>'Inputs and eligible population'!B1</f>
        <v>Olaparib for treating BRCA mutation-positive HER2-negative advanced breast cancer after chemotherapy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5" customHeight="1" x14ac:dyDescent="0.35">
      <c r="B2" s="210" t="s">
        <v>932</v>
      </c>
      <c r="C2" s="125" t="s">
        <v>790</v>
      </c>
      <c r="D2" s="125" t="s">
        <v>790</v>
      </c>
      <c r="E2" s="501"/>
      <c r="F2" s="125" t="s">
        <v>790</v>
      </c>
      <c r="G2" s="125" t="s">
        <v>790</v>
      </c>
      <c r="H2" s="125" t="s">
        <v>790</v>
      </c>
      <c r="I2" s="125" t="s">
        <v>790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" customHeight="1" x14ac:dyDescent="0.35">
      <c r="B3" s="128" t="s">
        <v>790</v>
      </c>
      <c r="C3" s="131" t="s">
        <v>790</v>
      </c>
      <c r="D3" s="131" t="s">
        <v>790</v>
      </c>
      <c r="F3" s="131" t="s">
        <v>790</v>
      </c>
      <c r="G3" s="131" t="s">
        <v>790</v>
      </c>
      <c r="H3" s="131" t="s">
        <v>790</v>
      </c>
      <c r="I3" s="131" t="s">
        <v>790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5" customHeight="1" x14ac:dyDescent="0.35">
      <c r="B4" t="s">
        <v>933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" customHeight="1" x14ac:dyDescent="0.3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3.5" x14ac:dyDescent="0.35">
      <c r="B6" s="255" t="s">
        <v>884</v>
      </c>
      <c r="C6" s="206"/>
      <c r="D6" s="770" t="s">
        <v>926</v>
      </c>
      <c r="E6" s="253" t="s">
        <v>698</v>
      </c>
      <c r="F6" s="253" t="s">
        <v>699</v>
      </c>
      <c r="G6" s="163" t="s">
        <v>881</v>
      </c>
      <c r="H6" s="163" t="s">
        <v>882</v>
      </c>
      <c r="I6" s="253" t="s">
        <v>883</v>
      </c>
      <c r="L6" s="770" t="s">
        <v>926</v>
      </c>
      <c r="M6" s="253" t="s">
        <v>698</v>
      </c>
      <c r="N6" s="253" t="s">
        <v>699</v>
      </c>
      <c r="O6" s="163" t="s">
        <v>881</v>
      </c>
      <c r="P6" s="163" t="s">
        <v>882</v>
      </c>
      <c r="Q6" s="253" t="s">
        <v>883</v>
      </c>
      <c r="R6" s="131"/>
      <c r="S6" s="131"/>
      <c r="T6" s="131"/>
      <c r="U6" s="131"/>
      <c r="V6" s="131"/>
      <c r="W6" s="131"/>
      <c r="X6" s="131"/>
      <c r="Y6" s="131"/>
      <c r="Z6" s="131"/>
      <c r="AJ6" s="283"/>
      <c r="AK6" s="283"/>
      <c r="AL6" s="283"/>
      <c r="AM6" s="283"/>
      <c r="AN6" s="283"/>
    </row>
    <row r="7" spans="1:40" x14ac:dyDescent="0.35">
      <c r="B7" s="222" t="s">
        <v>884</v>
      </c>
      <c r="C7" s="166"/>
      <c r="D7" s="376">
        <f>'Inputs and eligible population'!F45</f>
        <v>295.50418728148668</v>
      </c>
      <c r="E7" s="376">
        <f>'Inputs and eligible population'!G45</f>
        <v>298.35338176003955</v>
      </c>
      <c r="F7" s="376">
        <f>'Inputs and eligible population'!H45</f>
        <v>301.23004762318192</v>
      </c>
      <c r="G7" s="376">
        <f>'Inputs and eligible population'!I45</f>
        <v>304.1344497447148</v>
      </c>
      <c r="H7" s="376">
        <f>'Inputs and eligible population'!J45</f>
        <v>307.06685555230126</v>
      </c>
      <c r="I7" s="376">
        <f>'Inputs and eligible population'!K45</f>
        <v>310.02753505209057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J7" s="283"/>
      <c r="AK7" s="283"/>
      <c r="AL7" s="283"/>
      <c r="AM7" s="283"/>
      <c r="AN7" s="283"/>
    </row>
    <row r="8" spans="1:40" x14ac:dyDescent="0.35">
      <c r="B8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83"/>
      <c r="AK8" s="283"/>
      <c r="AL8" s="283"/>
      <c r="AM8" s="283"/>
      <c r="AN8" s="283"/>
    </row>
    <row r="9" spans="1:40" x14ac:dyDescent="0.35">
      <c r="B9" s="276" t="s">
        <v>934</v>
      </c>
      <c r="C9" s="436"/>
      <c r="D9" s="436"/>
      <c r="E9" s="437"/>
      <c r="F9" s="436"/>
      <c r="G9" s="438"/>
      <c r="H9" s="439"/>
      <c r="I9" s="571"/>
      <c r="L9" s="698" t="s">
        <v>890</v>
      </c>
      <c r="M9" s="698" t="s">
        <v>890</v>
      </c>
      <c r="N9" s="698" t="s">
        <v>890</v>
      </c>
      <c r="O9" s="698" t="s">
        <v>890</v>
      </c>
      <c r="P9" s="698" t="s">
        <v>890</v>
      </c>
      <c r="Q9" s="698" t="s">
        <v>890</v>
      </c>
      <c r="R9" s="131"/>
      <c r="S9" s="131"/>
      <c r="T9" s="131"/>
      <c r="U9" s="131"/>
      <c r="V9" s="131"/>
      <c r="W9" s="131"/>
      <c r="X9" s="131"/>
      <c r="Y9" s="131"/>
      <c r="Z9" s="131"/>
      <c r="AJ9" s="283"/>
      <c r="AK9" s="283"/>
      <c r="AL9" s="283"/>
      <c r="AM9" s="283"/>
      <c r="AN9" s="283"/>
    </row>
    <row r="10" spans="1:40" hidden="1" x14ac:dyDescent="0.35">
      <c r="A10" s="285"/>
      <c r="B10" s="565" t="str">
        <f>'Capacity (national prices)'!B10</f>
        <v>First attendances - number of appointments</v>
      </c>
      <c r="C10" s="381"/>
      <c r="D10" s="419">
        <f>'Capacity (national prices)'!D10</f>
        <v>0</v>
      </c>
      <c r="E10" s="419">
        <f>'Capacity (national prices)'!E10</f>
        <v>0</v>
      </c>
      <c r="F10" s="419">
        <f>'Capacity (national prices)'!F10</f>
        <v>0</v>
      </c>
      <c r="G10" s="419">
        <f>'Capacity (national prices)'!G10</f>
        <v>0</v>
      </c>
      <c r="H10" s="419">
        <f>'Capacity (national prices)'!H10</f>
        <v>0</v>
      </c>
      <c r="I10" s="419">
        <f>'Capacity (national prices)'!I10</f>
        <v>0</v>
      </c>
      <c r="L10" s="249"/>
      <c r="M10" s="249"/>
      <c r="N10" s="249"/>
      <c r="O10" s="249"/>
      <c r="P10" s="249"/>
      <c r="Q10" s="249"/>
      <c r="R10" s="131"/>
      <c r="S10" s="131"/>
      <c r="T10" s="131"/>
      <c r="U10" s="131"/>
      <c r="V10" s="131"/>
      <c r="W10" s="131"/>
      <c r="X10" s="131"/>
      <c r="Y10" s="131"/>
      <c r="Z10" s="131"/>
      <c r="AJ10" s="283"/>
      <c r="AK10" s="283"/>
      <c r="AL10" s="283"/>
      <c r="AM10" s="283"/>
      <c r="AN10" s="283"/>
    </row>
    <row r="11" spans="1:40" x14ac:dyDescent="0.35">
      <c r="A11" s="285"/>
      <c r="B11" s="565" t="str">
        <f>'Capacity (national prices)'!B11</f>
        <v>Follow up attendances - number of appointments</v>
      </c>
      <c r="C11" s="381"/>
      <c r="D11" s="419">
        <f>'Capacity (national prices)'!D11</f>
        <v>3546.0502473778402</v>
      </c>
      <c r="E11" s="419">
        <f>'Capacity (national prices)'!E11</f>
        <v>3580.2405811204744</v>
      </c>
      <c r="F11" s="419">
        <f>'Capacity (national prices)'!F11</f>
        <v>3614.760571478183</v>
      </c>
      <c r="G11" s="419">
        <f>'Capacity (national prices)'!G11</f>
        <v>3649.6133969365769</v>
      </c>
      <c r="H11" s="419">
        <f>'Capacity (national prices)'!H11</f>
        <v>3684.8022666276147</v>
      </c>
      <c r="I11" s="419">
        <f>'Capacity (national prices)'!I11</f>
        <v>3720.3304206250868</v>
      </c>
      <c r="L11" s="249"/>
      <c r="M11" s="249"/>
      <c r="N11" s="249"/>
      <c r="O11" s="249"/>
      <c r="P11" s="249"/>
      <c r="Q11" s="249"/>
      <c r="R11" s="131"/>
      <c r="S11" s="131"/>
      <c r="T11" s="131"/>
      <c r="U11" s="131"/>
      <c r="V11" s="131"/>
      <c r="W11" s="131"/>
      <c r="X11" s="131"/>
      <c r="Y11" s="131"/>
      <c r="Z11" s="131"/>
      <c r="AJ11" s="283"/>
      <c r="AK11" s="283"/>
      <c r="AL11" s="283"/>
      <c r="AM11" s="283"/>
      <c r="AN11" s="283"/>
    </row>
    <row r="12" spans="1:40" hidden="1" x14ac:dyDescent="0.35">
      <c r="A12" s="285"/>
      <c r="B12" s="565" t="str">
        <f>B29</f>
        <v>First attendances - hours and cost</v>
      </c>
      <c r="C12" s="381"/>
      <c r="D12" s="419">
        <f>D34</f>
        <v>0</v>
      </c>
      <c r="E12" s="419">
        <f t="shared" ref="E12:I12" si="0">E34</f>
        <v>0</v>
      </c>
      <c r="F12" s="419">
        <f t="shared" si="0"/>
        <v>0</v>
      </c>
      <c r="G12" s="419">
        <f t="shared" si="0"/>
        <v>0</v>
      </c>
      <c r="H12" s="419">
        <f t="shared" si="0"/>
        <v>0</v>
      </c>
      <c r="I12" s="419">
        <f t="shared" si="0"/>
        <v>0</v>
      </c>
      <c r="L12" s="289">
        <f>L34</f>
        <v>0</v>
      </c>
      <c r="M12" s="147"/>
      <c r="N12" s="147"/>
      <c r="O12" s="147"/>
      <c r="P12" s="668"/>
      <c r="Q12" s="668"/>
      <c r="R12" s="131"/>
      <c r="S12" s="131"/>
      <c r="T12" s="131"/>
      <c r="U12" s="131"/>
      <c r="V12" s="131"/>
      <c r="W12" s="131"/>
      <c r="X12" s="131"/>
      <c r="Y12" s="131"/>
      <c r="Z12" s="131"/>
      <c r="AJ12" s="283"/>
      <c r="AK12" s="283"/>
      <c r="AL12" s="283"/>
      <c r="AM12" s="283"/>
      <c r="AN12" s="283"/>
    </row>
    <row r="13" spans="1:40" x14ac:dyDescent="0.35">
      <c r="A13" s="285"/>
      <c r="B13" s="565" t="str">
        <f>B37</f>
        <v>Follow up attendances hours and cost</v>
      </c>
      <c r="C13" s="381"/>
      <c r="D13" s="419">
        <f>D42</f>
        <v>886.51256184446004</v>
      </c>
      <c r="E13" s="419">
        <f t="shared" ref="E13:I13" si="1">E42</f>
        <v>895.0601452801186</v>
      </c>
      <c r="F13" s="419">
        <f t="shared" si="1"/>
        <v>903.69014286954575</v>
      </c>
      <c r="G13" s="419">
        <f t="shared" si="1"/>
        <v>912.40334923414423</v>
      </c>
      <c r="H13" s="419">
        <f t="shared" si="1"/>
        <v>921.20056665690367</v>
      </c>
      <c r="I13" s="419">
        <f t="shared" si="1"/>
        <v>930.08260515627171</v>
      </c>
      <c r="L13" s="289">
        <f>L42</f>
        <v>107.33894098812722</v>
      </c>
      <c r="M13" s="289">
        <f t="shared" ref="M13:Q13" si="2">M42</f>
        <v>108.37388239051677</v>
      </c>
      <c r="N13" s="289">
        <f t="shared" si="2"/>
        <v>109.4188024986446</v>
      </c>
      <c r="O13" s="289">
        <f t="shared" si="2"/>
        <v>110.47379752527019</v>
      </c>
      <c r="P13" s="289">
        <f t="shared" si="2"/>
        <v>111.5389646108179</v>
      </c>
      <c r="Q13" s="289">
        <f t="shared" si="2"/>
        <v>112.61440183232138</v>
      </c>
      <c r="R13" s="131"/>
      <c r="S13" s="131"/>
      <c r="T13" s="131"/>
      <c r="U13" s="131"/>
      <c r="V13" s="131"/>
      <c r="W13" s="131"/>
      <c r="X13" s="131"/>
      <c r="Y13" s="131"/>
      <c r="Z13" s="131"/>
      <c r="AJ13" s="283"/>
      <c r="AK13" s="283"/>
      <c r="AL13" s="283"/>
      <c r="AM13" s="283"/>
      <c r="AN13" s="283"/>
    </row>
    <row r="14" spans="1:40" x14ac:dyDescent="0.35">
      <c r="A14" s="292"/>
      <c r="B14" s="442" t="str">
        <f>B46</f>
        <v>Number of administrations</v>
      </c>
      <c r="C14" s="414"/>
      <c r="D14" s="413">
        <f>D50</f>
        <v>2659.5376855333802</v>
      </c>
      <c r="E14" s="413">
        <f t="shared" ref="E14:I14" si="3">E50</f>
        <v>2458.4318657027261</v>
      </c>
      <c r="F14" s="413">
        <f t="shared" si="3"/>
        <v>2918.9191614686324</v>
      </c>
      <c r="G14" s="413">
        <f t="shared" si="3"/>
        <v>2918.1700453005378</v>
      </c>
      <c r="H14" s="413">
        <f t="shared" si="3"/>
        <v>2946.3064790243307</v>
      </c>
      <c r="I14" s="413">
        <f t="shared" si="3"/>
        <v>2974.7141988248086</v>
      </c>
      <c r="L14" s="205"/>
      <c r="M14" s="205"/>
      <c r="N14" s="205"/>
      <c r="O14" s="205"/>
      <c r="P14" s="412"/>
      <c r="Q14" s="412"/>
      <c r="R14" s="131"/>
      <c r="S14" s="131"/>
      <c r="T14" s="131"/>
      <c r="U14" s="131"/>
      <c r="V14" s="131"/>
      <c r="W14" s="131"/>
      <c r="X14" s="131"/>
      <c r="Y14" s="131"/>
      <c r="Z14" s="131"/>
      <c r="AJ14" s="283"/>
      <c r="AK14" s="283"/>
      <c r="AL14" s="283"/>
      <c r="AM14" s="283"/>
      <c r="AN14" s="283"/>
    </row>
    <row r="15" spans="1:40" hidden="1" x14ac:dyDescent="0.35">
      <c r="A15" s="284"/>
      <c r="B15" s="443" t="str">
        <f>B63</f>
        <v>Administrations - duration of administrations (hours)</v>
      </c>
      <c r="C15" s="450"/>
      <c r="D15" s="415">
        <f>D68</f>
        <v>0</v>
      </c>
      <c r="E15" s="415">
        <f t="shared" ref="E15:I15" si="4">E68</f>
        <v>0</v>
      </c>
      <c r="F15" s="415">
        <f t="shared" si="4"/>
        <v>0</v>
      </c>
      <c r="G15" s="415">
        <f t="shared" si="4"/>
        <v>0</v>
      </c>
      <c r="H15" s="415">
        <f t="shared" si="4"/>
        <v>0</v>
      </c>
      <c r="I15" s="415">
        <f t="shared" si="4"/>
        <v>0</v>
      </c>
      <c r="L15" s="289">
        <f>L68</f>
        <v>0</v>
      </c>
      <c r="M15" s="289">
        <f t="shared" ref="M15:Q15" si="5">M68</f>
        <v>0</v>
      </c>
      <c r="N15" s="289">
        <f t="shared" si="5"/>
        <v>0</v>
      </c>
      <c r="O15" s="289">
        <f t="shared" si="5"/>
        <v>0</v>
      </c>
      <c r="P15" s="289">
        <f t="shared" si="5"/>
        <v>0</v>
      </c>
      <c r="Q15" s="289">
        <f t="shared" si="5"/>
        <v>0</v>
      </c>
      <c r="R15" s="131"/>
      <c r="S15" s="131"/>
      <c r="T15" s="131"/>
      <c r="U15" s="131"/>
      <c r="V15" s="131"/>
      <c r="W15" s="131"/>
      <c r="X15" s="131"/>
      <c r="Y15" s="131"/>
      <c r="Z15" s="131"/>
      <c r="AJ15" s="283"/>
      <c r="AK15" s="283"/>
      <c r="AL15" s="283"/>
      <c r="AM15" s="283"/>
      <c r="AN15" s="283"/>
    </row>
    <row r="16" spans="1:40" hidden="1" x14ac:dyDescent="0.35">
      <c r="A16" s="284"/>
      <c r="B16" s="443" t="str">
        <f>B71</f>
        <v>Preparation time before administration (hours)</v>
      </c>
      <c r="C16" s="450"/>
      <c r="D16" s="415">
        <f>D76</f>
        <v>0</v>
      </c>
      <c r="E16" s="415">
        <f t="shared" ref="E16:I16" si="6">E76</f>
        <v>0</v>
      </c>
      <c r="F16" s="415">
        <f t="shared" si="6"/>
        <v>0</v>
      </c>
      <c r="G16" s="415">
        <f t="shared" si="6"/>
        <v>0</v>
      </c>
      <c r="H16" s="415">
        <f t="shared" si="6"/>
        <v>0</v>
      </c>
      <c r="I16" s="415">
        <f t="shared" si="6"/>
        <v>0</v>
      </c>
      <c r="L16" s="289">
        <f>L76</f>
        <v>0</v>
      </c>
      <c r="M16" s="289">
        <f t="shared" ref="M16:Q16" si="7">M76</f>
        <v>0</v>
      </c>
      <c r="N16" s="289">
        <f t="shared" si="7"/>
        <v>0</v>
      </c>
      <c r="O16" s="289">
        <f t="shared" si="7"/>
        <v>0</v>
      </c>
      <c r="P16" s="289">
        <f t="shared" si="7"/>
        <v>0</v>
      </c>
      <c r="Q16" s="289">
        <f t="shared" si="7"/>
        <v>0</v>
      </c>
      <c r="R16" s="131"/>
      <c r="S16" s="131"/>
      <c r="T16" s="131"/>
      <c r="U16" s="131"/>
      <c r="V16" s="131"/>
      <c r="W16" s="131"/>
      <c r="X16" s="131"/>
      <c r="Y16" s="131"/>
      <c r="Z16" s="131"/>
      <c r="AJ16" s="283"/>
      <c r="AK16" s="283"/>
      <c r="AL16" s="283"/>
      <c r="AM16" s="283"/>
      <c r="AN16" s="283"/>
    </row>
    <row r="17" spans="1:40" hidden="1" x14ac:dyDescent="0.35">
      <c r="A17" s="284"/>
      <c r="B17" s="443" t="str">
        <f>B79</f>
        <v>Post administration nursing time (hours)</v>
      </c>
      <c r="C17" s="450"/>
      <c r="D17" s="415">
        <f>D84</f>
        <v>0</v>
      </c>
      <c r="E17" s="416">
        <f t="shared" ref="E17:I17" si="8">E84</f>
        <v>0</v>
      </c>
      <c r="F17" s="415">
        <f t="shared" si="8"/>
        <v>0</v>
      </c>
      <c r="G17" s="415">
        <f t="shared" si="8"/>
        <v>0</v>
      </c>
      <c r="H17" s="415">
        <f t="shared" si="8"/>
        <v>0</v>
      </c>
      <c r="I17" s="415">
        <f t="shared" si="8"/>
        <v>0</v>
      </c>
      <c r="L17" s="289">
        <f>L84</f>
        <v>0</v>
      </c>
      <c r="M17" s="289">
        <f t="shared" ref="M17:Q17" si="9">M84</f>
        <v>0</v>
      </c>
      <c r="N17" s="289">
        <f t="shared" si="9"/>
        <v>0</v>
      </c>
      <c r="O17" s="289">
        <f t="shared" si="9"/>
        <v>0</v>
      </c>
      <c r="P17" s="289">
        <f t="shared" si="9"/>
        <v>0</v>
      </c>
      <c r="Q17" s="289">
        <f t="shared" si="9"/>
        <v>0</v>
      </c>
      <c r="R17" s="131"/>
      <c r="S17" s="131"/>
      <c r="T17" s="131"/>
      <c r="U17" s="131"/>
      <c r="V17" s="131"/>
      <c r="W17" s="131"/>
      <c r="X17" s="131"/>
      <c r="Y17" s="131"/>
      <c r="Z17" s="131"/>
      <c r="AJ17" s="283"/>
      <c r="AK17" s="283"/>
      <c r="AL17" s="283"/>
      <c r="AM17" s="283"/>
      <c r="AN17" s="283"/>
    </row>
    <row r="18" spans="1:40" x14ac:dyDescent="0.35">
      <c r="A18" s="286"/>
      <c r="B18" s="444" t="str">
        <f>B88</f>
        <v>Pharmacy support (hours)</v>
      </c>
      <c r="C18" s="451"/>
      <c r="D18" s="417">
        <f>D93</f>
        <v>110.8140702305575</v>
      </c>
      <c r="E18" s="417">
        <f t="shared" ref="E18:I18" si="10">E93</f>
        <v>102.43466107094692</v>
      </c>
      <c r="F18" s="417">
        <f t="shared" si="10"/>
        <v>121.62163172785969</v>
      </c>
      <c r="G18" s="417">
        <f t="shared" si="10"/>
        <v>121.59041855418909</v>
      </c>
      <c r="H18" s="417">
        <f t="shared" si="10"/>
        <v>122.7627699593471</v>
      </c>
      <c r="I18" s="417">
        <f t="shared" si="10"/>
        <v>123.94642495103371</v>
      </c>
      <c r="L18" s="289">
        <f>L93</f>
        <v>5.1827740646831746</v>
      </c>
      <c r="M18" s="289">
        <f t="shared" ref="M18:Q18" si="11">M93</f>
        <v>4.7908690982881872</v>
      </c>
      <c r="N18" s="289">
        <f t="shared" si="11"/>
        <v>5.6882437159119981</v>
      </c>
      <c r="O18" s="289">
        <f t="shared" si="11"/>
        <v>5.6867838757794242</v>
      </c>
      <c r="P18" s="289">
        <f t="shared" si="11"/>
        <v>5.7416147509986644</v>
      </c>
      <c r="Q18" s="289">
        <f t="shared" si="11"/>
        <v>5.7969742949598464</v>
      </c>
      <c r="R18" s="131"/>
      <c r="S18" s="131"/>
      <c r="T18" s="131"/>
      <c r="U18" s="131"/>
      <c r="V18" s="131"/>
      <c r="W18" s="131"/>
      <c r="X18" s="131"/>
      <c r="Y18" s="131"/>
      <c r="Z18" s="131"/>
      <c r="AJ18" s="283"/>
      <c r="AK18" s="283"/>
      <c r="AL18" s="283"/>
      <c r="AM18" s="283"/>
      <c r="AN18" s="283"/>
    </row>
    <row r="19" spans="1:40" hidden="1" x14ac:dyDescent="0.35">
      <c r="A19" s="326"/>
      <c r="B19" s="446" t="str">
        <f>B97</f>
        <v>Appointments with supporting specialty x</v>
      </c>
      <c r="C19" s="452"/>
      <c r="D19" s="420">
        <f>D102</f>
        <v>0</v>
      </c>
      <c r="E19" s="420">
        <f t="shared" ref="E19:I19" si="12">E102</f>
        <v>0</v>
      </c>
      <c r="F19" s="420">
        <f t="shared" si="12"/>
        <v>0</v>
      </c>
      <c r="G19" s="420">
        <f t="shared" si="12"/>
        <v>0</v>
      </c>
      <c r="H19" s="420">
        <f t="shared" si="12"/>
        <v>0</v>
      </c>
      <c r="I19" s="420">
        <f t="shared" si="12"/>
        <v>0</v>
      </c>
      <c r="L19" s="289">
        <f>L102</f>
        <v>0</v>
      </c>
      <c r="M19" s="289">
        <f t="shared" ref="M19:Q19" si="13">M102</f>
        <v>0</v>
      </c>
      <c r="N19" s="289">
        <f t="shared" si="13"/>
        <v>0</v>
      </c>
      <c r="O19" s="289">
        <f t="shared" si="13"/>
        <v>0</v>
      </c>
      <c r="P19" s="289">
        <f t="shared" si="13"/>
        <v>0</v>
      </c>
      <c r="Q19" s="289">
        <f t="shared" si="13"/>
        <v>0</v>
      </c>
      <c r="R19" s="131"/>
      <c r="S19" s="131"/>
      <c r="T19" s="131"/>
      <c r="U19" s="131"/>
      <c r="V19" s="131"/>
      <c r="W19" s="131"/>
      <c r="X19" s="131"/>
      <c r="Y19" s="131"/>
      <c r="Z19" s="131"/>
      <c r="AJ19" s="283"/>
      <c r="AK19" s="283"/>
      <c r="AL19" s="283"/>
      <c r="AM19" s="283"/>
      <c r="AN19" s="283"/>
    </row>
    <row r="20" spans="1:40" x14ac:dyDescent="0.35">
      <c r="A20" s="287"/>
      <c r="B20" s="447" t="str">
        <f>B106</f>
        <v>Blood monitoring</v>
      </c>
      <c r="C20" s="453"/>
      <c r="D20" s="421">
        <f>D111</f>
        <v>3546.0502473778402</v>
      </c>
      <c r="E20" s="421">
        <f t="shared" ref="E20:I20" si="14">E111</f>
        <v>3580.2405811204744</v>
      </c>
      <c r="F20" s="421">
        <f t="shared" si="14"/>
        <v>3614.760571478183</v>
      </c>
      <c r="G20" s="421">
        <f t="shared" si="14"/>
        <v>3649.6133969365769</v>
      </c>
      <c r="H20" s="421">
        <f t="shared" si="14"/>
        <v>3684.8022666276147</v>
      </c>
      <c r="I20" s="421">
        <f t="shared" si="14"/>
        <v>3720.3304206250868</v>
      </c>
      <c r="L20" s="289">
        <f>L111</f>
        <v>0</v>
      </c>
      <c r="M20" s="289">
        <f t="shared" ref="M20:Q20" si="15">M111</f>
        <v>0</v>
      </c>
      <c r="N20" s="289">
        <f t="shared" si="15"/>
        <v>0</v>
      </c>
      <c r="O20" s="289">
        <f t="shared" si="15"/>
        <v>0</v>
      </c>
      <c r="P20" s="289">
        <f t="shared" si="15"/>
        <v>0</v>
      </c>
      <c r="Q20" s="289">
        <f t="shared" si="15"/>
        <v>0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83"/>
      <c r="AK20" s="283"/>
      <c r="AL20" s="283"/>
      <c r="AM20" s="283"/>
      <c r="AN20" s="283"/>
    </row>
    <row r="21" spans="1:40" hidden="1" x14ac:dyDescent="0.35">
      <c r="A21" s="287"/>
      <c r="B21" s="447" t="str">
        <f>B114</f>
        <v>Liver function tests per person</v>
      </c>
      <c r="C21" s="453"/>
      <c r="D21" s="421">
        <f>D119</f>
        <v>0</v>
      </c>
      <c r="E21" s="421">
        <f t="shared" ref="E21:I21" si="16">E119</f>
        <v>0</v>
      </c>
      <c r="F21" s="421">
        <f t="shared" si="16"/>
        <v>0</v>
      </c>
      <c r="G21" s="421">
        <f t="shared" si="16"/>
        <v>0</v>
      </c>
      <c r="H21" s="421">
        <f t="shared" si="16"/>
        <v>0</v>
      </c>
      <c r="I21" s="421">
        <f t="shared" si="16"/>
        <v>0</v>
      </c>
      <c r="L21" s="289">
        <f>L119</f>
        <v>0</v>
      </c>
      <c r="M21" s="289">
        <f t="shared" ref="M21:Q21" si="17">M119</f>
        <v>0</v>
      </c>
      <c r="N21" s="289">
        <f t="shared" si="17"/>
        <v>0</v>
      </c>
      <c r="O21" s="289">
        <f t="shared" si="17"/>
        <v>0</v>
      </c>
      <c r="P21" s="289">
        <f t="shared" si="17"/>
        <v>0</v>
      </c>
      <c r="Q21" s="289">
        <f t="shared" si="17"/>
        <v>0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83"/>
      <c r="AK21" s="283"/>
      <c r="AL21" s="283"/>
      <c r="AM21" s="283"/>
      <c r="AN21" s="283"/>
    </row>
    <row r="22" spans="1:40" hidden="1" x14ac:dyDescent="0.35">
      <c r="A22" s="287"/>
      <c r="B22" s="447" t="str">
        <f>B122</f>
        <v>Genomic tests</v>
      </c>
      <c r="C22" s="453"/>
      <c r="D22" s="421">
        <f>D127</f>
        <v>0</v>
      </c>
      <c r="E22" s="421">
        <f t="shared" ref="E22:I22" si="18">E127</f>
        <v>0</v>
      </c>
      <c r="F22" s="421">
        <f t="shared" si="18"/>
        <v>0</v>
      </c>
      <c r="G22" s="421">
        <f t="shared" si="18"/>
        <v>0</v>
      </c>
      <c r="H22" s="421">
        <f t="shared" si="18"/>
        <v>0</v>
      </c>
      <c r="I22" s="421">
        <f t="shared" si="18"/>
        <v>0</v>
      </c>
      <c r="L22" s="205"/>
      <c r="M22" s="205"/>
      <c r="N22" s="205"/>
      <c r="O22" s="205"/>
      <c r="P22" s="412"/>
      <c r="Q22" s="412"/>
      <c r="R22" s="131"/>
      <c r="S22" s="131"/>
      <c r="T22" s="131"/>
      <c r="U22" s="131"/>
      <c r="V22" s="131"/>
      <c r="W22" s="131"/>
      <c r="X22" s="131"/>
      <c r="Y22" s="131"/>
      <c r="Z22" s="131"/>
      <c r="AJ22" s="283"/>
      <c r="AK22" s="283"/>
      <c r="AL22" s="283"/>
      <c r="AM22" s="283"/>
      <c r="AN22" s="283"/>
    </row>
    <row r="23" spans="1:40" hidden="1" x14ac:dyDescent="0.35">
      <c r="A23" s="287"/>
      <c r="B23" s="448" t="str">
        <f>B130</f>
        <v>Genomics staffing impact (hours)</v>
      </c>
      <c r="C23" s="432"/>
      <c r="D23" s="421">
        <f>D135</f>
        <v>0</v>
      </c>
      <c r="E23" s="421">
        <f t="shared" ref="E23:I23" si="19">E135</f>
        <v>0</v>
      </c>
      <c r="F23" s="421">
        <f t="shared" si="19"/>
        <v>0</v>
      </c>
      <c r="G23" s="421">
        <f t="shared" si="19"/>
        <v>0</v>
      </c>
      <c r="H23" s="421">
        <f t="shared" si="19"/>
        <v>0</v>
      </c>
      <c r="I23" s="421">
        <f t="shared" si="19"/>
        <v>0</v>
      </c>
      <c r="J23" s="131"/>
      <c r="K23" s="131"/>
      <c r="L23" s="289">
        <f>L135</f>
        <v>0</v>
      </c>
      <c r="M23" s="289">
        <f t="shared" ref="M23:Q23" si="20">M135</f>
        <v>0</v>
      </c>
      <c r="N23" s="289">
        <f t="shared" si="20"/>
        <v>0</v>
      </c>
      <c r="O23" s="289">
        <f t="shared" si="20"/>
        <v>0</v>
      </c>
      <c r="P23" s="289">
        <f t="shared" si="20"/>
        <v>0</v>
      </c>
      <c r="Q23" s="289">
        <f t="shared" si="20"/>
        <v>0</v>
      </c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40" x14ac:dyDescent="0.35">
      <c r="A24" s="288"/>
      <c r="B24" s="449" t="str">
        <f>B139</f>
        <v>Adverse events, various (cases)</v>
      </c>
      <c r="C24" s="427"/>
      <c r="D24" s="422">
        <f>D148</f>
        <v>185.72438170641436</v>
      </c>
      <c r="E24" s="422">
        <f t="shared" ref="E24:I24" si="21">E148</f>
        <v>155.88964196962067</v>
      </c>
      <c r="F24" s="422">
        <f t="shared" si="21"/>
        <v>167.96587455468622</v>
      </c>
      <c r="G24" s="422">
        <f t="shared" si="21"/>
        <v>165.55558771853549</v>
      </c>
      <c r="H24" s="422">
        <f t="shared" si="21"/>
        <v>167.15184281989519</v>
      </c>
      <c r="I24" s="422">
        <f t="shared" si="21"/>
        <v>168.76348870560548</v>
      </c>
      <c r="J24" s="131"/>
      <c r="K24" s="131"/>
      <c r="L24" s="289">
        <f>L148</f>
        <v>58.720755242548897</v>
      </c>
      <c r="M24" s="289">
        <f>M148</f>
        <v>49.431116207826328</v>
      </c>
      <c r="N24" s="289">
        <f t="shared" ref="N24:Q24" si="22">N148</f>
        <v>53.431453496908233</v>
      </c>
      <c r="O24" s="289">
        <f t="shared" si="22"/>
        <v>52.690781134204691</v>
      </c>
      <c r="P24" s="289">
        <f t="shared" si="22"/>
        <v>53.198815501024704</v>
      </c>
      <c r="Q24" s="289">
        <f t="shared" si="22"/>
        <v>53.711748237394652</v>
      </c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40" x14ac:dyDescent="0.35">
      <c r="B25" s="244"/>
      <c r="D25" s="283"/>
      <c r="F25" s="131"/>
      <c r="G25" s="131"/>
      <c r="H25" s="131"/>
      <c r="I25" s="131"/>
      <c r="J25" s="131"/>
      <c r="K25" s="131"/>
      <c r="L25" s="290">
        <f t="shared" ref="L25:Q25" si="23">SUM(L12:L24)</f>
        <v>171.24247029535928</v>
      </c>
      <c r="M25" s="290">
        <f t="shared" si="23"/>
        <v>162.59586769663127</v>
      </c>
      <c r="N25" s="290">
        <f t="shared" si="23"/>
        <v>168.53849971146482</v>
      </c>
      <c r="O25" s="290">
        <f t="shared" si="23"/>
        <v>168.85136253525431</v>
      </c>
      <c r="P25" s="290">
        <f t="shared" si="23"/>
        <v>170.47939486284127</v>
      </c>
      <c r="Q25" s="290">
        <f t="shared" si="23"/>
        <v>172.12312436467587</v>
      </c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40" x14ac:dyDescent="0.35"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P26" s="131"/>
      <c r="Q26" s="131"/>
      <c r="R26" s="131"/>
      <c r="S26" s="131"/>
      <c r="V26" s="131"/>
      <c r="W26" s="131"/>
      <c r="X26" s="131"/>
      <c r="Y26" s="131"/>
      <c r="Z26" s="131"/>
      <c r="AJ26" s="283"/>
      <c r="AK26" s="283"/>
      <c r="AL26" s="283"/>
      <c r="AM26" s="283"/>
      <c r="AN26" s="283"/>
    </row>
    <row r="27" spans="1:40" x14ac:dyDescent="0.35">
      <c r="B27" s="368" t="s">
        <v>935</v>
      </c>
      <c r="C27" s="369"/>
      <c r="D27" s="369"/>
      <c r="E27" s="370"/>
      <c r="F27" s="369"/>
      <c r="G27" s="371"/>
      <c r="H27" s="372"/>
      <c r="I27" s="372"/>
      <c r="J27" s="372"/>
      <c r="K27" s="372"/>
      <c r="L27" s="372"/>
      <c r="M27" s="372"/>
      <c r="N27" s="372"/>
      <c r="O27" s="372"/>
      <c r="P27" s="372"/>
      <c r="Q27" s="373"/>
      <c r="R27" s="131"/>
      <c r="S27" s="131"/>
      <c r="T27" s="131"/>
      <c r="U27" s="131"/>
      <c r="V27" s="131"/>
      <c r="W27" s="131"/>
      <c r="X27" s="131"/>
      <c r="Y27" s="131"/>
      <c r="Z27" s="131"/>
      <c r="AJ27" s="283"/>
      <c r="AK27" s="283"/>
      <c r="AL27" s="283"/>
      <c r="AM27" s="283"/>
      <c r="AN27" s="283"/>
    </row>
    <row r="28" spans="1:40" x14ac:dyDescent="0.35">
      <c r="A28" s="285"/>
      <c r="B28" s="559" t="s">
        <v>748</v>
      </c>
      <c r="C28" s="552"/>
      <c r="D28" s="553"/>
      <c r="E28" s="554"/>
      <c r="F28" s="285"/>
      <c r="G28" s="28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131"/>
      <c r="S28" s="131"/>
      <c r="T28" s="131"/>
      <c r="U28" s="131"/>
      <c r="V28" s="131"/>
      <c r="W28" s="131"/>
      <c r="X28" s="131"/>
      <c r="Y28" s="131"/>
      <c r="Z28" s="131"/>
      <c r="AJ28" s="283"/>
      <c r="AK28" s="283"/>
      <c r="AL28" s="283"/>
      <c r="AM28" s="283"/>
      <c r="AN28" s="283"/>
    </row>
    <row r="29" spans="1:40" hidden="1" x14ac:dyDescent="0.35">
      <c r="A29" s="550"/>
      <c r="B29" s="555" t="s">
        <v>936</v>
      </c>
      <c r="C29" s="391"/>
      <c r="D29" s="391"/>
      <c r="E29" s="391"/>
      <c r="F29" s="391"/>
      <c r="G29" s="391"/>
      <c r="H29" s="391"/>
      <c r="I29" s="214"/>
      <c r="J29" s="215"/>
      <c r="K29" s="215"/>
      <c r="L29" s="215"/>
      <c r="M29" s="215"/>
      <c r="N29" s="215"/>
      <c r="O29" s="215"/>
      <c r="P29" s="215"/>
      <c r="Q29" s="215"/>
      <c r="R29" s="131"/>
      <c r="S29" s="131"/>
      <c r="T29" s="131"/>
      <c r="U29" s="131"/>
      <c r="V29" s="131"/>
      <c r="W29" s="131"/>
      <c r="X29" s="131"/>
      <c r="Y29" s="131"/>
      <c r="Z29" s="131"/>
      <c r="AJ29" s="283"/>
      <c r="AK29" s="283"/>
      <c r="AL29" s="283"/>
      <c r="AM29" s="283"/>
      <c r="AN29" s="283"/>
    </row>
    <row r="30" spans="1:40" ht="43.5" hidden="1" x14ac:dyDescent="0.35">
      <c r="A30" s="550"/>
      <c r="B30" s="315" t="s">
        <v>826</v>
      </c>
      <c r="C30" s="164" t="s">
        <v>937</v>
      </c>
      <c r="D30" s="770" t="s">
        <v>926</v>
      </c>
      <c r="E30" s="253" t="s">
        <v>698</v>
      </c>
      <c r="F30" s="253" t="s">
        <v>699</v>
      </c>
      <c r="G30" s="163" t="s">
        <v>881</v>
      </c>
      <c r="H30" s="163" t="s">
        <v>882</v>
      </c>
      <c r="I30" s="253" t="s">
        <v>883</v>
      </c>
      <c r="J30" s="558"/>
      <c r="K30" s="549" t="s">
        <v>938</v>
      </c>
      <c r="L30" s="770" t="s">
        <v>926</v>
      </c>
      <c r="M30" s="534" t="s">
        <v>698</v>
      </c>
      <c r="N30" s="534" t="s">
        <v>699</v>
      </c>
      <c r="O30" s="418" t="s">
        <v>881</v>
      </c>
      <c r="P30" s="418" t="s">
        <v>882</v>
      </c>
      <c r="Q30" s="534" t="s">
        <v>883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83"/>
      <c r="AK30" s="283"/>
      <c r="AL30" s="283"/>
      <c r="AM30" s="283"/>
      <c r="AN30" s="283"/>
    </row>
    <row r="31" spans="1:40" hidden="1" x14ac:dyDescent="0.35">
      <c r="A31" s="550"/>
      <c r="B31" s="345" t="s">
        <v>736</v>
      </c>
      <c r="C31" s="147">
        <f>'Inputs and eligible population'!F79</f>
        <v>0</v>
      </c>
      <c r="D31" s="126">
        <f>'Financial impact (cash)'!D13*$C$31*'Inputs and eligible population'!$F$80/60</f>
        <v>0</v>
      </c>
      <c r="E31" s="126">
        <f>'Financial impact (cash)'!E13*$C$31*'Inputs and eligible population'!$F$80/60</f>
        <v>0</v>
      </c>
      <c r="F31" s="126">
        <f>'Financial impact (cash)'!F13*$C$31*'Inputs and eligible population'!$F$80/60</f>
        <v>0</v>
      </c>
      <c r="G31" s="126">
        <f>'Financial impact (cash)'!G13*$C$31*'Inputs and eligible population'!$F$80/60</f>
        <v>0</v>
      </c>
      <c r="H31" s="126">
        <f>'Financial impact (cash)'!H13*$C$31*'Inputs and eligible population'!$F$80/60</f>
        <v>0</v>
      </c>
      <c r="I31" s="126">
        <f>'Financial impact (cash)'!I13*$C$31*'Inputs and eligible population'!$F$80/60</f>
        <v>0</v>
      </c>
      <c r="J31" s="558"/>
      <c r="K31" s="564">
        <f>'Inputs and eligible population'!K80</f>
        <v>121.08</v>
      </c>
      <c r="L31" s="566">
        <f>$K31/1000*D31</f>
        <v>0</v>
      </c>
      <c r="M31" s="566">
        <f t="shared" ref="M31:Q33" si="24">$K31/1000*E31</f>
        <v>0</v>
      </c>
      <c r="N31" s="566">
        <f t="shared" si="24"/>
        <v>0</v>
      </c>
      <c r="O31" s="566">
        <f t="shared" si="24"/>
        <v>0</v>
      </c>
      <c r="P31" s="566">
        <f t="shared" si="24"/>
        <v>0</v>
      </c>
      <c r="Q31" s="566">
        <f t="shared" si="24"/>
        <v>0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83"/>
      <c r="AK31" s="283"/>
      <c r="AL31" s="283"/>
      <c r="AM31" s="283"/>
      <c r="AN31" s="283"/>
    </row>
    <row r="32" spans="1:40" hidden="1" x14ac:dyDescent="0.35">
      <c r="A32" s="550"/>
      <c r="B32" s="345" t="s">
        <v>737</v>
      </c>
      <c r="C32" s="147">
        <f>'Inputs and eligible population'!G79</f>
        <v>0</v>
      </c>
      <c r="D32" s="126">
        <f>'Financial impact (cash)'!D14*$C$32*'Inputs and eligible population'!$G$80/60</f>
        <v>0</v>
      </c>
      <c r="E32" s="126">
        <f>'Financial impact (cash)'!E14*$C$32*'Inputs and eligible population'!$G$80/60</f>
        <v>0</v>
      </c>
      <c r="F32" s="126">
        <f>'Financial impact (cash)'!F14*$C$32*'Inputs and eligible population'!$G$80/60</f>
        <v>0</v>
      </c>
      <c r="G32" s="126">
        <f>'Financial impact (cash)'!G14*$C$32*'Inputs and eligible population'!$G$80/60</f>
        <v>0</v>
      </c>
      <c r="H32" s="126">
        <f>'Financial impact (cash)'!H14*$C$32*'Inputs and eligible population'!$G$80/60</f>
        <v>0</v>
      </c>
      <c r="I32" s="126">
        <f>'Financial impact (cash)'!I14*$C$32*'Inputs and eligible population'!$G$80/60</f>
        <v>0</v>
      </c>
      <c r="J32" s="558"/>
      <c r="K32" s="564">
        <f>'Inputs and eligible population'!K80</f>
        <v>121.08</v>
      </c>
      <c r="L32" s="566">
        <f t="shared" ref="L32:L33" si="25">$K32/1000*D32</f>
        <v>0</v>
      </c>
      <c r="M32" s="566">
        <f t="shared" si="24"/>
        <v>0</v>
      </c>
      <c r="N32" s="566">
        <f t="shared" si="24"/>
        <v>0</v>
      </c>
      <c r="O32" s="566">
        <f t="shared" si="24"/>
        <v>0</v>
      </c>
      <c r="P32" s="566">
        <f t="shared" si="24"/>
        <v>0</v>
      </c>
      <c r="Q32" s="566">
        <f t="shared" si="24"/>
        <v>0</v>
      </c>
      <c r="R32" s="131"/>
      <c r="S32" s="131"/>
      <c r="T32" s="131"/>
      <c r="U32" s="131"/>
      <c r="V32" s="131"/>
      <c r="W32" s="131"/>
      <c r="X32" s="131"/>
      <c r="Y32" s="131"/>
      <c r="Z32" s="131"/>
      <c r="AJ32" s="283"/>
      <c r="AK32" s="283"/>
      <c r="AL32" s="283"/>
      <c r="AM32" s="283"/>
      <c r="AN32" s="283"/>
    </row>
    <row r="33" spans="1:40" hidden="1" x14ac:dyDescent="0.35">
      <c r="A33" s="550"/>
      <c r="B33" s="345" t="s">
        <v>738</v>
      </c>
      <c r="C33" s="147">
        <f>'Inputs and eligible population'!H79</f>
        <v>0</v>
      </c>
      <c r="D33" s="126">
        <f>'Financial impact (cash)'!D15*$C$33*'Inputs and eligible population'!$H$80/60</f>
        <v>0</v>
      </c>
      <c r="E33" s="126">
        <f>'Financial impact (cash)'!E15*$C$33*'Inputs and eligible population'!$H$80/60</f>
        <v>0</v>
      </c>
      <c r="F33" s="126">
        <f>'Financial impact (cash)'!F15*$C$33*'Inputs and eligible population'!$H$80/60</f>
        <v>0</v>
      </c>
      <c r="G33" s="126">
        <f>'Financial impact (cash)'!G15*$C$33*'Inputs and eligible population'!$H$80/60</f>
        <v>0</v>
      </c>
      <c r="H33" s="126">
        <f>'Financial impact (cash)'!H15*$C$33*'Inputs and eligible population'!$H$80/60</f>
        <v>0</v>
      </c>
      <c r="I33" s="126">
        <f>'Financial impact (cash)'!I15*$C$33*'Inputs and eligible population'!$H$80/60</f>
        <v>0</v>
      </c>
      <c r="J33" s="558"/>
      <c r="K33" s="564">
        <f>'Inputs and eligible population'!K80</f>
        <v>121.08</v>
      </c>
      <c r="L33" s="566">
        <f t="shared" si="25"/>
        <v>0</v>
      </c>
      <c r="M33" s="566">
        <f t="shared" si="24"/>
        <v>0</v>
      </c>
      <c r="N33" s="566">
        <f t="shared" si="24"/>
        <v>0</v>
      </c>
      <c r="O33" s="566">
        <f t="shared" si="24"/>
        <v>0</v>
      </c>
      <c r="P33" s="566">
        <f t="shared" si="24"/>
        <v>0</v>
      </c>
      <c r="Q33" s="566">
        <f t="shared" si="24"/>
        <v>0</v>
      </c>
      <c r="R33" s="131"/>
      <c r="S33" s="131"/>
      <c r="T33" s="131"/>
      <c r="U33" s="131"/>
      <c r="V33" s="131"/>
      <c r="W33" s="131"/>
      <c r="X33" s="131"/>
      <c r="Y33" s="131"/>
      <c r="Z33" s="131"/>
      <c r="AJ33" s="283"/>
      <c r="AK33" s="283"/>
      <c r="AL33" s="283"/>
      <c r="AM33" s="283"/>
      <c r="AN33" s="283"/>
    </row>
    <row r="34" spans="1:40" hidden="1" x14ac:dyDescent="0.35">
      <c r="A34" s="550"/>
      <c r="B34" s="524"/>
      <c r="C34" s="280"/>
      <c r="D34" s="184">
        <f>SUM(D31:D33)</f>
        <v>0</v>
      </c>
      <c r="E34" s="184">
        <f t="shared" ref="E34:I34" si="26">SUM(E31:E33)</f>
        <v>0</v>
      </c>
      <c r="F34" s="184">
        <f t="shared" si="26"/>
        <v>0</v>
      </c>
      <c r="G34" s="184">
        <f t="shared" si="26"/>
        <v>0</v>
      </c>
      <c r="H34" s="184">
        <f t="shared" si="26"/>
        <v>0</v>
      </c>
      <c r="I34" s="184">
        <f t="shared" si="26"/>
        <v>0</v>
      </c>
      <c r="J34" s="558"/>
      <c r="K34" s="215"/>
      <c r="L34" s="290">
        <f>SUM(L31:L33)</f>
        <v>0</v>
      </c>
      <c r="M34" s="290">
        <f t="shared" ref="M34:Q34" si="27">SUM(M31:M33)</f>
        <v>0</v>
      </c>
      <c r="N34" s="290">
        <f t="shared" si="27"/>
        <v>0</v>
      </c>
      <c r="O34" s="290">
        <f t="shared" si="27"/>
        <v>0</v>
      </c>
      <c r="P34" s="290">
        <f t="shared" si="27"/>
        <v>0</v>
      </c>
      <c r="Q34" s="290">
        <f t="shared" si="27"/>
        <v>0</v>
      </c>
      <c r="R34" s="131"/>
      <c r="S34" s="131"/>
      <c r="T34" s="131"/>
      <c r="U34" s="131"/>
      <c r="V34" s="131"/>
      <c r="W34" s="131"/>
      <c r="X34" s="131"/>
      <c r="Y34" s="131"/>
      <c r="Z34" s="131"/>
      <c r="AJ34" s="283"/>
      <c r="AK34" s="283"/>
      <c r="AL34" s="283"/>
      <c r="AM34" s="283"/>
      <c r="AN34" s="283"/>
    </row>
    <row r="35" spans="1:40" hidden="1" x14ac:dyDescent="0.35">
      <c r="A35" s="550"/>
      <c r="B35" s="254"/>
      <c r="C35" s="254"/>
      <c r="D35" s="282" t="s">
        <v>939</v>
      </c>
      <c r="E35" s="184">
        <f>E34-$D$34</f>
        <v>0</v>
      </c>
      <c r="F35" s="184">
        <f>F34-$D$34</f>
        <v>0</v>
      </c>
      <c r="G35" s="184">
        <f>G34-$D$34</f>
        <v>0</v>
      </c>
      <c r="H35" s="184">
        <f>H34-$D$34</f>
        <v>0</v>
      </c>
      <c r="I35" s="184">
        <f>I34-$D$34</f>
        <v>0</v>
      </c>
      <c r="J35" s="558"/>
      <c r="K35" s="215"/>
      <c r="L35" s="215"/>
      <c r="M35" s="290">
        <f>M34-$L34</f>
        <v>0</v>
      </c>
      <c r="N35" s="290">
        <f t="shared" ref="N35:Q35" si="28">N34-$L34</f>
        <v>0</v>
      </c>
      <c r="O35" s="290">
        <f t="shared" si="28"/>
        <v>0</v>
      </c>
      <c r="P35" s="290">
        <f t="shared" si="28"/>
        <v>0</v>
      </c>
      <c r="Q35" s="290">
        <f t="shared" si="28"/>
        <v>0</v>
      </c>
      <c r="R35" s="131"/>
      <c r="S35" s="131"/>
      <c r="T35" s="131"/>
      <c r="U35" s="131"/>
      <c r="V35" s="131"/>
      <c r="W35" s="131"/>
      <c r="X35" s="131"/>
      <c r="Y35" s="131"/>
      <c r="Z35" s="131"/>
      <c r="AJ35" s="283"/>
      <c r="AK35" s="283"/>
      <c r="AL35" s="283"/>
      <c r="AM35" s="283"/>
      <c r="AN35" s="283"/>
    </row>
    <row r="36" spans="1:40" hidden="1" x14ac:dyDescent="0.35">
      <c r="A36" s="285"/>
      <c r="B36" s="551"/>
      <c r="C36" s="552"/>
      <c r="D36" s="553"/>
      <c r="E36" s="554"/>
      <c r="F36" s="285"/>
      <c r="G36" s="285"/>
      <c r="H36" s="285"/>
      <c r="I36" s="306"/>
      <c r="J36" s="215"/>
      <c r="K36" s="215"/>
      <c r="L36" s="215"/>
      <c r="M36" s="215"/>
      <c r="N36" s="215"/>
      <c r="O36" s="215"/>
      <c r="P36" s="215"/>
      <c r="Q36" s="215"/>
      <c r="R36" s="131"/>
      <c r="S36" s="131"/>
      <c r="T36" s="131"/>
      <c r="U36" s="131"/>
      <c r="V36" s="131"/>
      <c r="W36" s="131"/>
      <c r="X36" s="131"/>
      <c r="Y36" s="131"/>
      <c r="Z36" s="131"/>
      <c r="AJ36" s="283"/>
      <c r="AK36" s="283"/>
      <c r="AL36" s="283"/>
      <c r="AM36" s="283"/>
      <c r="AN36" s="283"/>
    </row>
    <row r="37" spans="1:40" x14ac:dyDescent="0.35">
      <c r="A37" s="285"/>
      <c r="B37" s="390" t="s">
        <v>940</v>
      </c>
      <c r="C37" s="391"/>
      <c r="D37" s="391"/>
      <c r="E37" s="391"/>
      <c r="F37" s="391"/>
      <c r="G37" s="391"/>
      <c r="H37" s="391"/>
      <c r="I37" s="214"/>
      <c r="J37" s="215"/>
      <c r="K37" s="215"/>
      <c r="L37" s="215"/>
      <c r="M37" s="215"/>
      <c r="N37" s="215"/>
      <c r="O37" s="215"/>
      <c r="P37" s="215"/>
      <c r="Q37" s="215"/>
      <c r="R37" s="131"/>
      <c r="S37" s="131"/>
      <c r="T37" s="131"/>
      <c r="U37" s="131"/>
      <c r="V37" s="131"/>
      <c r="W37" s="131"/>
      <c r="X37" s="131"/>
      <c r="Y37" s="131"/>
      <c r="Z37" s="131"/>
      <c r="AJ37" s="283"/>
      <c r="AK37" s="283"/>
      <c r="AL37" s="283"/>
      <c r="AM37" s="283"/>
      <c r="AN37" s="283"/>
    </row>
    <row r="38" spans="1:40" ht="43.5" x14ac:dyDescent="0.35">
      <c r="A38" s="285"/>
      <c r="B38" s="279" t="s">
        <v>826</v>
      </c>
      <c r="C38" s="164" t="s">
        <v>937</v>
      </c>
      <c r="D38" s="770" t="s">
        <v>926</v>
      </c>
      <c r="E38" s="253" t="s">
        <v>698</v>
      </c>
      <c r="F38" s="253" t="s">
        <v>699</v>
      </c>
      <c r="G38" s="163" t="s">
        <v>881</v>
      </c>
      <c r="H38" s="163" t="s">
        <v>882</v>
      </c>
      <c r="I38" s="253" t="s">
        <v>883</v>
      </c>
      <c r="J38" s="215"/>
      <c r="K38" s="549" t="s">
        <v>938</v>
      </c>
      <c r="L38" s="770" t="s">
        <v>926</v>
      </c>
      <c r="M38" s="534" t="s">
        <v>698</v>
      </c>
      <c r="N38" s="534" t="s">
        <v>699</v>
      </c>
      <c r="O38" s="418" t="s">
        <v>881</v>
      </c>
      <c r="P38" s="418" t="s">
        <v>882</v>
      </c>
      <c r="Q38" s="534" t="s">
        <v>883</v>
      </c>
      <c r="R38" s="131"/>
      <c r="S38" s="131"/>
      <c r="T38" s="131"/>
      <c r="U38" s="131"/>
      <c r="V38" s="131"/>
      <c r="W38" s="131"/>
      <c r="X38" s="131"/>
      <c r="Y38" s="131"/>
      <c r="Z38" s="131"/>
      <c r="AJ38" s="283"/>
      <c r="AK38" s="283"/>
      <c r="AL38" s="283"/>
      <c r="AM38" s="283"/>
      <c r="AN38" s="283"/>
    </row>
    <row r="39" spans="1:40" x14ac:dyDescent="0.35">
      <c r="A39" s="285"/>
      <c r="B39" s="345" t="s">
        <v>736</v>
      </c>
      <c r="C39" s="147">
        <f>'Inputs and eligible population'!F81</f>
        <v>12</v>
      </c>
      <c r="D39" s="126">
        <f>'Financial impact (cash)'!D13*$C$39*'Inputs and eligible population'!$F$82/60</f>
        <v>0</v>
      </c>
      <c r="E39" s="126">
        <f>'Financial impact (cash)'!E13*$C$39*'Inputs and eligible population'!$F$82/60</f>
        <v>179.01202905602375</v>
      </c>
      <c r="F39" s="126">
        <f>'Financial impact (cash)'!F13*$C$39*'Inputs and eligible population'!$F$82/60</f>
        <v>406.6605642912956</v>
      </c>
      <c r="G39" s="126">
        <f>'Financial impact (cash)'!G13*$C$39*'Inputs and eligible population'!$F$82/60</f>
        <v>433.39159088621852</v>
      </c>
      <c r="H39" s="126">
        <f>'Financial impact (cash)'!H13*$C$39*'Inputs and eligible population'!$F$82/60</f>
        <v>437.57026916202926</v>
      </c>
      <c r="I39" s="126">
        <f>'Financial impact (cash)'!I13*$C$39*'Inputs and eligible population'!$F$82/60</f>
        <v>441.78923744922906</v>
      </c>
      <c r="J39" s="215"/>
      <c r="K39" s="564">
        <f>'Inputs and eligible population'!K82</f>
        <v>121.08</v>
      </c>
      <c r="L39" s="566">
        <f>$K39/1000*D39</f>
        <v>0</v>
      </c>
      <c r="M39" s="566">
        <f t="shared" ref="M39:M41" si="29">$K39/1000*E39</f>
        <v>21.674776478103354</v>
      </c>
      <c r="N39" s="566">
        <f t="shared" ref="N39:N41" si="30">$K39/1000*F39</f>
        <v>49.238461124390071</v>
      </c>
      <c r="O39" s="566">
        <f t="shared" ref="O39:O41" si="31">$K39/1000*G39</f>
        <v>52.475053824503334</v>
      </c>
      <c r="P39" s="566">
        <f t="shared" ref="P39:P41" si="32">$K39/1000*H39</f>
        <v>52.981008190138503</v>
      </c>
      <c r="Q39" s="566">
        <f t="shared" ref="Q39:Q41" si="33">$K39/1000*I39</f>
        <v>53.491840870352654</v>
      </c>
      <c r="R39" s="131"/>
      <c r="S39" s="131"/>
      <c r="T39" s="131"/>
      <c r="U39" s="131"/>
      <c r="V39" s="131"/>
      <c r="W39" s="131"/>
      <c r="X39" s="131"/>
      <c r="Y39" s="131"/>
      <c r="Z39" s="131"/>
      <c r="AJ39" s="283"/>
      <c r="AK39" s="283"/>
      <c r="AL39" s="283"/>
      <c r="AM39" s="283"/>
      <c r="AN39" s="283"/>
    </row>
    <row r="40" spans="1:40" x14ac:dyDescent="0.35">
      <c r="A40" s="285"/>
      <c r="B40" s="345" t="s">
        <v>737</v>
      </c>
      <c r="C40" s="147">
        <f>'Inputs and eligible population'!G81</f>
        <v>12</v>
      </c>
      <c r="D40" s="126">
        <f>'Financial impact (cash)'!D14*$C$40*'Inputs and eligible population'!$G$82/60</f>
        <v>664.88442138334506</v>
      </c>
      <c r="E40" s="126">
        <f>'Financial impact (cash)'!E14*$C$40*'Inputs and eligible population'!$G$82/60</f>
        <v>492.28307990406523</v>
      </c>
      <c r="F40" s="126">
        <f>'Financial impact (cash)'!F14*$C$40*'Inputs and eligible population'!$G$82/60</f>
        <v>451.84507143477288</v>
      </c>
      <c r="G40" s="126">
        <f>'Financial impact (cash)'!G14*$C$40*'Inputs and eligible population'!$G$82/60</f>
        <v>433.39159088621852</v>
      </c>
      <c r="H40" s="126">
        <f>'Financial impact (cash)'!H14*$C$40*'Inputs and eligible population'!$G$82/60</f>
        <v>437.57026916202926</v>
      </c>
      <c r="I40" s="126">
        <f>'Financial impact (cash)'!I14*$C$40*'Inputs and eligible population'!$G$82/60</f>
        <v>441.78923744922906</v>
      </c>
      <c r="J40" s="215"/>
      <c r="K40" s="564">
        <f>'Inputs and eligible population'!K82</f>
        <v>121.08</v>
      </c>
      <c r="L40" s="566">
        <f t="shared" ref="L40:L41" si="34">$K40/1000*D40</f>
        <v>80.504205741095419</v>
      </c>
      <c r="M40" s="566">
        <f t="shared" si="29"/>
        <v>59.605635314784216</v>
      </c>
      <c r="N40" s="566">
        <f t="shared" si="30"/>
        <v>54.709401249322298</v>
      </c>
      <c r="O40" s="566">
        <f t="shared" si="31"/>
        <v>52.475053824503334</v>
      </c>
      <c r="P40" s="566">
        <f t="shared" si="32"/>
        <v>52.981008190138503</v>
      </c>
      <c r="Q40" s="566">
        <f t="shared" si="33"/>
        <v>53.491840870352654</v>
      </c>
      <c r="R40" s="131"/>
      <c r="S40" s="131"/>
      <c r="T40" s="131"/>
      <c r="U40" s="131"/>
      <c r="V40" s="131"/>
      <c r="W40" s="131"/>
      <c r="X40" s="131"/>
      <c r="Y40" s="131"/>
      <c r="Z40" s="131"/>
      <c r="AJ40" s="283"/>
      <c r="AK40" s="283"/>
      <c r="AL40" s="283"/>
      <c r="AM40" s="283"/>
      <c r="AN40" s="283"/>
    </row>
    <row r="41" spans="1:40" x14ac:dyDescent="0.35">
      <c r="A41" s="285"/>
      <c r="B41" s="345" t="s">
        <v>738</v>
      </c>
      <c r="C41" s="147">
        <f>'Inputs and eligible population'!H81</f>
        <v>12</v>
      </c>
      <c r="D41" s="126">
        <f>'Financial impact (cash)'!D15*$C$41*'Inputs and eligible population'!$H$82/60</f>
        <v>221.62814046111501</v>
      </c>
      <c r="E41" s="126">
        <f>'Financial impact (cash)'!E15*$C$41*'Inputs and eligible population'!$H$82/60</f>
        <v>223.76503632002965</v>
      </c>
      <c r="F41" s="126">
        <f>'Financial impact (cash)'!F15*$C$41*'Inputs and eligible population'!$H$82/60</f>
        <v>45.18450714347729</v>
      </c>
      <c r="G41" s="126">
        <f>'Financial impact (cash)'!G15*$C$41*'Inputs and eligible population'!$H$82/60</f>
        <v>45.620167461707226</v>
      </c>
      <c r="H41" s="126">
        <f>'Financial impact (cash)'!H15*$C$41*'Inputs and eligible population'!$H$82/60</f>
        <v>46.060028332845192</v>
      </c>
      <c r="I41" s="126">
        <f>'Financial impact (cash)'!I15*$C$41*'Inputs and eligible population'!$H$82/60</f>
        <v>46.504130257813586</v>
      </c>
      <c r="J41" s="215"/>
      <c r="K41" s="564">
        <f>'Inputs and eligible population'!K82</f>
        <v>121.08</v>
      </c>
      <c r="L41" s="566">
        <f t="shared" si="34"/>
        <v>26.834735247031805</v>
      </c>
      <c r="M41" s="566">
        <f t="shared" si="29"/>
        <v>27.093470597629189</v>
      </c>
      <c r="N41" s="566">
        <f t="shared" si="30"/>
        <v>5.4709401249322296</v>
      </c>
      <c r="O41" s="566">
        <f t="shared" si="31"/>
        <v>5.5236898762635107</v>
      </c>
      <c r="P41" s="566">
        <f t="shared" si="32"/>
        <v>5.5769482305408955</v>
      </c>
      <c r="Q41" s="566">
        <f t="shared" si="33"/>
        <v>5.6307200916160687</v>
      </c>
      <c r="R41" s="131"/>
      <c r="S41" s="131"/>
      <c r="T41" s="131"/>
      <c r="U41" s="131"/>
      <c r="V41" s="131"/>
      <c r="W41" s="131"/>
      <c r="X41" s="131"/>
      <c r="Y41" s="131"/>
      <c r="Z41" s="131"/>
      <c r="AJ41" s="283"/>
      <c r="AK41" s="283"/>
      <c r="AL41" s="283"/>
      <c r="AM41" s="283"/>
      <c r="AN41" s="283"/>
    </row>
    <row r="42" spans="1:40" x14ac:dyDescent="0.35">
      <c r="A42" s="550"/>
      <c r="B42" s="524"/>
      <c r="C42" s="280"/>
      <c r="D42" s="184">
        <f>SUM(D39:D41)</f>
        <v>886.51256184446004</v>
      </c>
      <c r="E42" s="184">
        <f t="shared" ref="E42" si="35">SUM(E39:E41)</f>
        <v>895.0601452801186</v>
      </c>
      <c r="F42" s="184">
        <f t="shared" ref="F42" si="36">SUM(F39:F41)</f>
        <v>903.69014286954575</v>
      </c>
      <c r="G42" s="184">
        <f t="shared" ref="G42" si="37">SUM(G39:G41)</f>
        <v>912.40334923414423</v>
      </c>
      <c r="H42" s="184">
        <f t="shared" ref="H42" si="38">SUM(H39:H41)</f>
        <v>921.20056665690367</v>
      </c>
      <c r="I42" s="184">
        <f t="shared" ref="I42" si="39">SUM(I39:I41)</f>
        <v>930.08260515627171</v>
      </c>
      <c r="J42" s="558"/>
      <c r="K42" s="215"/>
      <c r="L42" s="290">
        <f>SUM(L39:L41)</f>
        <v>107.33894098812722</v>
      </c>
      <c r="M42" s="290">
        <f t="shared" ref="M42" si="40">SUM(M39:M41)</f>
        <v>108.37388239051677</v>
      </c>
      <c r="N42" s="290">
        <f t="shared" ref="N42" si="41">SUM(N39:N41)</f>
        <v>109.4188024986446</v>
      </c>
      <c r="O42" s="290">
        <f t="shared" ref="O42" si="42">SUM(O39:O41)</f>
        <v>110.47379752527019</v>
      </c>
      <c r="P42" s="290">
        <f t="shared" ref="P42" si="43">SUM(P39:P41)</f>
        <v>111.5389646108179</v>
      </c>
      <c r="Q42" s="290">
        <f t="shared" ref="Q42" si="44">SUM(Q39:Q41)</f>
        <v>112.61440183232138</v>
      </c>
      <c r="R42" s="131"/>
      <c r="S42" s="131"/>
      <c r="T42" s="131"/>
      <c r="U42" s="131"/>
      <c r="V42" s="131"/>
      <c r="W42" s="131"/>
      <c r="X42" s="131"/>
      <c r="Y42" s="131"/>
      <c r="Z42" s="131"/>
      <c r="AJ42" s="283"/>
      <c r="AK42" s="283"/>
      <c r="AL42" s="283"/>
      <c r="AM42" s="283"/>
      <c r="AN42" s="283"/>
    </row>
    <row r="43" spans="1:40" x14ac:dyDescent="0.35">
      <c r="A43" s="550"/>
      <c r="B43" s="254"/>
      <c r="C43" s="254"/>
      <c r="D43" s="282" t="s">
        <v>939</v>
      </c>
      <c r="E43" s="184">
        <f>E42-$D$42</f>
        <v>8.5475834356585665</v>
      </c>
      <c r="F43" s="184">
        <f t="shared" ref="F43:I43" si="45">F42-$D$42</f>
        <v>17.177581025085715</v>
      </c>
      <c r="G43" s="184">
        <f t="shared" si="45"/>
        <v>25.890787389684192</v>
      </c>
      <c r="H43" s="184">
        <f t="shared" si="45"/>
        <v>34.688004812443637</v>
      </c>
      <c r="I43" s="184">
        <f t="shared" si="45"/>
        <v>43.570043311811673</v>
      </c>
      <c r="J43" s="558"/>
      <c r="K43" s="215"/>
      <c r="L43" s="215"/>
      <c r="M43" s="290">
        <f>M42-$L42</f>
        <v>1.0349414023895491</v>
      </c>
      <c r="N43" s="290">
        <f t="shared" ref="N43:Q43" si="46">N42-$L42</f>
        <v>2.0798615105173752</v>
      </c>
      <c r="O43" s="290">
        <f t="shared" si="46"/>
        <v>3.1348565371429657</v>
      </c>
      <c r="P43" s="290">
        <f t="shared" si="46"/>
        <v>4.2000236226906793</v>
      </c>
      <c r="Q43" s="290">
        <f t="shared" si="46"/>
        <v>5.2754608441941571</v>
      </c>
      <c r="R43" s="131"/>
      <c r="S43" s="131"/>
      <c r="T43" s="131"/>
      <c r="U43" s="131"/>
      <c r="V43" s="131"/>
      <c r="W43" s="131"/>
      <c r="X43" s="131"/>
      <c r="Y43" s="131"/>
      <c r="Z43" s="131"/>
      <c r="AJ43" s="283"/>
      <c r="AK43" s="283"/>
      <c r="AL43" s="283"/>
      <c r="AM43" s="283"/>
      <c r="AN43" s="283"/>
    </row>
    <row r="44" spans="1:40" x14ac:dyDescent="0.35">
      <c r="A44" s="285"/>
      <c r="B44" s="551"/>
      <c r="C44" s="552"/>
      <c r="D44" s="553"/>
      <c r="E44" s="554"/>
      <c r="F44" s="285"/>
      <c r="G44" s="285"/>
      <c r="H44" s="285"/>
      <c r="I44" s="285"/>
      <c r="J44" s="215"/>
      <c r="K44" s="215"/>
      <c r="L44" s="215"/>
      <c r="M44" s="215"/>
      <c r="N44" s="215"/>
      <c r="O44" s="215"/>
      <c r="P44" s="215"/>
      <c r="Q44" s="215"/>
      <c r="R44" s="131"/>
      <c r="S44" s="131"/>
      <c r="T44" s="131"/>
      <c r="U44" s="131"/>
      <c r="V44" s="131"/>
      <c r="W44" s="131"/>
      <c r="X44" s="131"/>
      <c r="Y44" s="131"/>
      <c r="Z44" s="131"/>
      <c r="AJ44" s="283"/>
      <c r="AK44" s="283"/>
      <c r="AL44" s="283"/>
      <c r="AM44" s="283"/>
      <c r="AN44" s="283"/>
    </row>
    <row r="45" spans="1:40" x14ac:dyDescent="0.35">
      <c r="A45" s="292"/>
      <c r="B45" s="317" t="s">
        <v>941</v>
      </c>
      <c r="C45" s="293"/>
      <c r="D45" s="293"/>
      <c r="E45" s="294"/>
      <c r="F45" s="295"/>
      <c r="G45" s="296"/>
      <c r="H45" s="296"/>
      <c r="I45" s="428"/>
      <c r="J45" s="429"/>
      <c r="K45" s="292"/>
      <c r="L45" s="292"/>
      <c r="M45" s="292"/>
      <c r="N45" s="292"/>
      <c r="O45" s="292"/>
      <c r="P45" s="292"/>
      <c r="Q45" s="211"/>
      <c r="R45" s="131"/>
      <c r="S45" s="131"/>
      <c r="V45" s="131"/>
    </row>
    <row r="46" spans="1:40" x14ac:dyDescent="0.35">
      <c r="A46" s="300"/>
      <c r="B46" s="383" t="s">
        <v>942</v>
      </c>
      <c r="C46" s="384"/>
      <c r="D46" s="384"/>
      <c r="E46" s="384"/>
      <c r="F46" s="384"/>
      <c r="G46" s="384"/>
      <c r="H46" s="384"/>
      <c r="I46" s="384"/>
      <c r="J46" s="423"/>
      <c r="K46" s="211"/>
      <c r="L46" s="211"/>
      <c r="M46" s="211"/>
      <c r="N46" s="211"/>
      <c r="O46" s="211"/>
      <c r="P46" s="211"/>
      <c r="Q46" s="211"/>
      <c r="R46" s="131"/>
      <c r="S46" s="131"/>
      <c r="T46" s="131"/>
      <c r="U46" s="131"/>
      <c r="V46" s="131"/>
      <c r="W46" s="131"/>
      <c r="X46" s="131"/>
      <c r="Y46" s="131"/>
      <c r="Z46" s="131"/>
      <c r="AJ46" s="283"/>
      <c r="AK46" s="283"/>
      <c r="AL46" s="283"/>
      <c r="AM46" s="283"/>
      <c r="AN46" s="283"/>
    </row>
    <row r="47" spans="1:40" ht="43.5" x14ac:dyDescent="0.35">
      <c r="A47" s="300"/>
      <c r="B47" s="315" t="s">
        <v>826</v>
      </c>
      <c r="C47" s="526"/>
      <c r="D47" s="770" t="s">
        <v>926</v>
      </c>
      <c r="E47" s="253" t="s">
        <v>698</v>
      </c>
      <c r="F47" s="253" t="s">
        <v>699</v>
      </c>
      <c r="G47" s="163" t="s">
        <v>881</v>
      </c>
      <c r="H47" s="163" t="s">
        <v>882</v>
      </c>
      <c r="I47" s="253" t="s">
        <v>883</v>
      </c>
      <c r="J47" s="423"/>
      <c r="K47" s="211"/>
      <c r="L47" s="211"/>
      <c r="M47" s="211"/>
      <c r="N47" s="211"/>
      <c r="O47" s="211"/>
      <c r="P47" s="211"/>
      <c r="Q47" s="211"/>
      <c r="R47" s="131"/>
      <c r="S47" s="131"/>
      <c r="T47" s="131"/>
      <c r="U47" s="131"/>
      <c r="V47" s="131"/>
      <c r="W47" s="131"/>
      <c r="X47" s="131"/>
      <c r="Y47" s="131"/>
      <c r="Z47" s="131"/>
      <c r="AJ47" s="283"/>
      <c r="AK47" s="283"/>
      <c r="AL47" s="283"/>
      <c r="AM47" s="283"/>
      <c r="AN47" s="283"/>
    </row>
    <row r="48" spans="1:40" x14ac:dyDescent="0.35">
      <c r="A48" s="300"/>
      <c r="B48" s="525" t="s">
        <v>834</v>
      </c>
      <c r="C48" s="510"/>
      <c r="D48" s="126">
        <f>D55+D57</f>
        <v>1329.7688427666901</v>
      </c>
      <c r="E48" s="126">
        <f t="shared" ref="E48:I48" si="47">E55+E57</f>
        <v>1229.215932851363</v>
      </c>
      <c r="F48" s="126">
        <f t="shared" si="47"/>
        <v>1459.4595807343162</v>
      </c>
      <c r="G48" s="126">
        <f t="shared" si="47"/>
        <v>1459.0850226502689</v>
      </c>
      <c r="H48" s="126">
        <f t="shared" si="47"/>
        <v>1473.1532395121653</v>
      </c>
      <c r="I48" s="126">
        <f t="shared" si="47"/>
        <v>1487.3570994124043</v>
      </c>
      <c r="J48" s="423"/>
      <c r="K48" s="211"/>
      <c r="L48" s="211"/>
      <c r="M48" s="211"/>
      <c r="N48" s="211"/>
      <c r="O48" s="211"/>
      <c r="P48" s="211"/>
      <c r="Q48" s="211"/>
      <c r="R48" s="131"/>
      <c r="S48" s="131"/>
      <c r="T48" s="131"/>
      <c r="U48" s="131"/>
      <c r="V48" s="131"/>
      <c r="W48" s="131"/>
      <c r="X48" s="131"/>
      <c r="Y48" s="131"/>
      <c r="Z48" s="131"/>
      <c r="AJ48" s="283"/>
      <c r="AK48" s="283"/>
      <c r="AL48" s="283"/>
      <c r="AM48" s="283"/>
      <c r="AN48" s="283"/>
    </row>
    <row r="49" spans="1:40" x14ac:dyDescent="0.35">
      <c r="A49" s="300"/>
      <c r="B49" s="525" t="s">
        <v>943</v>
      </c>
      <c r="C49" s="510"/>
      <c r="D49" s="126">
        <f>D56+D58</f>
        <v>1329.7688427666901</v>
      </c>
      <c r="E49" s="126">
        <f t="shared" ref="E49:I49" si="48">E56+E58</f>
        <v>1229.215932851363</v>
      </c>
      <c r="F49" s="126">
        <f t="shared" si="48"/>
        <v>1459.4595807343162</v>
      </c>
      <c r="G49" s="126">
        <f t="shared" si="48"/>
        <v>1459.0850226502689</v>
      </c>
      <c r="H49" s="126">
        <f t="shared" si="48"/>
        <v>1473.1532395121653</v>
      </c>
      <c r="I49" s="126">
        <f t="shared" si="48"/>
        <v>1487.3570994124043</v>
      </c>
      <c r="J49" s="423"/>
      <c r="K49" s="211"/>
      <c r="L49" s="211"/>
      <c r="M49" s="211"/>
      <c r="N49" s="211"/>
      <c r="O49" s="211"/>
      <c r="P49" s="211"/>
      <c r="Q49" s="211"/>
      <c r="R49" s="131"/>
      <c r="S49" s="131"/>
      <c r="T49" s="131"/>
      <c r="U49" s="131"/>
      <c r="V49" s="131"/>
      <c r="W49" s="131"/>
      <c r="X49" s="131"/>
      <c r="Y49" s="131"/>
      <c r="Z49" s="131"/>
      <c r="AJ49" s="283"/>
      <c r="AK49" s="283"/>
      <c r="AL49" s="283"/>
      <c r="AM49" s="283"/>
      <c r="AN49" s="283"/>
    </row>
    <row r="50" spans="1:40" x14ac:dyDescent="0.35">
      <c r="A50" s="300"/>
      <c r="B50" s="524"/>
      <c r="C50" s="319"/>
      <c r="D50" s="184">
        <f>SUM(D48:D49)</f>
        <v>2659.5376855333802</v>
      </c>
      <c r="E50" s="184">
        <f t="shared" ref="E50:I50" si="49">SUM(E48:E49)</f>
        <v>2458.4318657027261</v>
      </c>
      <c r="F50" s="184">
        <f t="shared" si="49"/>
        <v>2918.9191614686324</v>
      </c>
      <c r="G50" s="184">
        <f t="shared" si="49"/>
        <v>2918.1700453005378</v>
      </c>
      <c r="H50" s="184">
        <f t="shared" si="49"/>
        <v>2946.3064790243307</v>
      </c>
      <c r="I50" s="184">
        <f t="shared" si="49"/>
        <v>2974.7141988248086</v>
      </c>
      <c r="J50" s="423"/>
      <c r="K50" s="211"/>
      <c r="L50" s="211"/>
      <c r="M50" s="211"/>
      <c r="N50" s="211"/>
      <c r="O50" s="211"/>
      <c r="P50" s="211"/>
      <c r="Q50" s="211"/>
      <c r="R50" s="131"/>
      <c r="S50" s="131"/>
      <c r="T50" s="131"/>
      <c r="U50" s="131"/>
      <c r="V50" s="131"/>
      <c r="W50" s="131"/>
      <c r="X50" s="131"/>
      <c r="Y50" s="131"/>
      <c r="Z50" s="131"/>
      <c r="AJ50" s="283"/>
      <c r="AK50" s="283"/>
      <c r="AL50" s="283"/>
      <c r="AM50" s="283"/>
      <c r="AN50" s="283"/>
    </row>
    <row r="51" spans="1:40" x14ac:dyDescent="0.35">
      <c r="A51" s="300"/>
      <c r="B51" s="254"/>
      <c r="C51" s="254"/>
      <c r="D51" s="282" t="s">
        <v>944</v>
      </c>
      <c r="E51" s="184">
        <f>E50-D50</f>
        <v>-201.10581983065413</v>
      </c>
      <c r="F51" s="184">
        <f>F50-$D$50</f>
        <v>259.38147593525218</v>
      </c>
      <c r="G51" s="184">
        <f t="shared" ref="G51:I51" si="50">G50-$D$50</f>
        <v>258.6323597671576</v>
      </c>
      <c r="H51" s="184">
        <f t="shared" si="50"/>
        <v>286.76879349095043</v>
      </c>
      <c r="I51" s="184">
        <f t="shared" si="50"/>
        <v>315.17651329142836</v>
      </c>
      <c r="J51" s="423"/>
      <c r="K51" s="211"/>
      <c r="L51" s="211"/>
      <c r="M51" s="211"/>
      <c r="N51" s="211"/>
      <c r="O51" s="211"/>
      <c r="P51" s="211"/>
      <c r="Q51" s="211"/>
      <c r="R51" s="131"/>
      <c r="S51" s="131"/>
      <c r="T51" s="131"/>
      <c r="U51" s="131"/>
      <c r="V51" s="131"/>
      <c r="W51" s="131"/>
      <c r="X51" s="131"/>
      <c r="Y51" s="131"/>
      <c r="Z51" s="131"/>
      <c r="AJ51" s="283"/>
      <c r="AK51" s="283"/>
      <c r="AL51" s="283"/>
      <c r="AM51" s="283"/>
      <c r="AN51" s="283"/>
    </row>
    <row r="52" spans="1:40" x14ac:dyDescent="0.35">
      <c r="A52" s="292"/>
      <c r="B52" s="318"/>
      <c r="C52" s="298"/>
      <c r="D52" s="297"/>
      <c r="E52" s="298"/>
      <c r="F52" s="299"/>
      <c r="G52" s="292"/>
      <c r="H52" s="292"/>
      <c r="I52" s="296"/>
      <c r="J52" s="211"/>
      <c r="K52" s="211"/>
      <c r="L52" s="211"/>
      <c r="M52" s="211"/>
      <c r="N52" s="211"/>
      <c r="O52" s="211"/>
      <c r="P52" s="211"/>
      <c r="Q52" s="211"/>
      <c r="R52" s="131"/>
      <c r="S52" s="131"/>
      <c r="T52" s="131"/>
      <c r="U52" s="131"/>
      <c r="V52" s="131"/>
      <c r="W52" s="131"/>
      <c r="X52" s="131"/>
      <c r="Y52" s="131"/>
      <c r="Z52" s="131"/>
      <c r="AJ52" s="283"/>
      <c r="AK52" s="283"/>
      <c r="AL52" s="283"/>
      <c r="AM52" s="283"/>
      <c r="AN52" s="283"/>
    </row>
    <row r="53" spans="1:40" x14ac:dyDescent="0.35">
      <c r="A53" s="300"/>
      <c r="B53" s="383" t="s">
        <v>945</v>
      </c>
      <c r="C53" s="384"/>
      <c r="D53" s="384"/>
      <c r="E53" s="384"/>
      <c r="F53" s="384"/>
      <c r="G53" s="384"/>
      <c r="H53" s="384"/>
      <c r="I53" s="384"/>
      <c r="J53" s="423"/>
      <c r="K53" s="211"/>
      <c r="L53" s="211"/>
      <c r="M53" s="211"/>
      <c r="N53" s="211"/>
      <c r="O53" s="211"/>
      <c r="P53" s="211"/>
      <c r="Q53" s="211"/>
      <c r="R53" s="131"/>
      <c r="S53" s="131"/>
      <c r="T53" s="131"/>
      <c r="U53" s="131"/>
      <c r="V53" s="131"/>
      <c r="W53" s="131"/>
      <c r="X53" s="131"/>
      <c r="Y53" s="131"/>
      <c r="Z53" s="131"/>
      <c r="AJ53" s="283"/>
      <c r="AK53" s="283"/>
      <c r="AL53" s="283"/>
      <c r="AM53" s="283"/>
      <c r="AN53" s="283"/>
    </row>
    <row r="54" spans="1:40" ht="43.5" x14ac:dyDescent="0.35">
      <c r="A54" s="300"/>
      <c r="B54" s="315" t="s">
        <v>826</v>
      </c>
      <c r="C54" s="164" t="s">
        <v>807</v>
      </c>
      <c r="D54" s="770" t="s">
        <v>926</v>
      </c>
      <c r="E54" s="253" t="s">
        <v>698</v>
      </c>
      <c r="F54" s="253" t="s">
        <v>699</v>
      </c>
      <c r="G54" s="163" t="s">
        <v>881</v>
      </c>
      <c r="H54" s="163" t="s">
        <v>882</v>
      </c>
      <c r="I54" s="253" t="s">
        <v>883</v>
      </c>
      <c r="J54" s="423"/>
      <c r="K54" s="211"/>
      <c r="L54" s="211"/>
      <c r="M54" s="211"/>
      <c r="N54" s="211"/>
      <c r="O54" s="211"/>
      <c r="P54" s="211"/>
      <c r="Q54" s="211"/>
      <c r="V54" s="131"/>
      <c r="AJ54" s="283"/>
      <c r="AK54" s="283"/>
      <c r="AL54" s="283"/>
      <c r="AM54" s="283"/>
      <c r="AN54" s="283"/>
    </row>
    <row r="55" spans="1:40" x14ac:dyDescent="0.35">
      <c r="A55" s="300"/>
      <c r="B55" s="345" t="s">
        <v>946</v>
      </c>
      <c r="C55" s="126">
        <f>'Inputs and eligible population'!F51</f>
        <v>8.1999999999999993</v>
      </c>
      <c r="D55" s="126">
        <f>('Inputs and eligible population'!L66*'Unit costs'!$Q$9)*'Capacity (local prices)'!$C55</f>
        <v>0</v>
      </c>
      <c r="E55" s="126">
        <f>('Inputs and eligible population'!M66*'Unit costs'!$Q$9)*'Capacity (local prices)'!$C55</f>
        <v>244.64977304323244</v>
      </c>
      <c r="F55" s="126">
        <f>('Inputs and eligible population'!N66*'Unit costs'!$Q$9)*'Capacity (local prices)'!$C55</f>
        <v>555.76943786477057</v>
      </c>
      <c r="G55" s="126">
        <f>('Inputs and eligible population'!O66*'Unit costs'!$Q$9)*'Capacity (local prices)'!$C55</f>
        <v>592.30184087783198</v>
      </c>
      <c r="H55" s="126">
        <f>('Inputs and eligible population'!P66*'Unit costs'!$Q$9)*'Capacity (local prices)'!$C55</f>
        <v>598.01270118810669</v>
      </c>
      <c r="I55" s="126">
        <f>('Inputs and eligible population'!Q66*'Unit costs'!$Q$9)*'Capacity (local prices)'!$C55</f>
        <v>603.77862451394628</v>
      </c>
      <c r="J55" s="423"/>
      <c r="K55" s="211"/>
      <c r="L55" s="211"/>
      <c r="M55" s="211"/>
      <c r="N55" s="211"/>
      <c r="O55" s="211"/>
      <c r="P55" s="211"/>
      <c r="Q55" s="211"/>
      <c r="V55" s="131"/>
      <c r="AJ55" s="283"/>
      <c r="AK55" s="283"/>
      <c r="AL55" s="283"/>
      <c r="AM55" s="283"/>
      <c r="AN55" s="283"/>
    </row>
    <row r="56" spans="1:40" x14ac:dyDescent="0.35">
      <c r="A56" s="300"/>
      <c r="B56" s="345" t="s">
        <v>947</v>
      </c>
      <c r="C56" s="126">
        <f>'Inputs and eligible population'!F51</f>
        <v>8.1999999999999993</v>
      </c>
      <c r="D56" s="126">
        <f>('Inputs and eligible population'!L66*'Unit costs'!$Q$10)*'Capacity (local prices)'!$C56</f>
        <v>0</v>
      </c>
      <c r="E56" s="126">
        <f>('Inputs and eligible population'!M66*'Unit costs'!$Q$10)*'Capacity (local prices)'!$C56</f>
        <v>244.64977304323244</v>
      </c>
      <c r="F56" s="126">
        <f>('Inputs and eligible population'!N66*'Unit costs'!$Q$10)*'Capacity (local prices)'!$C56</f>
        <v>555.76943786477057</v>
      </c>
      <c r="G56" s="126">
        <f>('Inputs and eligible population'!O66*'Unit costs'!$Q$10)*'Capacity (local prices)'!$C56</f>
        <v>592.30184087783198</v>
      </c>
      <c r="H56" s="126">
        <f>('Inputs and eligible population'!P66*'Unit costs'!$Q$10)*'Capacity (local prices)'!$C56</f>
        <v>598.01270118810669</v>
      </c>
      <c r="I56" s="126">
        <f>('Inputs and eligible population'!Q66*'Unit costs'!$Q$10)*'Capacity (local prices)'!$C56</f>
        <v>603.77862451394628</v>
      </c>
      <c r="J56" s="423"/>
      <c r="K56" s="211"/>
      <c r="L56" s="211"/>
      <c r="M56" s="211"/>
      <c r="N56" s="211"/>
      <c r="O56" s="211"/>
      <c r="P56" s="211"/>
      <c r="Q56" s="211"/>
      <c r="V56" s="131"/>
      <c r="AJ56" s="283"/>
      <c r="AK56" s="283"/>
      <c r="AL56" s="283"/>
      <c r="AM56" s="283"/>
      <c r="AN56" s="283"/>
    </row>
    <row r="57" spans="1:40" x14ac:dyDescent="0.35">
      <c r="A57" s="300"/>
      <c r="B57" s="345" t="s">
        <v>948</v>
      </c>
      <c r="C57" s="126">
        <f>'Inputs and eligible population'!F52</f>
        <v>12</v>
      </c>
      <c r="D57" s="126">
        <f>('Inputs and eligible population'!L67*'Unit costs'!$Q$14)*'Capacity (local prices)'!$C57</f>
        <v>1329.7688427666901</v>
      </c>
      <c r="E57" s="126">
        <f>('Inputs and eligible population'!M67*'Unit costs'!$Q$14)*'Capacity (local prices)'!$C57</f>
        <v>984.56615980813058</v>
      </c>
      <c r="F57" s="126">
        <f>('Inputs and eligible population'!N67*'Unit costs'!$Q$14)*'Capacity (local prices)'!$C57</f>
        <v>903.69014286954575</v>
      </c>
      <c r="G57" s="126">
        <f>('Inputs and eligible population'!O67*'Unit costs'!$Q$14)*'Capacity (local prices)'!$C57</f>
        <v>866.78318177243705</v>
      </c>
      <c r="H57" s="126">
        <f>('Inputs and eligible population'!P67*'Unit costs'!$Q$14)*'Capacity (local prices)'!$C57</f>
        <v>875.14053832405853</v>
      </c>
      <c r="I57" s="126">
        <f>('Inputs and eligible population'!Q67*'Unit costs'!$Q$14)*'Capacity (local prices)'!$C57</f>
        <v>883.57847489845813</v>
      </c>
      <c r="J57" s="423"/>
      <c r="K57" s="211"/>
      <c r="L57" s="211"/>
      <c r="M57" s="211"/>
      <c r="N57" s="211"/>
      <c r="O57" s="211"/>
      <c r="P57" s="211"/>
      <c r="Q57" s="211"/>
      <c r="V57" s="131"/>
      <c r="AJ57" s="283"/>
      <c r="AK57" s="283"/>
      <c r="AL57" s="283"/>
      <c r="AM57" s="283"/>
      <c r="AN57" s="283"/>
    </row>
    <row r="58" spans="1:40" x14ac:dyDescent="0.35">
      <c r="A58" s="300"/>
      <c r="B58" s="345" t="s">
        <v>949</v>
      </c>
      <c r="C58" s="126">
        <f>'Inputs and eligible population'!F52</f>
        <v>12</v>
      </c>
      <c r="D58" s="126">
        <f>('Inputs and eligible population'!L67*'Unit costs'!$Q$15)*'Capacity (local prices)'!$C58</f>
        <v>1329.7688427666901</v>
      </c>
      <c r="E58" s="126">
        <f>('Inputs and eligible population'!M67*'Unit costs'!$Q$15)*'Capacity (local prices)'!$C58</f>
        <v>984.56615980813058</v>
      </c>
      <c r="F58" s="126">
        <f>('Inputs and eligible population'!N67*'Unit costs'!$Q$15)*'Capacity (local prices)'!$C58</f>
        <v>903.69014286954575</v>
      </c>
      <c r="G58" s="126">
        <f>('Inputs and eligible population'!O67*'Unit costs'!$Q$15)*'Capacity (local prices)'!$C58</f>
        <v>866.78318177243705</v>
      </c>
      <c r="H58" s="126">
        <f>('Inputs and eligible population'!P67*'Unit costs'!$Q$15)*'Capacity (local prices)'!$C58</f>
        <v>875.14053832405853</v>
      </c>
      <c r="I58" s="126">
        <f>('Inputs and eligible population'!Q67*'Unit costs'!$Q$15)*'Capacity (local prices)'!$C58</f>
        <v>883.57847489845813</v>
      </c>
      <c r="J58" s="211"/>
      <c r="K58" s="211"/>
      <c r="L58" s="211"/>
      <c r="M58" s="211"/>
      <c r="N58" s="211"/>
      <c r="O58" s="211"/>
      <c r="P58" s="211"/>
      <c r="Q58" s="211"/>
      <c r="V58" s="131"/>
      <c r="AJ58" s="283"/>
      <c r="AK58" s="283"/>
      <c r="AL58" s="283"/>
      <c r="AM58" s="283"/>
      <c r="AN58" s="283"/>
    </row>
    <row r="59" spans="1:40" x14ac:dyDescent="0.35">
      <c r="A59" s="300"/>
      <c r="B59" s="319"/>
      <c r="C59" s="319"/>
      <c r="D59" s="184">
        <f t="shared" ref="D59:I59" si="51">SUM(D55:D58)</f>
        <v>2659.5376855333802</v>
      </c>
      <c r="E59" s="184">
        <f t="shared" si="51"/>
        <v>2458.4318657027261</v>
      </c>
      <c r="F59" s="184">
        <f t="shared" si="51"/>
        <v>2918.9191614686324</v>
      </c>
      <c r="G59" s="184">
        <f t="shared" si="51"/>
        <v>2918.1700453005378</v>
      </c>
      <c r="H59" s="184">
        <f t="shared" si="51"/>
        <v>2946.3064790243302</v>
      </c>
      <c r="I59" s="184">
        <f t="shared" si="51"/>
        <v>2974.7141988248086</v>
      </c>
      <c r="J59" s="292"/>
      <c r="K59" s="292"/>
      <c r="L59" s="292"/>
      <c r="M59" s="292"/>
      <c r="N59" s="292"/>
      <c r="O59" s="292"/>
      <c r="P59" s="292"/>
      <c r="Q59" s="292"/>
      <c r="V59" s="131"/>
      <c r="AJ59" s="283"/>
      <c r="AK59" s="283"/>
      <c r="AL59" s="283"/>
      <c r="AM59" s="283"/>
      <c r="AN59" s="283"/>
    </row>
    <row r="60" spans="1:40" x14ac:dyDescent="0.35">
      <c r="A60" s="300"/>
      <c r="B60" s="254"/>
      <c r="C60" s="254"/>
      <c r="D60" s="282" t="s">
        <v>950</v>
      </c>
      <c r="E60" s="184">
        <f>E59-$D$59</f>
        <v>-201.10581983065413</v>
      </c>
      <c r="F60" s="184">
        <f>F59-$D$59</f>
        <v>259.38147593525218</v>
      </c>
      <c r="G60" s="184">
        <f>G59-$D$59</f>
        <v>258.6323597671576</v>
      </c>
      <c r="H60" s="184">
        <f>H59-$D$59</f>
        <v>286.76879349094997</v>
      </c>
      <c r="I60" s="184">
        <f>I59-$D$59</f>
        <v>315.17651329142836</v>
      </c>
      <c r="J60" s="292"/>
      <c r="K60" s="292"/>
      <c r="L60" s="292"/>
      <c r="M60" s="292"/>
      <c r="N60" s="292"/>
      <c r="O60" s="292"/>
      <c r="P60" s="292"/>
      <c r="Q60" s="292"/>
      <c r="S60" s="131"/>
      <c r="T60" s="131"/>
      <c r="U60" s="131"/>
      <c r="V60" s="131"/>
      <c r="W60" s="131"/>
      <c r="X60" s="131"/>
      <c r="Y60" s="131"/>
      <c r="Z60" s="131"/>
      <c r="AJ60" s="283"/>
      <c r="AK60" s="283"/>
      <c r="AL60" s="283"/>
      <c r="AM60" s="283"/>
      <c r="AN60" s="283"/>
    </row>
    <row r="61" spans="1:40" x14ac:dyDescent="0.35">
      <c r="A61" s="292"/>
      <c r="B61" s="318"/>
      <c r="C61" s="298"/>
      <c r="D61" s="298"/>
      <c r="E61" s="299"/>
      <c r="F61" s="292"/>
      <c r="G61" s="292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S61" s="131"/>
      <c r="T61" s="131"/>
      <c r="U61" s="131"/>
      <c r="V61" s="131"/>
      <c r="W61" s="131"/>
      <c r="X61" s="131"/>
      <c r="Y61" s="131"/>
      <c r="Z61" s="131"/>
      <c r="AJ61" s="283"/>
      <c r="AK61" s="283"/>
      <c r="AL61" s="283"/>
      <c r="AM61" s="283"/>
      <c r="AN61" s="283"/>
    </row>
    <row r="62" spans="1:40" hidden="1" x14ac:dyDescent="0.35">
      <c r="A62" s="284"/>
      <c r="B62" s="320" t="s">
        <v>951</v>
      </c>
      <c r="C62" s="301"/>
      <c r="D62" s="301"/>
      <c r="E62" s="302"/>
      <c r="F62" s="303"/>
      <c r="G62" s="304"/>
      <c r="H62" s="304"/>
      <c r="I62" s="304"/>
      <c r="J62" s="430"/>
      <c r="K62" s="284"/>
      <c r="L62" s="284"/>
      <c r="M62" s="284"/>
      <c r="N62" s="284"/>
      <c r="O62" s="284"/>
      <c r="P62" s="284"/>
      <c r="Q62" s="213"/>
      <c r="V62" s="131"/>
    </row>
    <row r="63" spans="1:40" hidden="1" x14ac:dyDescent="0.35">
      <c r="A63" s="284"/>
      <c r="B63" s="385" t="s">
        <v>952</v>
      </c>
      <c r="C63" s="386"/>
      <c r="D63" s="386"/>
      <c r="E63" s="386"/>
      <c r="F63" s="386"/>
      <c r="G63" s="386"/>
      <c r="H63" s="386"/>
      <c r="I63" s="212"/>
      <c r="J63" s="425"/>
      <c r="K63" s="213"/>
      <c r="L63" s="424"/>
      <c r="M63" s="424"/>
      <c r="N63" s="424"/>
      <c r="O63" s="424"/>
      <c r="P63" s="424"/>
      <c r="Q63" s="424"/>
      <c r="V63" s="131"/>
    </row>
    <row r="64" spans="1:40" ht="74.5" hidden="1" customHeight="1" x14ac:dyDescent="0.35">
      <c r="A64" s="284"/>
      <c r="B64" s="279" t="s">
        <v>826</v>
      </c>
      <c r="C64" s="164" t="s">
        <v>953</v>
      </c>
      <c r="D64" s="770" t="s">
        <v>926</v>
      </c>
      <c r="E64" s="253" t="s">
        <v>698</v>
      </c>
      <c r="F64" s="253" t="s">
        <v>699</v>
      </c>
      <c r="G64" s="163" t="s">
        <v>881</v>
      </c>
      <c r="H64" s="163" t="s">
        <v>882</v>
      </c>
      <c r="I64" s="253" t="s">
        <v>883</v>
      </c>
      <c r="J64" s="284"/>
      <c r="K64" s="549" t="s">
        <v>938</v>
      </c>
      <c r="L64" s="770" t="s">
        <v>926</v>
      </c>
      <c r="M64" s="534" t="s">
        <v>698</v>
      </c>
      <c r="N64" s="534" t="s">
        <v>699</v>
      </c>
      <c r="O64" s="418" t="s">
        <v>881</v>
      </c>
      <c r="P64" s="418" t="s">
        <v>882</v>
      </c>
      <c r="Q64" s="534" t="s">
        <v>883</v>
      </c>
      <c r="V64" s="131"/>
    </row>
    <row r="65" spans="1:40" hidden="1" x14ac:dyDescent="0.35">
      <c r="A65" s="284"/>
      <c r="B65" s="345"/>
      <c r="C65" s="147">
        <f>'Inputs and eligible population'!F83</f>
        <v>0</v>
      </c>
      <c r="D65" s="126"/>
      <c r="E65" s="126"/>
      <c r="F65" s="126"/>
      <c r="G65" s="126"/>
      <c r="H65" s="126"/>
      <c r="I65" s="126"/>
      <c r="J65" s="284"/>
      <c r="K65" s="567">
        <f>'Inputs and eligible population'!K83</f>
        <v>42.15</v>
      </c>
      <c r="L65" s="289">
        <f>(D65*$K65)/1000</f>
        <v>0</v>
      </c>
      <c r="M65" s="289">
        <f t="shared" ref="M65:Q67" si="52">(E65*$K65)/1000</f>
        <v>0</v>
      </c>
      <c r="N65" s="289">
        <f t="shared" si="52"/>
        <v>0</v>
      </c>
      <c r="O65" s="289">
        <f t="shared" si="52"/>
        <v>0</v>
      </c>
      <c r="P65" s="289">
        <f t="shared" si="52"/>
        <v>0</v>
      </c>
      <c r="Q65" s="289">
        <f t="shared" si="52"/>
        <v>0</v>
      </c>
      <c r="S65" s="131"/>
      <c r="T65" s="131"/>
      <c r="U65" s="131"/>
      <c r="V65" s="131"/>
      <c r="W65" s="131"/>
      <c r="X65" s="131"/>
      <c r="Y65" s="131"/>
      <c r="Z65" s="131"/>
      <c r="AJ65" s="283"/>
      <c r="AK65" s="283"/>
      <c r="AL65" s="283"/>
      <c r="AM65" s="283"/>
      <c r="AN65" s="283"/>
    </row>
    <row r="66" spans="1:40" hidden="1" x14ac:dyDescent="0.35">
      <c r="A66" s="284"/>
      <c r="B66" s="345"/>
      <c r="C66" s="147">
        <f>'Inputs and eligible population'!G83</f>
        <v>0</v>
      </c>
      <c r="D66" s="126"/>
      <c r="E66" s="126"/>
      <c r="F66" s="126"/>
      <c r="G66" s="126"/>
      <c r="H66" s="126"/>
      <c r="I66" s="126"/>
      <c r="J66" s="284"/>
      <c r="K66" s="567">
        <f>'Inputs and eligible population'!K83</f>
        <v>42.15</v>
      </c>
      <c r="L66" s="289">
        <f t="shared" ref="L66:L67" si="53">(D66*$K66)/1000</f>
        <v>0</v>
      </c>
      <c r="M66" s="289">
        <f t="shared" si="52"/>
        <v>0</v>
      </c>
      <c r="N66" s="289">
        <f t="shared" si="52"/>
        <v>0</v>
      </c>
      <c r="O66" s="289">
        <f t="shared" si="52"/>
        <v>0</v>
      </c>
      <c r="P66" s="289">
        <f t="shared" si="52"/>
        <v>0</v>
      </c>
      <c r="Q66" s="289">
        <f t="shared" si="52"/>
        <v>0</v>
      </c>
      <c r="S66" s="131"/>
      <c r="T66" s="131"/>
      <c r="U66" s="131"/>
      <c r="V66" s="131"/>
      <c r="W66" s="131"/>
      <c r="X66" s="131"/>
      <c r="Y66" s="131"/>
      <c r="Z66" s="131"/>
      <c r="AJ66" s="283"/>
      <c r="AK66" s="283"/>
      <c r="AL66" s="283"/>
      <c r="AM66" s="283"/>
      <c r="AN66" s="283"/>
    </row>
    <row r="67" spans="1:40" hidden="1" x14ac:dyDescent="0.35">
      <c r="A67" s="284"/>
      <c r="B67" s="345"/>
      <c r="C67" s="147">
        <f>'Inputs and eligible population'!H83</f>
        <v>0</v>
      </c>
      <c r="D67" s="126"/>
      <c r="E67" s="126"/>
      <c r="F67" s="126"/>
      <c r="G67" s="126"/>
      <c r="H67" s="126"/>
      <c r="I67" s="126"/>
      <c r="J67" s="284"/>
      <c r="K67" s="567">
        <f>'Inputs and eligible population'!K83</f>
        <v>42.15</v>
      </c>
      <c r="L67" s="289">
        <f t="shared" si="53"/>
        <v>0</v>
      </c>
      <c r="M67" s="289">
        <f t="shared" si="52"/>
        <v>0</v>
      </c>
      <c r="N67" s="289">
        <f t="shared" si="52"/>
        <v>0</v>
      </c>
      <c r="O67" s="289">
        <f t="shared" si="52"/>
        <v>0</v>
      </c>
      <c r="P67" s="289">
        <f t="shared" si="52"/>
        <v>0</v>
      </c>
      <c r="Q67" s="289">
        <f t="shared" si="52"/>
        <v>0</v>
      </c>
      <c r="S67" s="131"/>
      <c r="T67" s="131"/>
      <c r="U67" s="131"/>
      <c r="V67" s="131"/>
      <c r="W67" s="131"/>
      <c r="X67" s="131"/>
      <c r="Y67" s="131"/>
      <c r="Z67" s="131"/>
      <c r="AJ67" s="283"/>
      <c r="AK67" s="283"/>
      <c r="AL67" s="283"/>
      <c r="AM67" s="283"/>
      <c r="AN67" s="283"/>
    </row>
    <row r="68" spans="1:40" hidden="1" x14ac:dyDescent="0.35">
      <c r="A68" s="284"/>
      <c r="B68" s="280" t="s">
        <v>954</v>
      </c>
      <c r="C68" s="319"/>
      <c r="D68" s="184">
        <f>SUM(D65:D67)</f>
        <v>0</v>
      </c>
      <c r="E68" s="184">
        <f t="shared" ref="E68:I68" si="54">SUM(E65:E67)</f>
        <v>0</v>
      </c>
      <c r="F68" s="184">
        <f t="shared" si="54"/>
        <v>0</v>
      </c>
      <c r="G68" s="184">
        <f t="shared" si="54"/>
        <v>0</v>
      </c>
      <c r="H68" s="184">
        <f t="shared" si="54"/>
        <v>0</v>
      </c>
      <c r="I68" s="184">
        <f t="shared" si="54"/>
        <v>0</v>
      </c>
      <c r="J68" s="284"/>
      <c r="K68" s="284"/>
      <c r="L68" s="290">
        <f>SUM(L65:L67)</f>
        <v>0</v>
      </c>
      <c r="M68" s="290">
        <f t="shared" ref="M68:Q68" si="55">SUM(M65:M67)</f>
        <v>0</v>
      </c>
      <c r="N68" s="290">
        <f t="shared" si="55"/>
        <v>0</v>
      </c>
      <c r="O68" s="290">
        <f t="shared" si="55"/>
        <v>0</v>
      </c>
      <c r="P68" s="290">
        <f t="shared" si="55"/>
        <v>0</v>
      </c>
      <c r="Q68" s="290">
        <f t="shared" si="55"/>
        <v>0</v>
      </c>
      <c r="S68" s="131"/>
      <c r="T68" s="131"/>
      <c r="U68" s="131"/>
      <c r="V68" s="131"/>
      <c r="W68" s="131"/>
      <c r="X68" s="131"/>
      <c r="Y68" s="131"/>
      <c r="Z68" s="131"/>
      <c r="AJ68" s="283"/>
      <c r="AK68" s="283"/>
      <c r="AL68" s="283"/>
      <c r="AM68" s="283"/>
      <c r="AN68" s="283"/>
    </row>
    <row r="69" spans="1:40" hidden="1" x14ac:dyDescent="0.35">
      <c r="A69" s="284"/>
      <c r="B69" s="305"/>
      <c r="C69" s="254"/>
      <c r="D69" s="282" t="s">
        <v>955</v>
      </c>
      <c r="E69" s="184">
        <f>E68-$D$68</f>
        <v>0</v>
      </c>
      <c r="F69" s="184">
        <f>F68-$D$68</f>
        <v>0</v>
      </c>
      <c r="G69" s="184">
        <f>G68-$D$68</f>
        <v>0</v>
      </c>
      <c r="H69" s="184">
        <f>H68-$D$68</f>
        <v>0</v>
      </c>
      <c r="I69" s="184">
        <f>I68-$D$68</f>
        <v>0</v>
      </c>
      <c r="J69" s="284"/>
      <c r="K69" s="284"/>
      <c r="L69" s="535"/>
      <c r="M69" s="290">
        <f>M68-$L$68</f>
        <v>0</v>
      </c>
      <c r="N69" s="290">
        <f t="shared" ref="N69:Q69" si="56">N68-$L$68</f>
        <v>0</v>
      </c>
      <c r="O69" s="290">
        <f t="shared" si="56"/>
        <v>0</v>
      </c>
      <c r="P69" s="290">
        <f t="shared" si="56"/>
        <v>0</v>
      </c>
      <c r="Q69" s="290">
        <f t="shared" si="56"/>
        <v>0</v>
      </c>
      <c r="S69" s="131"/>
      <c r="T69" s="131"/>
      <c r="U69" s="131"/>
      <c r="V69" s="131"/>
      <c r="W69" s="131"/>
      <c r="X69" s="131"/>
      <c r="Y69" s="131"/>
      <c r="Z69" s="131"/>
      <c r="AJ69" s="283"/>
      <c r="AK69" s="283"/>
      <c r="AL69" s="283"/>
      <c r="AM69" s="283"/>
      <c r="AN69" s="283"/>
    </row>
    <row r="70" spans="1:40" hidden="1" x14ac:dyDescent="0.35">
      <c r="A70" s="284"/>
      <c r="B70" s="321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S70" s="131"/>
      <c r="T70" s="131"/>
      <c r="U70" s="131"/>
      <c r="V70" s="131"/>
      <c r="W70" s="131"/>
      <c r="X70" s="131"/>
      <c r="Y70" s="131"/>
      <c r="Z70" s="131"/>
      <c r="AJ70" s="283"/>
      <c r="AK70" s="283"/>
      <c r="AL70" s="283"/>
      <c r="AM70" s="283"/>
      <c r="AN70" s="283"/>
    </row>
    <row r="71" spans="1:40" hidden="1" x14ac:dyDescent="0.35">
      <c r="A71" s="284"/>
      <c r="B71" s="387" t="s">
        <v>956</v>
      </c>
      <c r="C71" s="386"/>
      <c r="D71" s="386"/>
      <c r="E71" s="386"/>
      <c r="F71" s="386"/>
      <c r="G71" s="386"/>
      <c r="H71" s="386"/>
      <c r="I71" s="212"/>
      <c r="J71" s="425"/>
      <c r="K71" s="213"/>
      <c r="L71" s="424"/>
      <c r="M71" s="424"/>
      <c r="N71" s="424"/>
      <c r="O71" s="424"/>
      <c r="P71" s="424"/>
      <c r="Q71" s="424"/>
      <c r="S71" s="131"/>
      <c r="T71" s="131"/>
      <c r="U71" s="131"/>
      <c r="V71" s="131"/>
      <c r="W71" s="131"/>
      <c r="X71" s="131"/>
      <c r="Y71" s="131"/>
      <c r="Z71" s="131"/>
      <c r="AJ71" s="283"/>
      <c r="AK71" s="283"/>
      <c r="AL71" s="283"/>
      <c r="AM71" s="283"/>
      <c r="AN71" s="283"/>
    </row>
    <row r="72" spans="1:40" ht="72.5" hidden="1" x14ac:dyDescent="0.35">
      <c r="A72" s="284"/>
      <c r="B72" s="279" t="s">
        <v>826</v>
      </c>
      <c r="C72" s="164" t="s">
        <v>759</v>
      </c>
      <c r="D72" s="770" t="s">
        <v>926</v>
      </c>
      <c r="E72" s="253" t="s">
        <v>698</v>
      </c>
      <c r="F72" s="253" t="s">
        <v>699</v>
      </c>
      <c r="G72" s="163" t="s">
        <v>881</v>
      </c>
      <c r="H72" s="163" t="s">
        <v>882</v>
      </c>
      <c r="I72" s="253" t="s">
        <v>883</v>
      </c>
      <c r="J72" s="284"/>
      <c r="K72" s="549" t="s">
        <v>938</v>
      </c>
      <c r="L72" s="770" t="s">
        <v>926</v>
      </c>
      <c r="M72" s="253" t="s">
        <v>698</v>
      </c>
      <c r="N72" s="253" t="s">
        <v>699</v>
      </c>
      <c r="O72" s="163" t="s">
        <v>881</v>
      </c>
      <c r="P72" s="163" t="s">
        <v>882</v>
      </c>
      <c r="Q72" s="253" t="s">
        <v>883</v>
      </c>
      <c r="S72" s="131"/>
      <c r="T72" s="131"/>
      <c r="U72" s="131"/>
      <c r="V72" s="131"/>
      <c r="W72" s="131"/>
      <c r="X72" s="131"/>
      <c r="Y72" s="131"/>
      <c r="Z72" s="131"/>
      <c r="AJ72" s="283"/>
      <c r="AK72" s="283"/>
      <c r="AL72" s="283"/>
      <c r="AM72" s="283"/>
      <c r="AN72" s="283"/>
    </row>
    <row r="73" spans="1:40" hidden="1" x14ac:dyDescent="0.35">
      <c r="A73" s="284"/>
      <c r="B73" s="345"/>
      <c r="C73" s="147">
        <f>'Inputs and eligible population'!F84</f>
        <v>0</v>
      </c>
      <c r="D73" s="126"/>
      <c r="E73" s="126"/>
      <c r="F73" s="126"/>
      <c r="G73" s="126"/>
      <c r="H73" s="126"/>
      <c r="I73" s="126"/>
      <c r="J73" s="284"/>
      <c r="K73" s="567">
        <f>'Inputs and eligible population'!K84</f>
        <v>42.15</v>
      </c>
      <c r="L73" s="289">
        <f>(D73*$K73)/1000</f>
        <v>0</v>
      </c>
      <c r="M73" s="289">
        <f t="shared" ref="M73:Q75" si="57">(E73*$K73)/1000</f>
        <v>0</v>
      </c>
      <c r="N73" s="289">
        <f t="shared" si="57"/>
        <v>0</v>
      </c>
      <c r="O73" s="289">
        <f t="shared" si="57"/>
        <v>0</v>
      </c>
      <c r="P73" s="289">
        <f t="shared" si="57"/>
        <v>0</v>
      </c>
      <c r="Q73" s="289">
        <f t="shared" si="57"/>
        <v>0</v>
      </c>
      <c r="S73" s="131"/>
      <c r="T73" s="131"/>
      <c r="U73" s="131"/>
      <c r="V73" s="131"/>
      <c r="W73" s="131"/>
      <c r="X73" s="131"/>
      <c r="Y73" s="131"/>
      <c r="Z73" s="131"/>
      <c r="AJ73" s="283"/>
      <c r="AK73" s="283"/>
      <c r="AL73" s="283"/>
      <c r="AM73" s="283"/>
      <c r="AN73" s="283"/>
    </row>
    <row r="74" spans="1:40" hidden="1" x14ac:dyDescent="0.35">
      <c r="A74" s="284"/>
      <c r="B74" s="345"/>
      <c r="C74" s="147">
        <f>'Inputs and eligible population'!G84</f>
        <v>0</v>
      </c>
      <c r="D74" s="126"/>
      <c r="E74" s="126"/>
      <c r="F74" s="126"/>
      <c r="G74" s="126"/>
      <c r="H74" s="126"/>
      <c r="I74" s="126"/>
      <c r="J74" s="284"/>
      <c r="K74" s="567">
        <f>'Inputs and eligible population'!K84</f>
        <v>42.15</v>
      </c>
      <c r="L74" s="289">
        <f t="shared" ref="L74:L75" si="58">(D74*$K74)/1000</f>
        <v>0</v>
      </c>
      <c r="M74" s="289">
        <f t="shared" si="57"/>
        <v>0</v>
      </c>
      <c r="N74" s="289">
        <f t="shared" si="57"/>
        <v>0</v>
      </c>
      <c r="O74" s="289">
        <f t="shared" si="57"/>
        <v>0</v>
      </c>
      <c r="P74" s="289">
        <f t="shared" si="57"/>
        <v>0</v>
      </c>
      <c r="Q74" s="289">
        <f t="shared" si="57"/>
        <v>0</v>
      </c>
      <c r="S74" s="131"/>
      <c r="T74" s="131"/>
      <c r="U74" s="131"/>
      <c r="V74" s="131"/>
      <c r="W74" s="131"/>
      <c r="X74" s="131"/>
      <c r="Y74" s="131"/>
      <c r="Z74" s="131"/>
      <c r="AJ74" s="283"/>
      <c r="AK74" s="283"/>
      <c r="AL74" s="283"/>
      <c r="AM74" s="283"/>
      <c r="AN74" s="283"/>
    </row>
    <row r="75" spans="1:40" hidden="1" x14ac:dyDescent="0.35">
      <c r="A75" s="284"/>
      <c r="B75" s="345"/>
      <c r="C75" s="147">
        <f>'Inputs and eligible population'!H84</f>
        <v>0</v>
      </c>
      <c r="D75" s="126"/>
      <c r="E75" s="126"/>
      <c r="F75" s="126"/>
      <c r="G75" s="126"/>
      <c r="H75" s="126"/>
      <c r="I75" s="126"/>
      <c r="J75" s="284"/>
      <c r="K75" s="567">
        <f>'Inputs and eligible population'!K84</f>
        <v>42.15</v>
      </c>
      <c r="L75" s="289">
        <f t="shared" si="58"/>
        <v>0</v>
      </c>
      <c r="M75" s="289">
        <f t="shared" si="57"/>
        <v>0</v>
      </c>
      <c r="N75" s="289">
        <f t="shared" si="57"/>
        <v>0</v>
      </c>
      <c r="O75" s="289">
        <f t="shared" si="57"/>
        <v>0</v>
      </c>
      <c r="P75" s="289">
        <f t="shared" si="57"/>
        <v>0</v>
      </c>
      <c r="Q75" s="289">
        <f t="shared" si="57"/>
        <v>0</v>
      </c>
      <c r="S75" s="131"/>
      <c r="T75" s="131"/>
      <c r="U75" s="131"/>
      <c r="V75" s="131"/>
      <c r="W75" s="131"/>
      <c r="X75" s="131"/>
      <c r="Y75" s="131"/>
      <c r="Z75" s="131"/>
      <c r="AJ75" s="283"/>
      <c r="AK75" s="283"/>
      <c r="AL75" s="283"/>
      <c r="AM75" s="283"/>
      <c r="AN75" s="283"/>
    </row>
    <row r="76" spans="1:40" hidden="1" x14ac:dyDescent="0.35">
      <c r="A76" s="284"/>
      <c r="B76" s="280"/>
      <c r="C76" s="280"/>
      <c r="D76" s="184">
        <f t="shared" ref="D76:I76" si="59">SUM(D73:D75)</f>
        <v>0</v>
      </c>
      <c r="E76" s="184">
        <f t="shared" si="59"/>
        <v>0</v>
      </c>
      <c r="F76" s="184">
        <f t="shared" si="59"/>
        <v>0</v>
      </c>
      <c r="G76" s="184">
        <f t="shared" si="59"/>
        <v>0</v>
      </c>
      <c r="H76" s="184">
        <f t="shared" si="59"/>
        <v>0</v>
      </c>
      <c r="I76" s="184">
        <f t="shared" si="59"/>
        <v>0</v>
      </c>
      <c r="J76" s="284"/>
      <c r="K76" s="284"/>
      <c r="L76" s="290">
        <f>SUM(L73:L75)</f>
        <v>0</v>
      </c>
      <c r="M76" s="290">
        <f t="shared" ref="M76:Q76" si="60">SUM(M73:M75)</f>
        <v>0</v>
      </c>
      <c r="N76" s="290">
        <f t="shared" si="60"/>
        <v>0</v>
      </c>
      <c r="O76" s="290">
        <f t="shared" si="60"/>
        <v>0</v>
      </c>
      <c r="P76" s="290">
        <f t="shared" si="60"/>
        <v>0</v>
      </c>
      <c r="Q76" s="290">
        <f t="shared" si="60"/>
        <v>0</v>
      </c>
      <c r="S76" s="131"/>
      <c r="T76" s="131"/>
      <c r="U76" s="131"/>
      <c r="V76" s="131"/>
      <c r="W76" s="131"/>
      <c r="X76" s="131"/>
      <c r="Y76" s="131"/>
      <c r="Z76" s="131"/>
      <c r="AJ76" s="283"/>
      <c r="AK76" s="283"/>
      <c r="AL76" s="283"/>
      <c r="AM76" s="283"/>
      <c r="AN76" s="283"/>
    </row>
    <row r="77" spans="1:40" hidden="1" x14ac:dyDescent="0.35">
      <c r="A77" s="284"/>
      <c r="B77" s="280"/>
      <c r="C77" s="280"/>
      <c r="D77" s="282" t="s">
        <v>957</v>
      </c>
      <c r="E77" s="184">
        <f>E76-$D$76</f>
        <v>0</v>
      </c>
      <c r="F77" s="184">
        <f>F76-$D$76</f>
        <v>0</v>
      </c>
      <c r="G77" s="184">
        <f>G76-$D$76</f>
        <v>0</v>
      </c>
      <c r="H77" s="184">
        <f>H76-$D$76</f>
        <v>0</v>
      </c>
      <c r="I77" s="184">
        <f>I76-$D$76</f>
        <v>0</v>
      </c>
      <c r="J77" s="284"/>
      <c r="K77" s="284"/>
      <c r="L77" s="535"/>
      <c r="M77" s="290">
        <f>M76-$L$76</f>
        <v>0</v>
      </c>
      <c r="N77" s="290">
        <f t="shared" ref="N77:Q77" si="61">N76-$L$76</f>
        <v>0</v>
      </c>
      <c r="O77" s="290">
        <f t="shared" si="61"/>
        <v>0</v>
      </c>
      <c r="P77" s="290">
        <f t="shared" si="61"/>
        <v>0</v>
      </c>
      <c r="Q77" s="290">
        <f t="shared" si="61"/>
        <v>0</v>
      </c>
      <c r="S77" s="131"/>
      <c r="T77" s="131"/>
      <c r="U77" s="131"/>
      <c r="V77" s="131"/>
      <c r="W77" s="131"/>
      <c r="X77" s="131"/>
      <c r="Y77" s="131"/>
      <c r="Z77" s="131"/>
      <c r="AJ77" s="283"/>
      <c r="AK77" s="283"/>
      <c r="AL77" s="283"/>
      <c r="AM77" s="283"/>
      <c r="AN77" s="283"/>
    </row>
    <row r="78" spans="1:40" hidden="1" x14ac:dyDescent="0.35">
      <c r="A78" s="284"/>
      <c r="B78" s="321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S78" s="131"/>
      <c r="T78" s="131"/>
      <c r="U78" s="131"/>
      <c r="V78" s="131"/>
      <c r="W78" s="131"/>
      <c r="X78" s="131"/>
      <c r="Y78" s="131"/>
      <c r="Z78" s="131"/>
      <c r="AJ78" s="283"/>
      <c r="AK78" s="283"/>
      <c r="AL78" s="283"/>
      <c r="AM78" s="283"/>
      <c r="AN78" s="283"/>
    </row>
    <row r="79" spans="1:40" hidden="1" x14ac:dyDescent="0.35">
      <c r="A79" s="284"/>
      <c r="B79" s="387" t="s">
        <v>911</v>
      </c>
      <c r="C79" s="386"/>
      <c r="D79" s="386"/>
      <c r="E79" s="386"/>
      <c r="F79" s="386"/>
      <c r="G79" s="386"/>
      <c r="H79" s="386"/>
      <c r="I79" s="212"/>
      <c r="J79" s="425"/>
      <c r="K79" s="213"/>
      <c r="L79" s="424"/>
      <c r="M79" s="424"/>
      <c r="N79" s="424"/>
      <c r="O79" s="424"/>
      <c r="P79" s="424"/>
      <c r="Q79" s="424"/>
      <c r="V79" s="131"/>
      <c r="AJ79" s="283"/>
      <c r="AK79" s="283"/>
      <c r="AL79" s="283"/>
      <c r="AM79" s="283"/>
      <c r="AN79" s="283"/>
    </row>
    <row r="80" spans="1:40" ht="58" hidden="1" x14ac:dyDescent="0.35">
      <c r="A80" s="284"/>
      <c r="B80" s="279" t="s">
        <v>826</v>
      </c>
      <c r="C80" s="164" t="s">
        <v>760</v>
      </c>
      <c r="D80" s="770" t="s">
        <v>926</v>
      </c>
      <c r="E80" s="253" t="s">
        <v>698</v>
      </c>
      <c r="F80" s="253" t="s">
        <v>699</v>
      </c>
      <c r="G80" s="163" t="s">
        <v>881</v>
      </c>
      <c r="H80" s="163" t="s">
        <v>882</v>
      </c>
      <c r="I80" s="253" t="s">
        <v>883</v>
      </c>
      <c r="J80" s="284"/>
      <c r="K80" s="549" t="s">
        <v>938</v>
      </c>
      <c r="L80" s="770" t="s">
        <v>926</v>
      </c>
      <c r="M80" s="253" t="s">
        <v>698</v>
      </c>
      <c r="N80" s="253" t="s">
        <v>699</v>
      </c>
      <c r="O80" s="163" t="s">
        <v>881</v>
      </c>
      <c r="P80" s="163" t="s">
        <v>882</v>
      </c>
      <c r="Q80" s="253" t="s">
        <v>883</v>
      </c>
      <c r="V80" s="131"/>
      <c r="AJ80" s="283"/>
      <c r="AK80" s="283"/>
      <c r="AL80" s="283"/>
      <c r="AM80" s="283"/>
      <c r="AN80" s="283"/>
    </row>
    <row r="81" spans="1:40" hidden="1" x14ac:dyDescent="0.35">
      <c r="A81" s="284"/>
      <c r="B81" s="345"/>
      <c r="C81" s="147">
        <f>'Inputs and eligible population'!F85</f>
        <v>0</v>
      </c>
      <c r="D81" s="126"/>
      <c r="E81" s="126"/>
      <c r="F81" s="126"/>
      <c r="G81" s="126"/>
      <c r="H81" s="126"/>
      <c r="I81" s="126"/>
      <c r="J81" s="284"/>
      <c r="K81" s="567">
        <f>'Inputs and eligible population'!K85</f>
        <v>42.15</v>
      </c>
      <c r="L81" s="289">
        <f>(D81*$K81)/1000</f>
        <v>0</v>
      </c>
      <c r="M81" s="289">
        <f t="shared" ref="M81:Q83" si="62">(E81*$K81)/1000</f>
        <v>0</v>
      </c>
      <c r="N81" s="289">
        <f t="shared" si="62"/>
        <v>0</v>
      </c>
      <c r="O81" s="289">
        <f t="shared" si="62"/>
        <v>0</v>
      </c>
      <c r="P81" s="289">
        <f t="shared" si="62"/>
        <v>0</v>
      </c>
      <c r="Q81" s="289">
        <f t="shared" si="62"/>
        <v>0</v>
      </c>
      <c r="V81" s="131"/>
      <c r="AJ81" s="283"/>
      <c r="AK81" s="283"/>
      <c r="AL81" s="283"/>
      <c r="AM81" s="283"/>
      <c r="AN81" s="283"/>
    </row>
    <row r="82" spans="1:40" hidden="1" x14ac:dyDescent="0.35">
      <c r="A82" s="284"/>
      <c r="B82" s="345"/>
      <c r="C82" s="147">
        <f>'Inputs and eligible population'!G85</f>
        <v>0</v>
      </c>
      <c r="D82" s="126"/>
      <c r="E82" s="126"/>
      <c r="F82" s="126"/>
      <c r="G82" s="126"/>
      <c r="H82" s="126"/>
      <c r="I82" s="126"/>
      <c r="J82" s="284"/>
      <c r="K82" s="567">
        <f>'Inputs and eligible population'!K85</f>
        <v>42.15</v>
      </c>
      <c r="L82" s="289">
        <f t="shared" ref="L82:L83" si="63">(D82*$K82)/1000</f>
        <v>0</v>
      </c>
      <c r="M82" s="289">
        <f t="shared" si="62"/>
        <v>0</v>
      </c>
      <c r="N82" s="289">
        <f t="shared" si="62"/>
        <v>0</v>
      </c>
      <c r="O82" s="289">
        <f t="shared" si="62"/>
        <v>0</v>
      </c>
      <c r="P82" s="289">
        <f t="shared" si="62"/>
        <v>0</v>
      </c>
      <c r="Q82" s="289">
        <f t="shared" si="62"/>
        <v>0</v>
      </c>
      <c r="V82" s="131"/>
      <c r="AJ82" s="283"/>
      <c r="AK82" s="283"/>
      <c r="AL82" s="283"/>
      <c r="AM82" s="283"/>
      <c r="AN82" s="283"/>
    </row>
    <row r="83" spans="1:40" hidden="1" x14ac:dyDescent="0.35">
      <c r="A83" s="284"/>
      <c r="B83" s="345"/>
      <c r="C83" s="147">
        <f>'Inputs and eligible population'!H85</f>
        <v>0</v>
      </c>
      <c r="D83" s="126"/>
      <c r="E83" s="126"/>
      <c r="F83" s="126"/>
      <c r="G83" s="126"/>
      <c r="H83" s="126"/>
      <c r="I83" s="126"/>
      <c r="J83" s="284"/>
      <c r="K83" s="567">
        <f>'Inputs and eligible population'!K85</f>
        <v>42.15</v>
      </c>
      <c r="L83" s="289">
        <f t="shared" si="63"/>
        <v>0</v>
      </c>
      <c r="M83" s="289">
        <f t="shared" si="62"/>
        <v>0</v>
      </c>
      <c r="N83" s="289">
        <f t="shared" si="62"/>
        <v>0</v>
      </c>
      <c r="O83" s="289">
        <f t="shared" si="62"/>
        <v>0</v>
      </c>
      <c r="P83" s="289">
        <f t="shared" si="62"/>
        <v>0</v>
      </c>
      <c r="Q83" s="289">
        <f t="shared" si="62"/>
        <v>0</v>
      </c>
      <c r="V83" s="131"/>
      <c r="AJ83" s="283"/>
      <c r="AK83" s="283"/>
      <c r="AL83" s="283"/>
      <c r="AM83" s="283"/>
      <c r="AN83" s="283"/>
    </row>
    <row r="84" spans="1:40" hidden="1" x14ac:dyDescent="0.35">
      <c r="A84" s="284"/>
      <c r="B84" s="280"/>
      <c r="C84" s="280"/>
      <c r="D84" s="184">
        <f t="shared" ref="D84:I84" si="64">SUM(D81:D83)</f>
        <v>0</v>
      </c>
      <c r="E84" s="184">
        <f t="shared" si="64"/>
        <v>0</v>
      </c>
      <c r="F84" s="184">
        <f t="shared" si="64"/>
        <v>0</v>
      </c>
      <c r="G84" s="184">
        <f t="shared" si="64"/>
        <v>0</v>
      </c>
      <c r="H84" s="184">
        <f t="shared" si="64"/>
        <v>0</v>
      </c>
      <c r="I84" s="184">
        <f t="shared" si="64"/>
        <v>0</v>
      </c>
      <c r="J84" s="284"/>
      <c r="K84" s="284"/>
      <c r="L84" s="290">
        <f>SUM(L81:L83)</f>
        <v>0</v>
      </c>
      <c r="M84" s="290">
        <f t="shared" ref="M84" si="65">SUM(M81:M83)</f>
        <v>0</v>
      </c>
      <c r="N84" s="290">
        <f t="shared" ref="N84" si="66">SUM(N81:N83)</f>
        <v>0</v>
      </c>
      <c r="O84" s="290">
        <f t="shared" ref="O84" si="67">SUM(O81:O83)</f>
        <v>0</v>
      </c>
      <c r="P84" s="290">
        <f t="shared" ref="P84" si="68">SUM(P81:P83)</f>
        <v>0</v>
      </c>
      <c r="Q84" s="290">
        <f t="shared" ref="Q84" si="69">SUM(Q81:Q83)</f>
        <v>0</v>
      </c>
      <c r="R84" s="131"/>
      <c r="S84" s="131"/>
      <c r="T84" s="131"/>
      <c r="U84" s="131"/>
      <c r="V84" s="131"/>
      <c r="W84" s="131"/>
      <c r="X84" s="131"/>
      <c r="Y84" s="131"/>
      <c r="Z84" s="131"/>
      <c r="AJ84" s="283"/>
      <c r="AK84" s="283"/>
      <c r="AL84" s="283"/>
      <c r="AM84" s="283"/>
      <c r="AN84" s="283"/>
    </row>
    <row r="85" spans="1:40" hidden="1" x14ac:dyDescent="0.35">
      <c r="A85" s="284"/>
      <c r="B85" s="305"/>
      <c r="C85" s="280"/>
      <c r="D85" s="282" t="s">
        <v>958</v>
      </c>
      <c r="E85" s="184">
        <f>E84-$D$84</f>
        <v>0</v>
      </c>
      <c r="F85" s="184">
        <f>F84-$D$84</f>
        <v>0</v>
      </c>
      <c r="G85" s="184">
        <f>G84-$D$84</f>
        <v>0</v>
      </c>
      <c r="H85" s="184">
        <f>H84-$D$84</f>
        <v>0</v>
      </c>
      <c r="I85" s="184">
        <f>I84-$D$84</f>
        <v>0</v>
      </c>
      <c r="J85" s="284"/>
      <c r="K85" s="284"/>
      <c r="L85" s="535"/>
      <c r="M85" s="290">
        <f>M84-$L$84</f>
        <v>0</v>
      </c>
      <c r="N85" s="290">
        <f t="shared" ref="N85:Q85" si="70">N84-$L$84</f>
        <v>0</v>
      </c>
      <c r="O85" s="290">
        <f t="shared" si="70"/>
        <v>0</v>
      </c>
      <c r="P85" s="290">
        <f t="shared" si="70"/>
        <v>0</v>
      </c>
      <c r="Q85" s="290">
        <f t="shared" si="70"/>
        <v>0</v>
      </c>
      <c r="R85" s="131"/>
      <c r="S85" s="131"/>
      <c r="T85" s="131"/>
      <c r="U85" s="131"/>
      <c r="V85" s="131"/>
      <c r="W85" s="131"/>
      <c r="X85" s="131"/>
      <c r="Y85" s="131"/>
      <c r="Z85" s="131"/>
      <c r="AJ85" s="283"/>
      <c r="AK85" s="283"/>
      <c r="AL85" s="283"/>
      <c r="AM85" s="283"/>
      <c r="AN85" s="283"/>
    </row>
    <row r="86" spans="1:40" hidden="1" x14ac:dyDescent="0.35">
      <c r="A86" s="284"/>
      <c r="B86" s="321"/>
      <c r="C86" s="213"/>
      <c r="D86" s="213"/>
      <c r="E86" s="213"/>
      <c r="F86" s="213"/>
      <c r="G86" s="213"/>
      <c r="H86" s="213"/>
      <c r="I86" s="213"/>
      <c r="J86" s="284"/>
      <c r="K86" s="284"/>
      <c r="L86" s="213"/>
      <c r="M86" s="213"/>
      <c r="N86" s="213"/>
      <c r="O86" s="213"/>
      <c r="P86" s="213"/>
      <c r="Q86" s="213"/>
      <c r="R86" s="131"/>
      <c r="S86" s="131"/>
      <c r="T86" s="131"/>
      <c r="U86" s="131"/>
      <c r="V86" s="131"/>
      <c r="W86" s="131"/>
      <c r="X86" s="131"/>
      <c r="Y86" s="131"/>
      <c r="Z86" s="131"/>
      <c r="AJ86" s="283"/>
      <c r="AK86" s="283"/>
      <c r="AL86" s="283"/>
      <c r="AM86" s="283"/>
      <c r="AN86" s="283"/>
    </row>
    <row r="87" spans="1:40" x14ac:dyDescent="0.35">
      <c r="A87" s="705"/>
      <c r="B87" s="712" t="s">
        <v>959</v>
      </c>
      <c r="C87" s="706"/>
      <c r="D87" s="707"/>
      <c r="E87" s="706"/>
      <c r="F87" s="708"/>
      <c r="G87" s="709"/>
      <c r="H87" s="709"/>
      <c r="I87" s="710"/>
      <c r="J87" s="705"/>
      <c r="K87" s="705"/>
      <c r="L87" s="705"/>
      <c r="M87" s="705"/>
      <c r="N87" s="705"/>
      <c r="O87" s="705"/>
      <c r="P87" s="705"/>
      <c r="Q87" s="705"/>
      <c r="R87" s="131"/>
      <c r="S87" s="131"/>
      <c r="T87" s="131"/>
      <c r="U87" s="131"/>
      <c r="V87" s="131"/>
      <c r="W87" s="131"/>
      <c r="X87" s="131"/>
      <c r="Y87" s="131"/>
      <c r="Z87" s="131"/>
      <c r="AJ87" s="283"/>
      <c r="AK87" s="283"/>
      <c r="AL87" s="283"/>
      <c r="AM87" s="283"/>
      <c r="AN87" s="283"/>
    </row>
    <row r="88" spans="1:40" x14ac:dyDescent="0.35">
      <c r="A88" s="286"/>
      <c r="B88" s="388" t="s">
        <v>960</v>
      </c>
      <c r="C88" s="389"/>
      <c r="D88" s="389"/>
      <c r="E88" s="389"/>
      <c r="F88" s="389"/>
      <c r="G88" s="389"/>
      <c r="H88" s="389"/>
      <c r="I88" s="216"/>
      <c r="J88" s="286"/>
      <c r="K88" s="286"/>
      <c r="L88" s="286"/>
      <c r="M88" s="286"/>
      <c r="N88" s="286"/>
      <c r="O88" s="286"/>
      <c r="P88" s="286"/>
      <c r="Q88" s="286"/>
      <c r="V88" s="131"/>
    </row>
    <row r="89" spans="1:40" ht="43.5" x14ac:dyDescent="0.35">
      <c r="A89" s="286"/>
      <c r="B89" s="276" t="s">
        <v>826</v>
      </c>
      <c r="C89" s="164" t="s">
        <v>961</v>
      </c>
      <c r="D89" s="770" t="s">
        <v>926</v>
      </c>
      <c r="E89" s="253" t="s">
        <v>698</v>
      </c>
      <c r="F89" s="253" t="s">
        <v>699</v>
      </c>
      <c r="G89" s="163" t="s">
        <v>881</v>
      </c>
      <c r="H89" s="163" t="s">
        <v>882</v>
      </c>
      <c r="I89" s="253" t="s">
        <v>883</v>
      </c>
      <c r="J89" s="286"/>
      <c r="K89" s="549" t="s">
        <v>938</v>
      </c>
      <c r="L89" s="770" t="s">
        <v>926</v>
      </c>
      <c r="M89" s="253" t="s">
        <v>698</v>
      </c>
      <c r="N89" s="253" t="s">
        <v>699</v>
      </c>
      <c r="O89" s="163" t="s">
        <v>881</v>
      </c>
      <c r="P89" s="163" t="s">
        <v>882</v>
      </c>
      <c r="Q89" s="253" t="s">
        <v>883</v>
      </c>
      <c r="V89" s="131"/>
    </row>
    <row r="90" spans="1:40" x14ac:dyDescent="0.35">
      <c r="A90" s="286"/>
      <c r="B90" s="345" t="s">
        <v>736</v>
      </c>
      <c r="C90" s="147">
        <f>'Inputs and eligible population'!F86</f>
        <v>5</v>
      </c>
      <c r="D90" s="126">
        <f>((D55)*$C$90)/60</f>
        <v>0</v>
      </c>
      <c r="E90" s="126">
        <f t="shared" ref="E90:I90" si="71">((E55)*$C$90)/60</f>
        <v>20.387481086936035</v>
      </c>
      <c r="F90" s="126">
        <f t="shared" si="71"/>
        <v>46.314119822064214</v>
      </c>
      <c r="G90" s="126">
        <f t="shared" si="71"/>
        <v>49.358486739819334</v>
      </c>
      <c r="H90" s="126">
        <f t="shared" si="71"/>
        <v>49.834391765675562</v>
      </c>
      <c r="I90" s="126">
        <f t="shared" si="71"/>
        <v>50.314885376162195</v>
      </c>
      <c r="J90" s="286"/>
      <c r="K90" s="567">
        <f>'Inputs and eligible population'!K86</f>
        <v>46.77</v>
      </c>
      <c r="L90" s="289">
        <f>(D90*$K90)/1000</f>
        <v>0</v>
      </c>
      <c r="M90" s="289">
        <f t="shared" ref="M90:P92" si="72">(E90*$K90)/1000</f>
        <v>0.95352249043599846</v>
      </c>
      <c r="N90" s="289">
        <f t="shared" si="72"/>
        <v>2.1661113840779436</v>
      </c>
      <c r="O90" s="289">
        <f t="shared" si="72"/>
        <v>2.3084964248213504</v>
      </c>
      <c r="P90" s="289">
        <f t="shared" si="72"/>
        <v>2.3307545028806462</v>
      </c>
      <c r="Q90" s="289">
        <f>(I90*$K90)/1000</f>
        <v>2.353227189043106</v>
      </c>
      <c r="V90" s="131"/>
    </row>
    <row r="91" spans="1:40" x14ac:dyDescent="0.35">
      <c r="A91" s="286"/>
      <c r="B91" s="345" t="s">
        <v>737</v>
      </c>
      <c r="C91" s="147">
        <f>'Inputs and eligible population'!G86</f>
        <v>5</v>
      </c>
      <c r="D91" s="126">
        <f>((D57)*$C$91)/60</f>
        <v>110.8140702305575</v>
      </c>
      <c r="E91" s="126">
        <f t="shared" ref="E91:I91" si="73">((E57)*$C$91)/60</f>
        <v>82.047179984010882</v>
      </c>
      <c r="F91" s="126">
        <f t="shared" si="73"/>
        <v>75.307511905795479</v>
      </c>
      <c r="G91" s="126">
        <f t="shared" si="73"/>
        <v>72.231931814369759</v>
      </c>
      <c r="H91" s="126">
        <f t="shared" si="73"/>
        <v>72.928378193671534</v>
      </c>
      <c r="I91" s="126">
        <f t="shared" si="73"/>
        <v>73.63153957487151</v>
      </c>
      <c r="J91" s="286"/>
      <c r="K91" s="567">
        <f>'Inputs and eligible population'!K86</f>
        <v>46.77</v>
      </c>
      <c r="L91" s="289">
        <f t="shared" ref="L91:L92" si="74">(D91*$K91)/1000</f>
        <v>5.1827740646831746</v>
      </c>
      <c r="M91" s="289">
        <f t="shared" si="72"/>
        <v>3.8373466078521892</v>
      </c>
      <c r="N91" s="289">
        <f t="shared" si="72"/>
        <v>3.5221323318340545</v>
      </c>
      <c r="O91" s="289">
        <f t="shared" si="72"/>
        <v>3.3782874509580738</v>
      </c>
      <c r="P91" s="289">
        <f t="shared" si="72"/>
        <v>3.4108602481180177</v>
      </c>
      <c r="Q91" s="289">
        <f>(I91*$K91)/1000</f>
        <v>3.4437471059167404</v>
      </c>
      <c r="V91" s="131"/>
    </row>
    <row r="92" spans="1:40" x14ac:dyDescent="0.35">
      <c r="A92" s="286"/>
      <c r="B92" s="345" t="s">
        <v>738</v>
      </c>
      <c r="C92" s="147">
        <f>'Inputs and eligible population'!H86</f>
        <v>0</v>
      </c>
      <c r="D92" s="126">
        <v>0</v>
      </c>
      <c r="E92" s="126">
        <v>0</v>
      </c>
      <c r="F92" s="126">
        <v>0</v>
      </c>
      <c r="G92" s="126">
        <v>0</v>
      </c>
      <c r="H92" s="126">
        <v>0</v>
      </c>
      <c r="I92" s="126">
        <v>0</v>
      </c>
      <c r="J92" s="286"/>
      <c r="K92" s="567">
        <f>'Inputs and eligible population'!K86</f>
        <v>46.77</v>
      </c>
      <c r="L92" s="289">
        <f t="shared" si="74"/>
        <v>0</v>
      </c>
      <c r="M92" s="289">
        <f t="shared" si="72"/>
        <v>0</v>
      </c>
      <c r="N92" s="289">
        <f t="shared" si="72"/>
        <v>0</v>
      </c>
      <c r="O92" s="289">
        <f t="shared" si="72"/>
        <v>0</v>
      </c>
      <c r="P92" s="289">
        <f t="shared" si="72"/>
        <v>0</v>
      </c>
      <c r="Q92" s="289">
        <f>(I92*$K92)/1000</f>
        <v>0</v>
      </c>
      <c r="V92" s="131"/>
    </row>
    <row r="93" spans="1:40" x14ac:dyDescent="0.35">
      <c r="A93" s="286"/>
      <c r="B93" s="280"/>
      <c r="C93" s="205"/>
      <c r="D93" s="184">
        <f t="shared" ref="D93:I93" si="75">SUM(D90:D92)</f>
        <v>110.8140702305575</v>
      </c>
      <c r="E93" s="184">
        <f t="shared" si="75"/>
        <v>102.43466107094692</v>
      </c>
      <c r="F93" s="184">
        <f t="shared" si="75"/>
        <v>121.62163172785969</v>
      </c>
      <c r="G93" s="184">
        <f t="shared" si="75"/>
        <v>121.59041855418909</v>
      </c>
      <c r="H93" s="184">
        <f t="shared" si="75"/>
        <v>122.7627699593471</v>
      </c>
      <c r="I93" s="184">
        <f t="shared" si="75"/>
        <v>123.94642495103371</v>
      </c>
      <c r="J93" s="286"/>
      <c r="K93" s="286"/>
      <c r="L93" s="290">
        <f>SUM(L90:L92)</f>
        <v>5.1827740646831746</v>
      </c>
      <c r="M93" s="290">
        <f t="shared" ref="M93" si="76">SUM(M90:M92)</f>
        <v>4.7908690982881872</v>
      </c>
      <c r="N93" s="290">
        <f t="shared" ref="N93" si="77">SUM(N90:N92)</f>
        <v>5.6882437159119981</v>
      </c>
      <c r="O93" s="290">
        <f t="shared" ref="O93" si="78">SUM(O90:O92)</f>
        <v>5.6867838757794242</v>
      </c>
      <c r="P93" s="290">
        <f t="shared" ref="P93" si="79">SUM(P90:P92)</f>
        <v>5.7416147509986644</v>
      </c>
      <c r="Q93" s="290">
        <f>SUM(Q90:Q92)</f>
        <v>5.7969742949598464</v>
      </c>
      <c r="V93" s="131"/>
    </row>
    <row r="94" spans="1:40" x14ac:dyDescent="0.35">
      <c r="A94" s="286"/>
      <c r="B94" s="305"/>
      <c r="C94" s="221"/>
      <c r="D94" s="282" t="s">
        <v>913</v>
      </c>
      <c r="E94" s="184">
        <f>E93-$D$93</f>
        <v>-8.3794091596105886</v>
      </c>
      <c r="F94" s="184">
        <f>F93-$D$93</f>
        <v>10.807561497302189</v>
      </c>
      <c r="G94" s="184">
        <f>G93-$D$93</f>
        <v>10.776348323631581</v>
      </c>
      <c r="H94" s="184">
        <f>H93-$D$93</f>
        <v>11.948699728789592</v>
      </c>
      <c r="I94" s="184">
        <f>I93-$D$93</f>
        <v>13.132354720476201</v>
      </c>
      <c r="J94" s="286"/>
      <c r="K94" s="286"/>
      <c r="L94" s="536"/>
      <c r="M94" s="290">
        <f>M93-$L$93</f>
        <v>-0.3919049663949874</v>
      </c>
      <c r="N94" s="290">
        <f t="shared" ref="N94:P94" si="80">N93-$L$93</f>
        <v>0.50546965122882348</v>
      </c>
      <c r="O94" s="290">
        <f t="shared" si="80"/>
        <v>0.50400981109624965</v>
      </c>
      <c r="P94" s="290">
        <f t="shared" si="80"/>
        <v>0.55884068631548978</v>
      </c>
      <c r="Q94" s="290">
        <f>Q93-$L$93</f>
        <v>0.61420023027667181</v>
      </c>
      <c r="V94" s="131"/>
    </row>
    <row r="95" spans="1:40" x14ac:dyDescent="0.35">
      <c r="A95" s="286"/>
      <c r="B95" s="322"/>
      <c r="C95" s="389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131"/>
      <c r="S95" s="131"/>
      <c r="T95" s="131"/>
      <c r="U95" s="131"/>
      <c r="V95" s="131"/>
      <c r="W95" s="131"/>
      <c r="X95" s="131"/>
      <c r="Y95" s="131"/>
      <c r="Z95" s="131"/>
      <c r="AJ95" s="283"/>
      <c r="AK95" s="283"/>
      <c r="AL95" s="283"/>
      <c r="AM95" s="283"/>
      <c r="AN95" s="283"/>
    </row>
    <row r="96" spans="1:40" hidden="1" x14ac:dyDescent="0.35">
      <c r="A96" s="326"/>
      <c r="B96" s="327" t="s">
        <v>962</v>
      </c>
      <c r="C96" s="328"/>
      <c r="D96" s="328"/>
      <c r="E96" s="329"/>
      <c r="F96" s="330"/>
      <c r="G96" s="331"/>
      <c r="H96" s="331"/>
      <c r="I96" s="382"/>
      <c r="J96" s="326"/>
      <c r="K96" s="326"/>
      <c r="L96" s="326"/>
      <c r="M96" s="326"/>
      <c r="N96" s="326"/>
      <c r="O96" s="326"/>
      <c r="P96" s="326"/>
      <c r="Q96" s="402"/>
      <c r="R96" s="131"/>
      <c r="S96" s="131"/>
      <c r="T96" s="131"/>
      <c r="U96" s="131"/>
      <c r="V96" s="131"/>
      <c r="W96" s="131"/>
      <c r="X96" s="131"/>
      <c r="Y96" s="131"/>
      <c r="Z96" s="131"/>
      <c r="AJ96" s="283"/>
      <c r="AK96" s="283"/>
      <c r="AL96" s="283"/>
      <c r="AM96" s="283"/>
      <c r="AN96" s="283"/>
    </row>
    <row r="97" spans="1:40" hidden="1" x14ac:dyDescent="0.35">
      <c r="A97" s="326"/>
      <c r="B97" s="392" t="s">
        <v>963</v>
      </c>
      <c r="C97" s="393"/>
      <c r="D97" s="393"/>
      <c r="E97" s="393"/>
      <c r="F97" s="393"/>
      <c r="G97" s="393"/>
      <c r="H97" s="393"/>
      <c r="I97" s="332"/>
      <c r="J97" s="402"/>
      <c r="K97" s="402"/>
      <c r="L97" s="431"/>
      <c r="M97" s="431"/>
      <c r="N97" s="431"/>
      <c r="O97" s="431"/>
      <c r="P97" s="431"/>
      <c r="Q97" s="431"/>
      <c r="R97" s="131"/>
      <c r="S97" s="131"/>
      <c r="T97" s="131"/>
      <c r="U97" s="131"/>
      <c r="V97" s="131"/>
      <c r="W97" s="131"/>
      <c r="X97" s="131"/>
      <c r="Y97" s="131"/>
      <c r="Z97" s="131"/>
      <c r="AJ97" s="283"/>
      <c r="AK97" s="283"/>
      <c r="AL97" s="283"/>
      <c r="AM97" s="283"/>
      <c r="AN97" s="283"/>
    </row>
    <row r="98" spans="1:40" ht="43.5" hidden="1" x14ac:dyDescent="0.35">
      <c r="A98" s="326"/>
      <c r="B98" s="276" t="s">
        <v>826</v>
      </c>
      <c r="C98" s="164" t="s">
        <v>766</v>
      </c>
      <c r="D98" s="770" t="s">
        <v>926</v>
      </c>
      <c r="E98" s="253" t="s">
        <v>698</v>
      </c>
      <c r="F98" s="253" t="s">
        <v>699</v>
      </c>
      <c r="G98" s="163" t="s">
        <v>881</v>
      </c>
      <c r="H98" s="163" t="s">
        <v>882</v>
      </c>
      <c r="I98" s="253" t="s">
        <v>883</v>
      </c>
      <c r="J98" s="326"/>
      <c r="K98" s="549" t="s">
        <v>938</v>
      </c>
      <c r="L98" s="770" t="s">
        <v>926</v>
      </c>
      <c r="M98" s="253" t="s">
        <v>698</v>
      </c>
      <c r="N98" s="253" t="s">
        <v>699</v>
      </c>
      <c r="O98" s="163" t="s">
        <v>881</v>
      </c>
      <c r="P98" s="163" t="s">
        <v>882</v>
      </c>
      <c r="Q98" s="253" t="s">
        <v>883</v>
      </c>
      <c r="R98" s="131"/>
      <c r="S98" s="131"/>
      <c r="T98" s="131"/>
      <c r="U98" s="131"/>
      <c r="V98" s="131"/>
      <c r="W98" s="131"/>
      <c r="X98" s="131"/>
      <c r="Y98" s="131"/>
      <c r="Z98" s="131"/>
      <c r="AJ98" s="283"/>
      <c r="AK98" s="283"/>
      <c r="AL98" s="283"/>
      <c r="AM98" s="283"/>
      <c r="AN98" s="283"/>
    </row>
    <row r="99" spans="1:40" hidden="1" x14ac:dyDescent="0.35">
      <c r="A99" s="326"/>
      <c r="B99" s="345"/>
      <c r="C99" s="147">
        <f>'Inputs and eligible population'!F87</f>
        <v>0</v>
      </c>
      <c r="D99" s="126">
        <f>'Financial impact (cash)'!D13*'Capacity (local prices)'!$C99</f>
        <v>0</v>
      </c>
      <c r="E99" s="126">
        <f>'Financial impact (cash)'!E13*'Capacity (local prices)'!$C99</f>
        <v>0</v>
      </c>
      <c r="F99" s="126">
        <f>'Financial impact (cash)'!F13*'Capacity (local prices)'!$C99</f>
        <v>0</v>
      </c>
      <c r="G99" s="126">
        <f>'Financial impact (cash)'!G13*'Capacity (local prices)'!$C99</f>
        <v>0</v>
      </c>
      <c r="H99" s="126">
        <f>'Financial impact (cash)'!H13*'Capacity (local prices)'!$C99</f>
        <v>0</v>
      </c>
      <c r="I99" s="126">
        <f>'Financial impact (cash)'!I13*'Capacity (local prices)'!$C99</f>
        <v>0</v>
      </c>
      <c r="J99" s="326"/>
      <c r="K99" s="567">
        <f>'Inputs and eligible population'!K88</f>
        <v>121.08</v>
      </c>
      <c r="L99" s="289">
        <f>(D99*$C99*'Inputs and eligible population'!$F$88/60*$K99)/1000</f>
        <v>0</v>
      </c>
      <c r="M99" s="289">
        <f>(E99*$C99*'Inputs and eligible population'!$F$88/60*$K99)/1000</f>
        <v>0</v>
      </c>
      <c r="N99" s="289">
        <f>(F99*$C99*'Inputs and eligible population'!$F$88/60*$K99)/1000</f>
        <v>0</v>
      </c>
      <c r="O99" s="289">
        <f>(G99*$C99*'Inputs and eligible population'!$F$88/60*$K99)/1000</f>
        <v>0</v>
      </c>
      <c r="P99" s="289">
        <f>(H99*$C99*'Inputs and eligible population'!$F$88/60*$K99)/1000</f>
        <v>0</v>
      </c>
      <c r="Q99" s="289">
        <f>(I99*$C99*'Inputs and eligible population'!$F$88/60*$K99)/1000</f>
        <v>0</v>
      </c>
      <c r="R99" s="131"/>
      <c r="S99" s="131"/>
      <c r="T99" s="131"/>
      <c r="U99" s="131"/>
      <c r="V99" s="131"/>
      <c r="W99" s="131"/>
      <c r="X99" s="131"/>
      <c r="Y99" s="131"/>
      <c r="Z99" s="131"/>
      <c r="AJ99" s="283"/>
      <c r="AK99" s="283"/>
      <c r="AL99" s="283"/>
      <c r="AM99" s="283"/>
      <c r="AN99" s="283"/>
    </row>
    <row r="100" spans="1:40" hidden="1" x14ac:dyDescent="0.35">
      <c r="A100" s="326"/>
      <c r="B100" s="345"/>
      <c r="C100" s="147">
        <f>'Inputs and eligible population'!G87</f>
        <v>0</v>
      </c>
      <c r="D100" s="126">
        <f>'Financial impact (cash)'!D14*'Capacity (local prices)'!$C100</f>
        <v>0</v>
      </c>
      <c r="E100" s="126">
        <f>'Financial impact (cash)'!E14*'Capacity (local prices)'!$C100</f>
        <v>0</v>
      </c>
      <c r="F100" s="126">
        <f>'Financial impact (cash)'!F14*'Capacity (local prices)'!$C100</f>
        <v>0</v>
      </c>
      <c r="G100" s="126">
        <f>'Financial impact (cash)'!G14*'Capacity (local prices)'!$C100</f>
        <v>0</v>
      </c>
      <c r="H100" s="126">
        <f>'Financial impact (cash)'!H14*'Capacity (local prices)'!$C100</f>
        <v>0</v>
      </c>
      <c r="I100" s="126">
        <f>'Financial impact (cash)'!I14*'Capacity (local prices)'!$C100</f>
        <v>0</v>
      </c>
      <c r="J100" s="326"/>
      <c r="K100" s="567">
        <f>'Inputs and eligible population'!K88</f>
        <v>121.08</v>
      </c>
      <c r="L100" s="289">
        <f>(D100*$C100*'Inputs and eligible population'!$F$88/60*$K100)/1000</f>
        <v>0</v>
      </c>
      <c r="M100" s="289">
        <f>(E100*$C100*'Inputs and eligible population'!$F$88/60*$K100)/1000</f>
        <v>0</v>
      </c>
      <c r="N100" s="289">
        <f>(F100*$C100*'Inputs and eligible population'!$F$88/60*$K100)/1000</f>
        <v>0</v>
      </c>
      <c r="O100" s="289">
        <f>(G100*$C100*'Inputs and eligible population'!$F$88/60*$K100)/1000</f>
        <v>0</v>
      </c>
      <c r="P100" s="289">
        <f>(H100*$C100*'Inputs and eligible population'!$F$88/60*$K100)/1000</f>
        <v>0</v>
      </c>
      <c r="Q100" s="289">
        <f>(I100*$C100*'Inputs and eligible population'!$F$88/60*$K100)/1000</f>
        <v>0</v>
      </c>
      <c r="R100" s="131"/>
      <c r="S100" s="131"/>
      <c r="T100" s="131"/>
      <c r="U100" s="131"/>
      <c r="V100" s="131"/>
      <c r="W100" s="131"/>
      <c r="X100" s="131"/>
      <c r="Y100" s="131"/>
      <c r="Z100" s="131"/>
      <c r="AJ100" s="283"/>
      <c r="AK100" s="283"/>
      <c r="AL100" s="283"/>
      <c r="AM100" s="283"/>
      <c r="AN100" s="283"/>
    </row>
    <row r="101" spans="1:40" hidden="1" x14ac:dyDescent="0.35">
      <c r="A101" s="326"/>
      <c r="B101" s="345"/>
      <c r="C101" s="147">
        <f>'Inputs and eligible population'!H87</f>
        <v>0</v>
      </c>
      <c r="D101" s="126">
        <f>'Financial impact (cash)'!D15*'Capacity (local prices)'!$C101</f>
        <v>0</v>
      </c>
      <c r="E101" s="126">
        <f>'Financial impact (cash)'!E15*'Capacity (local prices)'!$C101</f>
        <v>0</v>
      </c>
      <c r="F101" s="126">
        <f>'Financial impact (cash)'!F15*'Capacity (local prices)'!$C101</f>
        <v>0</v>
      </c>
      <c r="G101" s="126">
        <f>'Financial impact (cash)'!G15*'Capacity (local prices)'!$C101</f>
        <v>0</v>
      </c>
      <c r="H101" s="126">
        <f>'Financial impact (cash)'!H15*'Capacity (local prices)'!$C101</f>
        <v>0</v>
      </c>
      <c r="I101" s="126">
        <f>'Financial impact (cash)'!I15*'Capacity (local prices)'!$C101</f>
        <v>0</v>
      </c>
      <c r="J101" s="326"/>
      <c r="K101" s="567">
        <f>'Inputs and eligible population'!K88</f>
        <v>121.08</v>
      </c>
      <c r="L101" s="289">
        <f>(D101*$C101*'Inputs and eligible population'!$F$88/60*$K101)/1000</f>
        <v>0</v>
      </c>
      <c r="M101" s="289">
        <f>(E101*$C101*'Inputs and eligible population'!$F$88/60*$K101)/1000</f>
        <v>0</v>
      </c>
      <c r="N101" s="289">
        <f>(F101*$C101*'Inputs and eligible population'!$F$88/60*$K101)/1000</f>
        <v>0</v>
      </c>
      <c r="O101" s="289">
        <f>(G101*$C101*'Inputs and eligible population'!$F$88/60*$K101)/1000</f>
        <v>0</v>
      </c>
      <c r="P101" s="289">
        <f>(H101*$C101*'Inputs and eligible population'!$F$88/60*$K101)/1000</f>
        <v>0</v>
      </c>
      <c r="Q101" s="289">
        <f>(I101*$C101*'Inputs and eligible population'!$F$88/60*$K101)/1000</f>
        <v>0</v>
      </c>
      <c r="R101" s="131"/>
      <c r="S101" s="131"/>
      <c r="T101" s="131"/>
      <c r="U101" s="131"/>
      <c r="V101" s="131"/>
      <c r="W101" s="131"/>
      <c r="X101" s="131"/>
      <c r="Y101" s="131"/>
      <c r="Z101" s="131"/>
      <c r="AJ101" s="283"/>
      <c r="AK101" s="283"/>
      <c r="AL101" s="283"/>
      <c r="AM101" s="283"/>
      <c r="AN101" s="283"/>
    </row>
    <row r="102" spans="1:40" hidden="1" x14ac:dyDescent="0.35">
      <c r="A102" s="326"/>
      <c r="B102" s="280"/>
      <c r="C102" s="205"/>
      <c r="D102" s="184">
        <f t="shared" ref="D102:I102" si="81">SUM(D99:D101)</f>
        <v>0</v>
      </c>
      <c r="E102" s="184">
        <f t="shared" si="81"/>
        <v>0</v>
      </c>
      <c r="F102" s="184">
        <f t="shared" si="81"/>
        <v>0</v>
      </c>
      <c r="G102" s="184">
        <f t="shared" si="81"/>
        <v>0</v>
      </c>
      <c r="H102" s="184">
        <f t="shared" si="81"/>
        <v>0</v>
      </c>
      <c r="I102" s="184">
        <f t="shared" si="81"/>
        <v>0</v>
      </c>
      <c r="J102" s="326"/>
      <c r="K102" s="326"/>
      <c r="L102" s="290">
        <f>SUM(L99:L101)</f>
        <v>0</v>
      </c>
      <c r="M102" s="290">
        <f t="shared" ref="M102" si="82">SUM(M99:M101)</f>
        <v>0</v>
      </c>
      <c r="N102" s="290">
        <f t="shared" ref="N102" si="83">SUM(N99:N101)</f>
        <v>0</v>
      </c>
      <c r="O102" s="290">
        <f t="shared" ref="O102" si="84">SUM(O99:O101)</f>
        <v>0</v>
      </c>
      <c r="P102" s="290">
        <f t="shared" ref="P102" si="85">SUM(P99:P101)</f>
        <v>0</v>
      </c>
      <c r="Q102" s="290">
        <f t="shared" ref="Q102" si="86">SUM(Q99:Q101)</f>
        <v>0</v>
      </c>
      <c r="R102" s="131"/>
      <c r="S102" s="131"/>
      <c r="T102" s="131"/>
      <c r="U102" s="131"/>
      <c r="V102" s="131"/>
      <c r="W102" s="131"/>
      <c r="X102" s="131"/>
      <c r="Y102" s="131"/>
      <c r="Z102" s="131"/>
      <c r="AJ102" s="283"/>
      <c r="AK102" s="283"/>
      <c r="AL102" s="283"/>
      <c r="AM102" s="283"/>
      <c r="AN102" s="283"/>
    </row>
    <row r="103" spans="1:40" hidden="1" x14ac:dyDescent="0.35">
      <c r="A103" s="326"/>
      <c r="B103" s="305"/>
      <c r="C103" s="254"/>
      <c r="D103" s="282" t="s">
        <v>964</v>
      </c>
      <c r="E103" s="184">
        <f>E102-$D$102</f>
        <v>0</v>
      </c>
      <c r="F103" s="184">
        <f>F102-$D$102</f>
        <v>0</v>
      </c>
      <c r="G103" s="184">
        <f>G102-$D$102</f>
        <v>0</v>
      </c>
      <c r="H103" s="184">
        <f>H102-$D$102</f>
        <v>0</v>
      </c>
      <c r="I103" s="184">
        <f>I102-$D$102</f>
        <v>0</v>
      </c>
      <c r="J103" s="326"/>
      <c r="K103" s="326"/>
      <c r="L103" s="537"/>
      <c r="M103" s="290">
        <f>M102-$L$102</f>
        <v>0</v>
      </c>
      <c r="N103" s="290">
        <f t="shared" ref="N103:Q103" si="87">N102-$L$102</f>
        <v>0</v>
      </c>
      <c r="O103" s="290">
        <f t="shared" si="87"/>
        <v>0</v>
      </c>
      <c r="P103" s="290">
        <f t="shared" si="87"/>
        <v>0</v>
      </c>
      <c r="Q103" s="290">
        <f t="shared" si="87"/>
        <v>0</v>
      </c>
      <c r="V103" s="131"/>
    </row>
    <row r="104" spans="1:40" hidden="1" x14ac:dyDescent="0.35">
      <c r="A104" s="326"/>
      <c r="B104" s="326"/>
      <c r="C104" s="326"/>
      <c r="D104" s="326"/>
      <c r="E104" s="326"/>
      <c r="F104" s="326"/>
      <c r="G104" s="326"/>
      <c r="H104" s="326"/>
      <c r="I104" s="326"/>
      <c r="J104" s="326"/>
      <c r="K104" s="326"/>
      <c r="L104" s="326"/>
      <c r="M104" s="326"/>
      <c r="N104" s="326"/>
      <c r="O104" s="326"/>
      <c r="P104" s="326"/>
      <c r="Q104" s="326"/>
      <c r="V104" s="131"/>
    </row>
    <row r="105" spans="1:40" x14ac:dyDescent="0.35">
      <c r="A105" s="287"/>
      <c r="B105" s="323" t="s">
        <v>965</v>
      </c>
      <c r="C105" s="307"/>
      <c r="D105" s="308"/>
      <c r="E105" s="309"/>
      <c r="F105" s="310"/>
      <c r="G105" s="310"/>
      <c r="H105" s="310"/>
      <c r="I105" s="432"/>
      <c r="J105" s="287"/>
      <c r="K105" s="287"/>
      <c r="L105" s="287"/>
      <c r="M105" s="287"/>
      <c r="N105" s="287"/>
      <c r="O105" s="287"/>
      <c r="P105" s="287"/>
      <c r="Q105" s="219"/>
      <c r="R105" s="131"/>
      <c r="S105" s="131"/>
      <c r="T105" s="131"/>
      <c r="U105" s="131"/>
      <c r="V105" s="131"/>
      <c r="W105" s="131"/>
      <c r="X105" s="131"/>
      <c r="Y105" s="131"/>
      <c r="Z105" s="131"/>
      <c r="AJ105" s="283"/>
      <c r="AK105" s="283"/>
      <c r="AL105" s="283"/>
      <c r="AM105" s="283"/>
      <c r="AN105" s="283"/>
    </row>
    <row r="106" spans="1:40" x14ac:dyDescent="0.35">
      <c r="A106" s="287"/>
      <c r="B106" s="394" t="s">
        <v>769</v>
      </c>
      <c r="C106" s="395"/>
      <c r="D106" s="395"/>
      <c r="E106" s="395"/>
      <c r="F106" s="395"/>
      <c r="G106" s="395"/>
      <c r="H106" s="395"/>
      <c r="I106" s="218"/>
      <c r="J106" s="219"/>
      <c r="K106" s="219"/>
      <c r="L106" s="426"/>
      <c r="M106" s="426"/>
      <c r="N106" s="426"/>
      <c r="O106" s="426"/>
      <c r="P106" s="426"/>
      <c r="Q106" s="426"/>
      <c r="R106" s="131"/>
      <c r="S106" s="131"/>
      <c r="T106" s="131"/>
      <c r="U106" s="131"/>
      <c r="V106" s="131"/>
      <c r="W106" s="131"/>
      <c r="X106" s="131"/>
      <c r="Y106" s="131"/>
      <c r="Z106" s="131"/>
      <c r="AJ106" s="283"/>
      <c r="AK106" s="283"/>
      <c r="AL106" s="283"/>
      <c r="AM106" s="283"/>
      <c r="AN106" s="283"/>
    </row>
    <row r="107" spans="1:40" ht="43.5" x14ac:dyDescent="0.35">
      <c r="A107" s="287"/>
      <c r="B107" s="276" t="s">
        <v>826</v>
      </c>
      <c r="C107" s="164" t="s">
        <v>769</v>
      </c>
      <c r="D107" s="770" t="s">
        <v>926</v>
      </c>
      <c r="E107" s="253" t="s">
        <v>698</v>
      </c>
      <c r="F107" s="253" t="s">
        <v>699</v>
      </c>
      <c r="G107" s="163" t="s">
        <v>881</v>
      </c>
      <c r="H107" s="163" t="s">
        <v>882</v>
      </c>
      <c r="I107" s="253" t="s">
        <v>883</v>
      </c>
      <c r="J107" s="287"/>
      <c r="K107" s="549" t="s">
        <v>938</v>
      </c>
      <c r="L107" s="770" t="s">
        <v>926</v>
      </c>
      <c r="M107" s="253" t="s">
        <v>698</v>
      </c>
      <c r="N107" s="253" t="s">
        <v>699</v>
      </c>
      <c r="O107" s="163" t="s">
        <v>881</v>
      </c>
      <c r="P107" s="163" t="s">
        <v>882</v>
      </c>
      <c r="Q107" s="253" t="s">
        <v>883</v>
      </c>
      <c r="R107" s="131"/>
      <c r="S107" s="131"/>
      <c r="T107" s="131"/>
      <c r="U107" s="131"/>
      <c r="V107" s="131"/>
      <c r="W107" s="131"/>
      <c r="X107" s="131"/>
      <c r="Y107" s="131"/>
      <c r="Z107" s="131"/>
      <c r="AJ107" s="283"/>
      <c r="AK107" s="283"/>
      <c r="AL107" s="283"/>
      <c r="AM107" s="283"/>
      <c r="AN107" s="283"/>
    </row>
    <row r="108" spans="1:40" x14ac:dyDescent="0.35">
      <c r="A108" s="287"/>
      <c r="B108" s="345" t="s">
        <v>736</v>
      </c>
      <c r="C108" s="147">
        <f>'Inputs and eligible population'!F89</f>
        <v>12</v>
      </c>
      <c r="D108" s="126">
        <f>D$7*'Inputs and eligible population'!E66*'Capacity (local prices)'!$C108</f>
        <v>0</v>
      </c>
      <c r="E108" s="126">
        <f>E$7*'Inputs and eligible population'!F66*'Capacity (local prices)'!$C108</f>
        <v>716.048116224095</v>
      </c>
      <c r="F108" s="126">
        <f>F$7*'Inputs and eligible population'!G66*'Capacity (local prices)'!$C108</f>
        <v>1626.6422571651824</v>
      </c>
      <c r="G108" s="126">
        <f>G$7*'Inputs and eligible population'!H66*'Capacity (local prices)'!$C108</f>
        <v>1733.5663635448741</v>
      </c>
      <c r="H108" s="126">
        <f>H$7*'Inputs and eligible population'!I66*'Capacity (local prices)'!$C108</f>
        <v>1750.2810766481171</v>
      </c>
      <c r="I108" s="126">
        <f>I$7*'Inputs and eligible population'!J66*'Capacity (local prices)'!$C108</f>
        <v>1767.1569497969163</v>
      </c>
      <c r="J108" s="287"/>
      <c r="K108" s="567">
        <f>'Inputs and eligible population'!K90</f>
        <v>42.15</v>
      </c>
      <c r="L108" s="289">
        <f>(D108*'Inputs and eligible population'!$F$90/60*$K108)/1000</f>
        <v>0</v>
      </c>
      <c r="M108" s="289">
        <f>(E108*'Inputs and eligible population'!$F$90/60*$K108)/1000</f>
        <v>0</v>
      </c>
      <c r="N108" s="289">
        <f>(F108*'Inputs and eligible population'!$F$90/60*$K108)/1000</f>
        <v>0</v>
      </c>
      <c r="O108" s="289">
        <f>(G108*'Inputs and eligible population'!$F$90/60*$K108)/1000</f>
        <v>0</v>
      </c>
      <c r="P108" s="289">
        <f>(H108*'Inputs and eligible population'!$F$90/60*$K108)/1000</f>
        <v>0</v>
      </c>
      <c r="Q108" s="289">
        <f>(I108*'Inputs and eligible population'!$F$90/60*$K108)/1000</f>
        <v>0</v>
      </c>
      <c r="R108" s="131"/>
      <c r="S108" s="131"/>
      <c r="T108" s="131"/>
      <c r="U108" s="131"/>
      <c r="V108" s="131"/>
      <c r="W108" s="131"/>
      <c r="X108" s="131"/>
      <c r="Y108" s="131"/>
      <c r="Z108" s="131"/>
      <c r="AJ108" s="283"/>
      <c r="AK108" s="283"/>
      <c r="AL108" s="283"/>
      <c r="AM108" s="283"/>
      <c r="AN108" s="283"/>
    </row>
    <row r="109" spans="1:40" x14ac:dyDescent="0.35">
      <c r="A109" s="287"/>
      <c r="B109" s="345" t="s">
        <v>737</v>
      </c>
      <c r="C109" s="147">
        <f>'Inputs and eligible population'!G89</f>
        <v>12</v>
      </c>
      <c r="D109" s="126">
        <f>D$7*'Inputs and eligible population'!E67*'Capacity (local prices)'!$C109</f>
        <v>2659.5376855333802</v>
      </c>
      <c r="E109" s="126">
        <f>E$7*'Inputs and eligible population'!F67*'Capacity (local prices)'!$C109</f>
        <v>1969.1323196162612</v>
      </c>
      <c r="F109" s="126">
        <f>F$7*'Inputs and eligible population'!G67*'Capacity (local prices)'!$C109</f>
        <v>1807.3802857390915</v>
      </c>
      <c r="G109" s="126">
        <f>G$7*'Inputs and eligible population'!H67*'Capacity (local prices)'!$C109</f>
        <v>1733.5663635448741</v>
      </c>
      <c r="H109" s="126">
        <f>H$7*'Inputs and eligible population'!I67*'Capacity (local prices)'!$C109</f>
        <v>1750.2810766481171</v>
      </c>
      <c r="I109" s="126">
        <f>I$7*'Inputs and eligible population'!J67*'Capacity (local prices)'!$C109</f>
        <v>1767.1569497969163</v>
      </c>
      <c r="J109" s="287"/>
      <c r="K109" s="567">
        <f>'Inputs and eligible population'!K90</f>
        <v>42.15</v>
      </c>
      <c r="L109" s="289">
        <f>(D109*'Inputs and eligible population'!$G$90/60*$K109)/1000</f>
        <v>0</v>
      </c>
      <c r="M109" s="289">
        <f>(E109*'Inputs and eligible population'!$G$90/60*$K109)/1000</f>
        <v>0</v>
      </c>
      <c r="N109" s="289">
        <f>(F109*'Inputs and eligible population'!$G$90/60*$K109)/1000</f>
        <v>0</v>
      </c>
      <c r="O109" s="289">
        <f>(G109*'Inputs and eligible population'!$G$90/60*$K109)/1000</f>
        <v>0</v>
      </c>
      <c r="P109" s="289">
        <f>(H109*'Inputs and eligible population'!$G$90/60*$K109)/1000</f>
        <v>0</v>
      </c>
      <c r="Q109" s="289">
        <f>(I109*'Inputs and eligible population'!$G$90/60*$K109)/1000</f>
        <v>0</v>
      </c>
      <c r="R109" s="131"/>
      <c r="S109" s="131"/>
      <c r="T109" s="131"/>
      <c r="U109" s="131"/>
      <c r="V109" s="131"/>
      <c r="W109" s="131"/>
      <c r="X109" s="131"/>
      <c r="Y109" s="131"/>
      <c r="Z109" s="131"/>
      <c r="AJ109" s="283"/>
      <c r="AK109" s="283"/>
      <c r="AL109" s="283"/>
      <c r="AM109" s="283"/>
      <c r="AN109" s="283"/>
    </row>
    <row r="110" spans="1:40" x14ac:dyDescent="0.35">
      <c r="A110" s="287"/>
      <c r="B110" s="345" t="s">
        <v>738</v>
      </c>
      <c r="C110" s="147">
        <f>'Inputs and eligible population'!H89</f>
        <v>12</v>
      </c>
      <c r="D110" s="126">
        <f>D$7*'Inputs and eligible population'!E68*'Capacity (local prices)'!$C110</f>
        <v>886.51256184446004</v>
      </c>
      <c r="E110" s="126">
        <f>E$7*'Inputs and eligible population'!F68*'Capacity (local prices)'!$C110</f>
        <v>895.0601452801186</v>
      </c>
      <c r="F110" s="126">
        <f>F$7*'Inputs and eligible population'!G68*'Capacity (local prices)'!$C110</f>
        <v>180.73802857390916</v>
      </c>
      <c r="G110" s="126">
        <f>G$7*'Inputs and eligible population'!H68*'Capacity (local prices)'!$C110</f>
        <v>182.4806698468289</v>
      </c>
      <c r="H110" s="126">
        <f>H$7*'Inputs and eligible population'!I68*'Capacity (local prices)'!$C110</f>
        <v>184.24011333138077</v>
      </c>
      <c r="I110" s="126">
        <f>I$7*'Inputs and eligible population'!J68*'Capacity (local prices)'!$C110</f>
        <v>186.01652103125434</v>
      </c>
      <c r="J110" s="287"/>
      <c r="K110" s="567">
        <f>'Inputs and eligible population'!K90</f>
        <v>42.15</v>
      </c>
      <c r="L110" s="289">
        <f>(D110*'Inputs and eligible population'!$H$90/60*$K110)/1000</f>
        <v>0</v>
      </c>
      <c r="M110" s="289">
        <f>(E110*'Inputs and eligible population'!$H$90/60*$K110)/1000</f>
        <v>0</v>
      </c>
      <c r="N110" s="289">
        <f>(F110*'Inputs and eligible population'!$H$90/60*$K110)/1000</f>
        <v>0</v>
      </c>
      <c r="O110" s="289">
        <f>(G110*'Inputs and eligible population'!$H$90/60*$K110)/1000</f>
        <v>0</v>
      </c>
      <c r="P110" s="289">
        <f>(H110*'Inputs and eligible population'!$H$90/60*$K110)/1000</f>
        <v>0</v>
      </c>
      <c r="Q110" s="289">
        <f>(I110*'Inputs and eligible population'!$H$90/60*$K110)/1000</f>
        <v>0</v>
      </c>
      <c r="R110" s="131"/>
      <c r="S110" s="131"/>
      <c r="T110" s="131"/>
      <c r="U110" s="131"/>
      <c r="V110" s="131"/>
      <c r="W110" s="131"/>
      <c r="X110" s="131"/>
      <c r="Y110" s="131"/>
      <c r="Z110" s="131"/>
      <c r="AJ110" s="283"/>
      <c r="AK110" s="283"/>
      <c r="AL110" s="283"/>
      <c r="AM110" s="283"/>
      <c r="AN110" s="283"/>
    </row>
    <row r="111" spans="1:40" x14ac:dyDescent="0.35">
      <c r="A111" s="287"/>
      <c r="B111" s="280"/>
      <c r="C111" s="205"/>
      <c r="D111" s="184">
        <f t="shared" ref="D111:I111" si="88">SUM(D108:D110)</f>
        <v>3546.0502473778402</v>
      </c>
      <c r="E111" s="184">
        <f t="shared" si="88"/>
        <v>3580.2405811204744</v>
      </c>
      <c r="F111" s="184">
        <f t="shared" si="88"/>
        <v>3614.760571478183</v>
      </c>
      <c r="G111" s="184">
        <f t="shared" si="88"/>
        <v>3649.6133969365769</v>
      </c>
      <c r="H111" s="184">
        <f t="shared" si="88"/>
        <v>3684.8022666276147</v>
      </c>
      <c r="I111" s="184">
        <f t="shared" si="88"/>
        <v>3720.3304206250868</v>
      </c>
      <c r="J111" s="287"/>
      <c r="K111" s="287"/>
      <c r="L111" s="290">
        <f>SUM(L108:L110)</f>
        <v>0</v>
      </c>
      <c r="M111" s="290">
        <f t="shared" ref="M111" si="89">SUM(M108:M110)</f>
        <v>0</v>
      </c>
      <c r="N111" s="290">
        <f t="shared" ref="N111" si="90">SUM(N108:N110)</f>
        <v>0</v>
      </c>
      <c r="O111" s="290">
        <f t="shared" ref="O111" si="91">SUM(O108:O110)</f>
        <v>0</v>
      </c>
      <c r="P111" s="290">
        <f t="shared" ref="P111" si="92">SUM(P108:P110)</f>
        <v>0</v>
      </c>
      <c r="Q111" s="290">
        <f t="shared" ref="Q111" si="93">SUM(Q108:Q110)</f>
        <v>0</v>
      </c>
      <c r="R111" s="131"/>
      <c r="S111" s="131"/>
      <c r="T111" s="131"/>
      <c r="U111" s="131"/>
      <c r="V111" s="131"/>
      <c r="W111" s="131"/>
      <c r="X111" s="131"/>
      <c r="Y111" s="131"/>
      <c r="Z111" s="131"/>
      <c r="AJ111" s="283"/>
      <c r="AK111" s="283"/>
      <c r="AL111" s="283"/>
      <c r="AM111" s="283"/>
      <c r="AN111" s="283"/>
    </row>
    <row r="112" spans="1:40" x14ac:dyDescent="0.35">
      <c r="A112" s="287"/>
      <c r="B112" s="305"/>
      <c r="C112" s="254"/>
      <c r="D112" s="282" t="s">
        <v>917</v>
      </c>
      <c r="E112" s="184">
        <f>E111-$D$111</f>
        <v>34.190333742634266</v>
      </c>
      <c r="F112" s="184">
        <f>F111-$D$111</f>
        <v>68.710324100342859</v>
      </c>
      <c r="G112" s="184">
        <f>G111-$D$111</f>
        <v>103.56314955873677</v>
      </c>
      <c r="H112" s="184">
        <f>H111-$D$111</f>
        <v>138.75201924977455</v>
      </c>
      <c r="I112" s="184">
        <f>I111-$D$111</f>
        <v>174.28017324724669</v>
      </c>
      <c r="J112" s="287"/>
      <c r="K112" s="287"/>
      <c r="L112" s="538"/>
      <c r="M112" s="290">
        <f>M111-$L$111</f>
        <v>0</v>
      </c>
      <c r="N112" s="290">
        <f t="shared" ref="N112:Q112" si="94">N111-$L$111</f>
        <v>0</v>
      </c>
      <c r="O112" s="290">
        <f t="shared" si="94"/>
        <v>0</v>
      </c>
      <c r="P112" s="290">
        <f t="shared" si="94"/>
        <v>0</v>
      </c>
      <c r="Q112" s="290">
        <f t="shared" si="94"/>
        <v>0</v>
      </c>
      <c r="V112" s="131"/>
    </row>
    <row r="113" spans="1:40" x14ac:dyDescent="0.35">
      <c r="A113" s="287"/>
      <c r="B113" s="324"/>
      <c r="C113" s="219"/>
      <c r="D113" s="219"/>
      <c r="E113" s="219"/>
      <c r="F113" s="219"/>
      <c r="G113" s="219"/>
      <c r="H113" s="219"/>
      <c r="I113" s="219"/>
      <c r="J113" s="287"/>
      <c r="K113" s="287"/>
      <c r="L113" s="219"/>
      <c r="M113" s="219"/>
      <c r="N113" s="219"/>
      <c r="O113" s="219"/>
      <c r="P113" s="219"/>
      <c r="Q113" s="219"/>
      <c r="V113" s="131"/>
    </row>
    <row r="114" spans="1:40" hidden="1" x14ac:dyDescent="0.35">
      <c r="A114" s="287"/>
      <c r="B114" s="394" t="s">
        <v>966</v>
      </c>
      <c r="C114" s="395"/>
      <c r="D114" s="395"/>
      <c r="E114" s="395"/>
      <c r="F114" s="395"/>
      <c r="G114" s="395"/>
      <c r="H114" s="395"/>
      <c r="I114" s="218"/>
      <c r="J114" s="287"/>
      <c r="K114" s="287"/>
      <c r="L114" s="426"/>
      <c r="M114" s="426"/>
      <c r="N114" s="426"/>
      <c r="O114" s="426"/>
      <c r="P114" s="426"/>
      <c r="Q114" s="426"/>
      <c r="R114" s="131"/>
      <c r="S114" s="131"/>
      <c r="T114" s="131"/>
      <c r="U114" s="131"/>
      <c r="V114" s="131"/>
      <c r="W114" s="131"/>
      <c r="X114" s="131"/>
      <c r="Y114" s="131"/>
      <c r="Z114" s="131"/>
      <c r="AJ114" s="283"/>
      <c r="AK114" s="283"/>
      <c r="AL114" s="283"/>
      <c r="AM114" s="283"/>
      <c r="AN114" s="283"/>
    </row>
    <row r="115" spans="1:40" ht="43.5" hidden="1" x14ac:dyDescent="0.35">
      <c r="A115" s="287"/>
      <c r="B115" s="276" t="s">
        <v>826</v>
      </c>
      <c r="C115" s="164" t="s">
        <v>967</v>
      </c>
      <c r="D115" s="770" t="s">
        <v>926</v>
      </c>
      <c r="E115" s="253" t="s">
        <v>698</v>
      </c>
      <c r="F115" s="253" t="s">
        <v>699</v>
      </c>
      <c r="G115" s="163" t="s">
        <v>881</v>
      </c>
      <c r="H115" s="163" t="s">
        <v>882</v>
      </c>
      <c r="I115" s="253" t="s">
        <v>883</v>
      </c>
      <c r="J115" s="287"/>
      <c r="K115" s="549" t="s">
        <v>938</v>
      </c>
      <c r="L115" s="770" t="s">
        <v>926</v>
      </c>
      <c r="M115" s="253" t="s">
        <v>698</v>
      </c>
      <c r="N115" s="253" t="s">
        <v>699</v>
      </c>
      <c r="O115" s="163" t="s">
        <v>881</v>
      </c>
      <c r="P115" s="163" t="s">
        <v>882</v>
      </c>
      <c r="Q115" s="253" t="s">
        <v>883</v>
      </c>
      <c r="R115" s="131"/>
      <c r="S115" s="131"/>
      <c r="T115" s="131"/>
      <c r="U115" s="131"/>
      <c r="V115" s="131"/>
      <c r="W115" s="131"/>
      <c r="X115" s="131"/>
      <c r="Y115" s="131"/>
      <c r="Z115" s="131"/>
      <c r="AJ115" s="283"/>
      <c r="AK115" s="283"/>
      <c r="AL115" s="283"/>
      <c r="AM115" s="283"/>
      <c r="AN115" s="283"/>
    </row>
    <row r="116" spans="1:40" hidden="1" x14ac:dyDescent="0.35">
      <c r="A116" s="287"/>
      <c r="B116" s="345"/>
      <c r="C116" s="147">
        <f>'Inputs and eligible population'!F91</f>
        <v>0</v>
      </c>
      <c r="D116" s="126">
        <f>D$7*'Inputs and eligible population'!E66*'Capacity (local prices)'!$C116</f>
        <v>0</v>
      </c>
      <c r="E116" s="126">
        <f>E$7*'Inputs and eligible population'!F66*'Capacity (local prices)'!$C116</f>
        <v>0</v>
      </c>
      <c r="F116" s="126">
        <f>F$7*'Inputs and eligible population'!G66*'Capacity (local prices)'!$C116</f>
        <v>0</v>
      </c>
      <c r="G116" s="126">
        <f>G$7*'Inputs and eligible population'!H66*'Capacity (local prices)'!$C116</f>
        <v>0</v>
      </c>
      <c r="H116" s="126">
        <f>H$7*'Inputs and eligible population'!I66*'Capacity (local prices)'!$C116</f>
        <v>0</v>
      </c>
      <c r="I116" s="126">
        <f>I$7*'Inputs and eligible population'!J66*'Capacity (local prices)'!$C116</f>
        <v>0</v>
      </c>
      <c r="J116" s="287"/>
      <c r="K116" s="567">
        <f>'Inputs and eligible population'!K92</f>
        <v>34.07</v>
      </c>
      <c r="L116" s="289">
        <f>(D116*C116*'Inputs and eligible population'!$F$92/60*$K116)/1000</f>
        <v>0</v>
      </c>
      <c r="M116" s="289">
        <f>(E116*D116*'Inputs and eligible population'!$F$92/60*$K116)/1000</f>
        <v>0</v>
      </c>
      <c r="N116" s="289">
        <f>(F116*E116*'Inputs and eligible population'!$F$92/60*$K116)/1000</f>
        <v>0</v>
      </c>
      <c r="O116" s="289">
        <f>(G116*F116*'Inputs and eligible population'!$F$92/60*$K116)/1000</f>
        <v>0</v>
      </c>
      <c r="P116" s="289">
        <f>(H116*G116*'Inputs and eligible population'!$F$92/60*$K116)/1000</f>
        <v>0</v>
      </c>
      <c r="Q116" s="289">
        <f>(I116*H116*'Inputs and eligible population'!$F$92/60*$K116)/1000</f>
        <v>0</v>
      </c>
      <c r="R116" s="131"/>
      <c r="S116" s="131"/>
      <c r="T116" s="131"/>
      <c r="U116" s="131"/>
      <c r="V116" s="131"/>
      <c r="W116" s="131"/>
      <c r="X116" s="131"/>
      <c r="Y116" s="131"/>
      <c r="Z116" s="131"/>
      <c r="AJ116" s="283"/>
      <c r="AK116" s="283"/>
      <c r="AL116" s="283"/>
      <c r="AM116" s="283"/>
      <c r="AN116" s="283"/>
    </row>
    <row r="117" spans="1:40" hidden="1" x14ac:dyDescent="0.35">
      <c r="A117" s="287"/>
      <c r="B117" s="345"/>
      <c r="C117" s="147">
        <f>'Inputs and eligible population'!G91</f>
        <v>0</v>
      </c>
      <c r="D117" s="126">
        <f>D$7*'Inputs and eligible population'!E67*'Capacity (local prices)'!$C117</f>
        <v>0</v>
      </c>
      <c r="E117" s="126">
        <f>E$7*'Inputs and eligible population'!F67*'Capacity (local prices)'!$C117</f>
        <v>0</v>
      </c>
      <c r="F117" s="126">
        <f>F$7*'Inputs and eligible population'!G67*'Capacity (local prices)'!$C117</f>
        <v>0</v>
      </c>
      <c r="G117" s="126">
        <f>G$7*'Inputs and eligible population'!H67*'Capacity (local prices)'!$C117</f>
        <v>0</v>
      </c>
      <c r="H117" s="126">
        <f>H$7*'Inputs and eligible population'!I67*'Capacity (local prices)'!$C117</f>
        <v>0</v>
      </c>
      <c r="I117" s="126">
        <f>I$7*'Inputs and eligible population'!J67*'Capacity (local prices)'!$C117</f>
        <v>0</v>
      </c>
      <c r="J117" s="287"/>
      <c r="K117" s="567">
        <f>'Inputs and eligible population'!K92</f>
        <v>34.07</v>
      </c>
      <c r="L117" s="289">
        <f>(D117*C117*'Inputs and eligible population'!$F$92/60*$K117)/1000</f>
        <v>0</v>
      </c>
      <c r="M117" s="289">
        <f>(E117*D117*'Inputs and eligible population'!$F$92/60*$K117)/1000</f>
        <v>0</v>
      </c>
      <c r="N117" s="289">
        <f>(F117*E117*'Inputs and eligible population'!$F$92/60*$K117)/1000</f>
        <v>0</v>
      </c>
      <c r="O117" s="289">
        <f>(G117*F117*'Inputs and eligible population'!$F$92/60*$K117)/1000</f>
        <v>0</v>
      </c>
      <c r="P117" s="289">
        <f>(H117*G117*'Inputs and eligible population'!$F$92/60*$K117)/1000</f>
        <v>0</v>
      </c>
      <c r="Q117" s="289">
        <f>(I117*H117*'Inputs and eligible population'!$F$92/60*$K117)/1000</f>
        <v>0</v>
      </c>
      <c r="R117" s="131"/>
      <c r="S117" s="131"/>
      <c r="T117" s="131"/>
      <c r="U117" s="131"/>
      <c r="V117" s="131"/>
      <c r="W117" s="131"/>
      <c r="X117" s="131"/>
      <c r="Y117" s="131"/>
      <c r="Z117" s="131"/>
      <c r="AJ117" s="283"/>
      <c r="AK117" s="283"/>
      <c r="AL117" s="283"/>
      <c r="AM117" s="283"/>
      <c r="AN117" s="283"/>
    </row>
    <row r="118" spans="1:40" hidden="1" x14ac:dyDescent="0.35">
      <c r="A118" s="287"/>
      <c r="B118" s="345"/>
      <c r="C118" s="147">
        <f>'Inputs and eligible population'!H91</f>
        <v>0</v>
      </c>
      <c r="D118" s="126">
        <f>D$7*'Inputs and eligible population'!E68*'Capacity (local prices)'!$C118</f>
        <v>0</v>
      </c>
      <c r="E118" s="126">
        <f>E$7*'Inputs and eligible population'!F68*'Capacity (local prices)'!$C118</f>
        <v>0</v>
      </c>
      <c r="F118" s="126">
        <f>F$7*'Inputs and eligible population'!G68*'Capacity (local prices)'!$C118</f>
        <v>0</v>
      </c>
      <c r="G118" s="126">
        <f>G$7*'Inputs and eligible population'!H68*'Capacity (local prices)'!$C118</f>
        <v>0</v>
      </c>
      <c r="H118" s="126">
        <f>H$7*'Inputs and eligible population'!I68*'Capacity (local prices)'!$C118</f>
        <v>0</v>
      </c>
      <c r="I118" s="126">
        <f>I$7*'Inputs and eligible population'!J68*'Capacity (local prices)'!$C118</f>
        <v>0</v>
      </c>
      <c r="J118" s="287"/>
      <c r="K118" s="567">
        <f>'Inputs and eligible population'!K92</f>
        <v>34.07</v>
      </c>
      <c r="L118" s="289">
        <f>(D118*C118*'Inputs and eligible population'!$F$92/60*$K118)/1000</f>
        <v>0</v>
      </c>
      <c r="M118" s="289">
        <f>(E118*D118*'Inputs and eligible population'!$F$92/60*$K118)/1000</f>
        <v>0</v>
      </c>
      <c r="N118" s="289">
        <f>(F118*E118*'Inputs and eligible population'!$F$92/60*$K118)/1000</f>
        <v>0</v>
      </c>
      <c r="O118" s="289">
        <f>(G118*F118*'Inputs and eligible population'!$F$92/60*$K118)/1000</f>
        <v>0</v>
      </c>
      <c r="P118" s="289">
        <f>(H118*G118*'Inputs and eligible population'!$F$92/60*$K118)/1000</f>
        <v>0</v>
      </c>
      <c r="Q118" s="289">
        <f>(I118*H118*'Inputs and eligible population'!$F$92/60*$K118)/1000</f>
        <v>0</v>
      </c>
      <c r="R118" s="131"/>
      <c r="S118" s="131"/>
      <c r="T118" s="131"/>
      <c r="U118" s="131"/>
      <c r="V118" s="131"/>
      <c r="W118" s="131"/>
      <c r="X118" s="131"/>
      <c r="Y118" s="131"/>
      <c r="Z118" s="131"/>
      <c r="AJ118" s="283"/>
      <c r="AK118" s="283"/>
      <c r="AL118" s="283"/>
      <c r="AM118" s="283"/>
      <c r="AN118" s="283"/>
    </row>
    <row r="119" spans="1:40" hidden="1" x14ac:dyDescent="0.35">
      <c r="A119" s="287"/>
      <c r="B119" s="280"/>
      <c r="C119" s="205"/>
      <c r="D119" s="184">
        <f t="shared" ref="D119:I119" si="95">SUM(D116:D118)</f>
        <v>0</v>
      </c>
      <c r="E119" s="184">
        <f t="shared" si="95"/>
        <v>0</v>
      </c>
      <c r="F119" s="184">
        <f t="shared" si="95"/>
        <v>0</v>
      </c>
      <c r="G119" s="184">
        <f t="shared" si="95"/>
        <v>0</v>
      </c>
      <c r="H119" s="184">
        <f t="shared" si="95"/>
        <v>0</v>
      </c>
      <c r="I119" s="184">
        <f t="shared" si="95"/>
        <v>0</v>
      </c>
      <c r="J119" s="287"/>
      <c r="K119" s="287"/>
      <c r="L119" s="290">
        <f>SUM(L116:L118)</f>
        <v>0</v>
      </c>
      <c r="M119" s="290">
        <f t="shared" ref="M119" si="96">SUM(M116:M118)</f>
        <v>0</v>
      </c>
      <c r="N119" s="290">
        <f t="shared" ref="N119" si="97">SUM(N116:N118)</f>
        <v>0</v>
      </c>
      <c r="O119" s="290">
        <f t="shared" ref="O119" si="98">SUM(O116:O118)</f>
        <v>0</v>
      </c>
      <c r="P119" s="290">
        <f t="shared" ref="P119" si="99">SUM(P116:P118)</f>
        <v>0</v>
      </c>
      <c r="Q119" s="290">
        <f t="shared" ref="Q119" si="100">SUM(Q116:Q118)</f>
        <v>0</v>
      </c>
      <c r="R119" s="131"/>
      <c r="S119" s="131"/>
      <c r="T119" s="131"/>
      <c r="U119" s="131"/>
      <c r="V119" s="131"/>
      <c r="W119" s="131"/>
      <c r="X119" s="131"/>
      <c r="Y119" s="131"/>
      <c r="Z119" s="131"/>
      <c r="AJ119" s="283"/>
      <c r="AK119" s="283"/>
      <c r="AL119" s="283"/>
      <c r="AM119" s="283"/>
      <c r="AN119" s="283"/>
    </row>
    <row r="120" spans="1:40" hidden="1" x14ac:dyDescent="0.35">
      <c r="A120" s="287"/>
      <c r="B120" s="305"/>
      <c r="C120" s="254"/>
      <c r="D120" s="282" t="s">
        <v>918</v>
      </c>
      <c r="E120" s="184">
        <f>E119-$D$119</f>
        <v>0</v>
      </c>
      <c r="F120" s="184">
        <f>F119-$D$119</f>
        <v>0</v>
      </c>
      <c r="G120" s="184">
        <f>G119-$D$119</f>
        <v>0</v>
      </c>
      <c r="H120" s="184">
        <f>H119-$D$119</f>
        <v>0</v>
      </c>
      <c r="I120" s="184">
        <f>I119-$D$119</f>
        <v>0</v>
      </c>
      <c r="J120" s="287"/>
      <c r="K120" s="287"/>
      <c r="L120" s="538"/>
      <c r="M120" s="290">
        <f>M119-$L$119</f>
        <v>0</v>
      </c>
      <c r="N120" s="290">
        <f t="shared" ref="N120:Q120" si="101">N119-$L$119</f>
        <v>0</v>
      </c>
      <c r="O120" s="290">
        <f t="shared" si="101"/>
        <v>0</v>
      </c>
      <c r="P120" s="290">
        <f t="shared" si="101"/>
        <v>0</v>
      </c>
      <c r="Q120" s="290">
        <f t="shared" si="101"/>
        <v>0</v>
      </c>
      <c r="V120" s="131"/>
    </row>
    <row r="121" spans="1:40" hidden="1" x14ac:dyDescent="0.35">
      <c r="A121" s="287"/>
      <c r="B121" s="324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V121" s="131"/>
    </row>
    <row r="122" spans="1:40" hidden="1" x14ac:dyDescent="0.35">
      <c r="A122" s="287"/>
      <c r="B122" s="394" t="s">
        <v>968</v>
      </c>
      <c r="C122" s="395"/>
      <c r="D122" s="395"/>
      <c r="E122" s="395"/>
      <c r="F122" s="395"/>
      <c r="G122" s="395"/>
      <c r="H122" s="395"/>
      <c r="I122" s="218"/>
      <c r="J122" s="219"/>
      <c r="K122" s="219"/>
      <c r="L122" s="219"/>
      <c r="M122" s="219"/>
      <c r="N122" s="219"/>
      <c r="O122" s="219"/>
      <c r="P122" s="219"/>
      <c r="Q122" s="219"/>
      <c r="R122" s="131"/>
      <c r="S122" s="131"/>
      <c r="T122" s="131"/>
      <c r="U122" s="131"/>
      <c r="V122" s="131"/>
      <c r="W122" s="131"/>
      <c r="X122" s="131"/>
      <c r="Y122" s="131"/>
      <c r="Z122" s="131"/>
      <c r="AJ122" s="283"/>
      <c r="AK122" s="283"/>
      <c r="AL122" s="283"/>
      <c r="AM122" s="283"/>
      <c r="AN122" s="283"/>
    </row>
    <row r="123" spans="1:40" ht="43.5" hidden="1" x14ac:dyDescent="0.35">
      <c r="A123" s="287"/>
      <c r="B123" s="276" t="s">
        <v>826</v>
      </c>
      <c r="C123" s="164" t="s">
        <v>968</v>
      </c>
      <c r="D123" s="770" t="s">
        <v>926</v>
      </c>
      <c r="E123" s="253" t="s">
        <v>698</v>
      </c>
      <c r="F123" s="253" t="s">
        <v>699</v>
      </c>
      <c r="G123" s="163" t="s">
        <v>881</v>
      </c>
      <c r="H123" s="163" t="s">
        <v>882</v>
      </c>
      <c r="I123" s="253" t="s">
        <v>883</v>
      </c>
      <c r="J123" s="287"/>
      <c r="K123" s="287"/>
      <c r="L123" s="219"/>
      <c r="M123" s="219"/>
      <c r="N123" s="219"/>
      <c r="O123" s="219"/>
      <c r="P123" s="219"/>
      <c r="Q123" s="219"/>
      <c r="R123" s="131"/>
      <c r="S123" s="131"/>
      <c r="T123" s="131"/>
      <c r="U123" s="131"/>
      <c r="V123" s="131"/>
      <c r="W123" s="131"/>
      <c r="X123" s="131"/>
      <c r="Y123" s="131"/>
      <c r="Z123" s="131"/>
      <c r="AJ123" s="283"/>
      <c r="AK123" s="283"/>
      <c r="AL123" s="283"/>
      <c r="AM123" s="283"/>
      <c r="AN123" s="283"/>
    </row>
    <row r="124" spans="1:40" hidden="1" x14ac:dyDescent="0.35">
      <c r="A124" s="287"/>
      <c r="B124" s="345"/>
      <c r="C124" s="147">
        <f>'Inputs and eligible population'!F93</f>
        <v>0</v>
      </c>
      <c r="D124" s="126">
        <f>'Financial impact (cash)'!D13*'Capacity (local prices)'!$C124</f>
        <v>0</v>
      </c>
      <c r="E124" s="126">
        <f>'Financial impact (cash)'!E13*'Capacity (local prices)'!$C124</f>
        <v>0</v>
      </c>
      <c r="F124" s="126">
        <f>'Financial impact (cash)'!F13*'Capacity (local prices)'!$C124</f>
        <v>0</v>
      </c>
      <c r="G124" s="126">
        <f>'Financial impact (cash)'!G13*'Capacity (local prices)'!$C124</f>
        <v>0</v>
      </c>
      <c r="H124" s="126">
        <f>'Financial impact (cash)'!H13*'Capacity (local prices)'!$C124</f>
        <v>0</v>
      </c>
      <c r="I124" s="126">
        <f>'Financial impact (cash)'!I13*'Capacity (local prices)'!$C124</f>
        <v>0</v>
      </c>
      <c r="J124" s="287"/>
      <c r="K124" s="287"/>
      <c r="L124" s="219"/>
      <c r="M124" s="219"/>
      <c r="N124" s="219"/>
      <c r="O124" s="219"/>
      <c r="P124" s="219"/>
      <c r="Q124" s="219"/>
      <c r="R124" s="131"/>
      <c r="S124" s="131"/>
      <c r="T124" s="131"/>
      <c r="U124" s="131"/>
      <c r="V124" s="131"/>
      <c r="W124" s="131"/>
      <c r="X124" s="131"/>
      <c r="Y124" s="131"/>
      <c r="Z124" s="131"/>
      <c r="AJ124" s="283"/>
      <c r="AK124" s="283"/>
      <c r="AL124" s="283"/>
      <c r="AM124" s="283"/>
      <c r="AN124" s="283"/>
    </row>
    <row r="125" spans="1:40" hidden="1" x14ac:dyDescent="0.35">
      <c r="A125" s="287"/>
      <c r="B125" s="345"/>
      <c r="C125" s="147">
        <f>'Inputs and eligible population'!G93</f>
        <v>0</v>
      </c>
      <c r="D125" s="126">
        <f>'Financial impact (cash)'!D14*'Capacity (local prices)'!$C125</f>
        <v>0</v>
      </c>
      <c r="E125" s="126">
        <f>'Financial impact (cash)'!E14*'Capacity (local prices)'!$C125</f>
        <v>0</v>
      </c>
      <c r="F125" s="126">
        <f>'Financial impact (cash)'!F14*'Capacity (local prices)'!$C125</f>
        <v>0</v>
      </c>
      <c r="G125" s="126">
        <f>'Financial impact (cash)'!G14*'Capacity (local prices)'!$C125</f>
        <v>0</v>
      </c>
      <c r="H125" s="126">
        <f>'Financial impact (cash)'!H14*'Capacity (local prices)'!$C125</f>
        <v>0</v>
      </c>
      <c r="I125" s="126">
        <f>'Financial impact (cash)'!I14*'Capacity (local prices)'!$C125</f>
        <v>0</v>
      </c>
      <c r="J125" s="287"/>
      <c r="K125" s="287"/>
      <c r="L125" s="219"/>
      <c r="M125" s="219"/>
      <c r="N125" s="219"/>
      <c r="O125" s="219"/>
      <c r="P125" s="219"/>
      <c r="Q125" s="219"/>
      <c r="R125" s="131"/>
      <c r="S125" s="131"/>
      <c r="T125" s="131"/>
      <c r="U125" s="131"/>
      <c r="V125" s="131"/>
      <c r="W125" s="131"/>
      <c r="X125" s="131"/>
      <c r="Y125" s="131"/>
      <c r="Z125" s="131"/>
      <c r="AJ125" s="283"/>
      <c r="AK125" s="283"/>
      <c r="AL125" s="283"/>
      <c r="AM125" s="283"/>
      <c r="AN125" s="283"/>
    </row>
    <row r="126" spans="1:40" hidden="1" x14ac:dyDescent="0.35">
      <c r="A126" s="287"/>
      <c r="B126" s="345"/>
      <c r="C126" s="147">
        <f>'Inputs and eligible population'!H93</f>
        <v>0</v>
      </c>
      <c r="D126" s="126">
        <f>'Financial impact (cash)'!D15*'Capacity (local prices)'!$C126</f>
        <v>0</v>
      </c>
      <c r="E126" s="126">
        <f>'Financial impact (cash)'!E15*'Capacity (local prices)'!$C126</f>
        <v>0</v>
      </c>
      <c r="F126" s="126">
        <f>'Financial impact (cash)'!F15*'Capacity (local prices)'!$C126</f>
        <v>0</v>
      </c>
      <c r="G126" s="126">
        <f>'Financial impact (cash)'!G15*'Capacity (local prices)'!$C126</f>
        <v>0</v>
      </c>
      <c r="H126" s="126">
        <f>'Financial impact (cash)'!H15*'Capacity (local prices)'!$C126</f>
        <v>0</v>
      </c>
      <c r="I126" s="126">
        <f>'Financial impact (cash)'!I15*'Capacity (local prices)'!$C126</f>
        <v>0</v>
      </c>
      <c r="J126" s="287"/>
      <c r="K126" s="287"/>
      <c r="L126" s="219"/>
      <c r="M126" s="219"/>
      <c r="N126" s="219"/>
      <c r="O126" s="219"/>
      <c r="P126" s="219"/>
      <c r="Q126" s="219"/>
      <c r="R126" s="131"/>
      <c r="S126" s="131"/>
      <c r="T126" s="131"/>
      <c r="U126" s="131"/>
      <c r="V126" s="131"/>
      <c r="W126" s="131"/>
      <c r="X126" s="131"/>
      <c r="Y126" s="131"/>
      <c r="Z126" s="131"/>
      <c r="AJ126" s="283"/>
      <c r="AK126" s="283"/>
      <c r="AL126" s="283"/>
      <c r="AM126" s="283"/>
      <c r="AN126" s="283"/>
    </row>
    <row r="127" spans="1:40" hidden="1" x14ac:dyDescent="0.35">
      <c r="A127" s="287"/>
      <c r="B127" s="280"/>
      <c r="C127" s="205"/>
      <c r="D127" s="184">
        <f t="shared" ref="D127:I127" si="102">SUM(D124:D126)</f>
        <v>0</v>
      </c>
      <c r="E127" s="184">
        <f t="shared" si="102"/>
        <v>0</v>
      </c>
      <c r="F127" s="184">
        <f t="shared" si="102"/>
        <v>0</v>
      </c>
      <c r="G127" s="184">
        <f t="shared" si="102"/>
        <v>0</v>
      </c>
      <c r="H127" s="184">
        <f t="shared" si="102"/>
        <v>0</v>
      </c>
      <c r="I127" s="184">
        <f t="shared" si="102"/>
        <v>0</v>
      </c>
      <c r="J127" s="287"/>
      <c r="K127" s="287"/>
      <c r="L127" s="219"/>
      <c r="M127" s="219"/>
      <c r="N127" s="219"/>
      <c r="O127" s="219"/>
      <c r="P127" s="219"/>
      <c r="Q127" s="219"/>
      <c r="R127" s="131"/>
      <c r="S127" s="131"/>
      <c r="T127" s="131"/>
      <c r="U127" s="131"/>
      <c r="V127" s="131"/>
      <c r="W127" s="131"/>
      <c r="X127" s="131"/>
      <c r="Y127" s="131"/>
      <c r="Z127" s="131"/>
      <c r="AJ127" s="283"/>
      <c r="AK127" s="283"/>
      <c r="AL127" s="283"/>
      <c r="AM127" s="283"/>
      <c r="AN127" s="283"/>
    </row>
    <row r="128" spans="1:40" hidden="1" x14ac:dyDescent="0.35">
      <c r="A128" s="287"/>
      <c r="B128" s="305"/>
      <c r="C128" s="254"/>
      <c r="D128" s="282" t="s">
        <v>919</v>
      </c>
      <c r="E128" s="184">
        <f>E127-$D$127</f>
        <v>0</v>
      </c>
      <c r="F128" s="184">
        <f>F127-$D$127</f>
        <v>0</v>
      </c>
      <c r="G128" s="184">
        <f>G127-$D$127</f>
        <v>0</v>
      </c>
      <c r="H128" s="184">
        <f>H127-$D$127</f>
        <v>0</v>
      </c>
      <c r="I128" s="184">
        <f>I127-$D$127</f>
        <v>0</v>
      </c>
      <c r="J128" s="287"/>
      <c r="K128" s="287"/>
      <c r="L128" s="219"/>
      <c r="M128" s="219"/>
      <c r="N128" s="219"/>
      <c r="O128" s="219"/>
      <c r="P128" s="219"/>
      <c r="Q128" s="219"/>
      <c r="V128" s="131"/>
    </row>
    <row r="129" spans="1:40" hidden="1" x14ac:dyDescent="0.35">
      <c r="A129" s="287"/>
      <c r="B129" s="287"/>
      <c r="C129" s="219"/>
      <c r="D129" s="287"/>
      <c r="E129" s="287"/>
      <c r="F129" s="287"/>
      <c r="G129" s="287"/>
      <c r="H129" s="287"/>
      <c r="I129" s="219"/>
      <c r="J129" s="219"/>
      <c r="K129" s="219"/>
      <c r="L129" s="219"/>
      <c r="M129" s="219"/>
      <c r="N129" s="219"/>
      <c r="O129" s="219"/>
      <c r="P129" s="219"/>
      <c r="Q129" s="219"/>
      <c r="V129" s="131"/>
    </row>
    <row r="130" spans="1:40" hidden="1" x14ac:dyDescent="0.35">
      <c r="A130" s="287"/>
      <c r="B130" s="394" t="s">
        <v>969</v>
      </c>
      <c r="C130" s="395"/>
      <c r="D130" s="395"/>
      <c r="E130" s="395"/>
      <c r="F130" s="395"/>
      <c r="G130" s="395"/>
      <c r="H130" s="395"/>
      <c r="I130" s="218"/>
      <c r="J130" s="219"/>
      <c r="K130" s="219"/>
      <c r="L130" s="426"/>
      <c r="M130" s="426"/>
      <c r="N130" s="426"/>
      <c r="O130" s="426"/>
      <c r="P130" s="426"/>
      <c r="Q130" s="426"/>
      <c r="V130" s="131"/>
    </row>
    <row r="131" spans="1:40" ht="72.5" hidden="1" x14ac:dyDescent="0.35">
      <c r="A131" s="287"/>
      <c r="B131" s="276" t="s">
        <v>826</v>
      </c>
      <c r="C131" s="164" t="s">
        <v>970</v>
      </c>
      <c r="D131" s="770" t="s">
        <v>926</v>
      </c>
      <c r="E131" s="253" t="s">
        <v>698</v>
      </c>
      <c r="F131" s="253" t="s">
        <v>699</v>
      </c>
      <c r="G131" s="163" t="s">
        <v>881</v>
      </c>
      <c r="H131" s="163" t="s">
        <v>882</v>
      </c>
      <c r="I131" s="253" t="s">
        <v>883</v>
      </c>
      <c r="J131" s="287"/>
      <c r="K131" s="549" t="s">
        <v>938</v>
      </c>
      <c r="L131" s="770" t="s">
        <v>926</v>
      </c>
      <c r="M131" s="253" t="s">
        <v>698</v>
      </c>
      <c r="N131" s="253" t="s">
        <v>699</v>
      </c>
      <c r="O131" s="163" t="s">
        <v>881</v>
      </c>
      <c r="P131" s="163" t="s">
        <v>882</v>
      </c>
      <c r="Q131" s="253" t="s">
        <v>883</v>
      </c>
      <c r="V131" s="131"/>
    </row>
    <row r="132" spans="1:40" hidden="1" x14ac:dyDescent="0.35">
      <c r="A132" s="287"/>
      <c r="B132" s="345"/>
      <c r="C132" s="147">
        <f>'Inputs and eligible population'!F94</f>
        <v>0</v>
      </c>
      <c r="D132" s="126">
        <f>($C124*$C132*'Financial impact (cash)'!D13)/60</f>
        <v>0</v>
      </c>
      <c r="E132" s="126">
        <f>($C124*$C132*'Financial impact (cash)'!E13)/60</f>
        <v>0</v>
      </c>
      <c r="F132" s="126">
        <f>($C124*$C132*'Financial impact (cash)'!F13)/60</f>
        <v>0</v>
      </c>
      <c r="G132" s="126">
        <f>($C124*$C132*'Financial impact (cash)'!G13)/60</f>
        <v>0</v>
      </c>
      <c r="H132" s="126">
        <f>($C124*$C132*'Financial impact (cash)'!H13)/60</f>
        <v>0</v>
      </c>
      <c r="I132" s="126">
        <f>($C124*$C132*'Financial impact (cash)'!I13)/60</f>
        <v>0</v>
      </c>
      <c r="J132" s="287"/>
      <c r="K132" s="567">
        <f>'Inputs and eligible population'!K94</f>
        <v>49.16</v>
      </c>
      <c r="L132" s="289">
        <f>(D132*C132*'Inputs and eligible population'!$F$94/60*$K132)/1000</f>
        <v>0</v>
      </c>
      <c r="M132" s="289">
        <f>(E132*D132*'Inputs and eligible population'!$F$94/60*$K132)/1000</f>
        <v>0</v>
      </c>
      <c r="N132" s="289">
        <f>(F132*E132*'Inputs and eligible population'!$F$94/60*$K132)/1000</f>
        <v>0</v>
      </c>
      <c r="O132" s="289">
        <f>(G132*F132*'Inputs and eligible population'!$F$94/60*$K132)/1000</f>
        <v>0</v>
      </c>
      <c r="P132" s="289">
        <f>(H132*G132*'Inputs and eligible population'!$F$94/60*$K132)/1000</f>
        <v>0</v>
      </c>
      <c r="Q132" s="289">
        <f>(I132*H132*'Inputs and eligible population'!$F$94/60*$K132)/1000</f>
        <v>0</v>
      </c>
      <c r="V132" s="131"/>
    </row>
    <row r="133" spans="1:40" hidden="1" x14ac:dyDescent="0.35">
      <c r="A133" s="287"/>
      <c r="B133" s="345"/>
      <c r="C133" s="147">
        <f>'Inputs and eligible population'!G94</f>
        <v>0</v>
      </c>
      <c r="D133" s="126">
        <f>($C125*$C133*'Financial impact (cash)'!D14)/60</f>
        <v>0</v>
      </c>
      <c r="E133" s="126">
        <f>($C125*$C133*'Financial impact (cash)'!E14)/60</f>
        <v>0</v>
      </c>
      <c r="F133" s="126">
        <f>($C125*$C133*'Financial impact (cash)'!F14)/60</f>
        <v>0</v>
      </c>
      <c r="G133" s="126">
        <f>($C125*$C133*'Financial impact (cash)'!G14)/60</f>
        <v>0</v>
      </c>
      <c r="H133" s="126">
        <f>($C125*$C133*'Financial impact (cash)'!H14)/60</f>
        <v>0</v>
      </c>
      <c r="I133" s="126">
        <f>($C125*$C133*'Financial impact (cash)'!I14)/60</f>
        <v>0</v>
      </c>
      <c r="J133" s="287"/>
      <c r="K133" s="567">
        <f>'Inputs and eligible population'!K94</f>
        <v>49.16</v>
      </c>
      <c r="L133" s="289">
        <f>(D133*C133*'Inputs and eligible population'!$F$94/60*$K133)/1000</f>
        <v>0</v>
      </c>
      <c r="M133" s="289">
        <f>(E133*D133*'Inputs and eligible population'!$F$94/60*$K133)/1000</f>
        <v>0</v>
      </c>
      <c r="N133" s="289">
        <f>(F133*E133*'Inputs and eligible population'!$F$94/60*$K133)/1000</f>
        <v>0</v>
      </c>
      <c r="O133" s="289">
        <f>(G133*F133*'Inputs and eligible population'!$F$94/60*$K133)/1000</f>
        <v>0</v>
      </c>
      <c r="P133" s="289">
        <f>(H133*G133*'Inputs and eligible population'!$F$94/60*$K133)/1000</f>
        <v>0</v>
      </c>
      <c r="Q133" s="289">
        <f>(I133*H133*'Inputs and eligible population'!$F$94/60*$K133)/1000</f>
        <v>0</v>
      </c>
      <c r="V133" s="131"/>
    </row>
    <row r="134" spans="1:40" hidden="1" x14ac:dyDescent="0.35">
      <c r="A134" s="287"/>
      <c r="B134" s="345"/>
      <c r="C134" s="147">
        <f>'Inputs and eligible population'!H94</f>
        <v>0</v>
      </c>
      <c r="D134" s="126">
        <f>($C126*$C134*'Financial impact (cash)'!D15)/60</f>
        <v>0</v>
      </c>
      <c r="E134" s="126">
        <f>($C126*$C134*'Financial impact (cash)'!E15)/60</f>
        <v>0</v>
      </c>
      <c r="F134" s="126">
        <f>($C126*$C134*'Financial impact (cash)'!F15)/60</f>
        <v>0</v>
      </c>
      <c r="G134" s="126">
        <f>($C126*$C134*'Financial impact (cash)'!G15)/60</f>
        <v>0</v>
      </c>
      <c r="H134" s="126">
        <f>($C126*$C134*'Financial impact (cash)'!H15)/60</f>
        <v>0</v>
      </c>
      <c r="I134" s="126">
        <f>($C126*$C134*'Financial impact (cash)'!I15)/60</f>
        <v>0</v>
      </c>
      <c r="J134" s="287"/>
      <c r="K134" s="567">
        <f>'Inputs and eligible population'!K94</f>
        <v>49.16</v>
      </c>
      <c r="L134" s="289">
        <f>(D134*C134*'Inputs and eligible population'!$F$94/60*$K134)/1000</f>
        <v>0</v>
      </c>
      <c r="M134" s="289">
        <f>(E134*D134*'Inputs and eligible population'!$F$94/60*$K134)/1000</f>
        <v>0</v>
      </c>
      <c r="N134" s="289">
        <f>(F134*E134*'Inputs and eligible population'!$F$94/60*$K134)/1000</f>
        <v>0</v>
      </c>
      <c r="O134" s="289">
        <f>(G134*F134*'Inputs and eligible population'!$F$94/60*$K134)/1000</f>
        <v>0</v>
      </c>
      <c r="P134" s="289">
        <f>(H134*G134*'Inputs and eligible population'!$F$94/60*$K134)/1000</f>
        <v>0</v>
      </c>
      <c r="Q134" s="289">
        <f>(I134*H134*'Inputs and eligible population'!$F$94/60*$K134)/1000</f>
        <v>0</v>
      </c>
      <c r="V134" s="131"/>
    </row>
    <row r="135" spans="1:40" hidden="1" x14ac:dyDescent="0.35">
      <c r="A135" s="287"/>
      <c r="B135" s="280"/>
      <c r="C135" s="205"/>
      <c r="D135" s="184">
        <f t="shared" ref="D135:I135" si="103">SUM(D132:D134)</f>
        <v>0</v>
      </c>
      <c r="E135" s="184">
        <f t="shared" si="103"/>
        <v>0</v>
      </c>
      <c r="F135" s="184">
        <f t="shared" si="103"/>
        <v>0</v>
      </c>
      <c r="G135" s="184">
        <f t="shared" si="103"/>
        <v>0</v>
      </c>
      <c r="H135" s="184">
        <f t="shared" si="103"/>
        <v>0</v>
      </c>
      <c r="I135" s="184">
        <f t="shared" si="103"/>
        <v>0</v>
      </c>
      <c r="J135" s="287"/>
      <c r="K135" s="287"/>
      <c r="L135" s="290">
        <f>SUM(L132:L134)</f>
        <v>0</v>
      </c>
      <c r="M135" s="290">
        <f t="shared" ref="M135" si="104">SUM(M132:M134)</f>
        <v>0</v>
      </c>
      <c r="N135" s="290">
        <f t="shared" ref="N135" si="105">SUM(N132:N134)</f>
        <v>0</v>
      </c>
      <c r="O135" s="290">
        <f t="shared" ref="O135" si="106">SUM(O132:O134)</f>
        <v>0</v>
      </c>
      <c r="P135" s="290">
        <f t="shared" ref="P135" si="107">SUM(P132:P134)</f>
        <v>0</v>
      </c>
      <c r="Q135" s="290">
        <f t="shared" ref="Q135" si="108">SUM(Q132:Q134)</f>
        <v>0</v>
      </c>
      <c r="V135" s="131"/>
    </row>
    <row r="136" spans="1:40" hidden="1" x14ac:dyDescent="0.35">
      <c r="A136" s="287"/>
      <c r="B136" s="305"/>
      <c r="C136" s="254"/>
      <c r="D136" s="282" t="s">
        <v>920</v>
      </c>
      <c r="E136" s="184">
        <f>E135-$D$135</f>
        <v>0</v>
      </c>
      <c r="F136" s="184">
        <f>F135-$D$135</f>
        <v>0</v>
      </c>
      <c r="G136" s="184">
        <f>G135-$D$135</f>
        <v>0</v>
      </c>
      <c r="H136" s="184">
        <f>H135-$D$135</f>
        <v>0</v>
      </c>
      <c r="I136" s="184">
        <f>I135-$D$135</f>
        <v>0</v>
      </c>
      <c r="J136" s="287"/>
      <c r="K136" s="287"/>
      <c r="L136" s="538"/>
      <c r="M136" s="290">
        <f>M135-$L$135</f>
        <v>0</v>
      </c>
      <c r="N136" s="290">
        <f t="shared" ref="N136:Q136" si="109">N135-$L$135</f>
        <v>0</v>
      </c>
      <c r="O136" s="290">
        <f t="shared" si="109"/>
        <v>0</v>
      </c>
      <c r="P136" s="290">
        <f t="shared" si="109"/>
        <v>0</v>
      </c>
      <c r="Q136" s="290">
        <f t="shared" si="109"/>
        <v>0</v>
      </c>
      <c r="V136" s="131"/>
    </row>
    <row r="137" spans="1:40" hidden="1" x14ac:dyDescent="0.35">
      <c r="A137" s="287"/>
      <c r="B137" s="287"/>
      <c r="C137" s="219"/>
      <c r="D137" s="287"/>
      <c r="E137" s="287"/>
      <c r="F137" s="287"/>
      <c r="G137" s="287"/>
      <c r="H137" s="287"/>
      <c r="I137" s="219"/>
      <c r="J137" s="219"/>
      <c r="K137" s="219"/>
      <c r="L137" s="219"/>
      <c r="M137" s="219"/>
      <c r="N137" s="219"/>
      <c r="O137" s="219"/>
      <c r="P137" s="219"/>
      <c r="Q137" s="219"/>
      <c r="V137" s="131"/>
    </row>
    <row r="138" spans="1:40" x14ac:dyDescent="0.35">
      <c r="A138" s="288"/>
      <c r="B138" s="325" t="s">
        <v>774</v>
      </c>
      <c r="C138" s="311"/>
      <c r="D138" s="312"/>
      <c r="E138" s="313"/>
      <c r="F138" s="314"/>
      <c r="G138" s="314"/>
      <c r="H138" s="314"/>
      <c r="I138" s="427"/>
      <c r="J138" s="435"/>
      <c r="K138" s="288"/>
      <c r="L138" s="288"/>
      <c r="M138" s="288"/>
      <c r="N138" s="288"/>
      <c r="O138" s="288"/>
      <c r="P138" s="288"/>
      <c r="Q138" s="288"/>
      <c r="R138" s="131"/>
      <c r="S138" s="131"/>
      <c r="T138" s="131"/>
      <c r="U138" s="131"/>
      <c r="V138" s="131"/>
      <c r="W138" s="131"/>
      <c r="X138" s="131"/>
      <c r="Y138" s="131"/>
      <c r="Z138" s="131"/>
      <c r="AJ138" s="283"/>
      <c r="AK138" s="283"/>
      <c r="AL138" s="283"/>
      <c r="AM138" s="283"/>
      <c r="AN138" s="283"/>
    </row>
    <row r="139" spans="1:40" x14ac:dyDescent="0.35">
      <c r="A139" s="288"/>
      <c r="B139" s="396" t="s">
        <v>971</v>
      </c>
      <c r="C139" s="397"/>
      <c r="D139" s="397"/>
      <c r="E139" s="397"/>
      <c r="F139" s="397"/>
      <c r="G139" s="397"/>
      <c r="H139" s="397"/>
      <c r="I139" s="220"/>
      <c r="J139" s="433"/>
      <c r="K139" s="433"/>
      <c r="L139" s="434"/>
      <c r="M139" s="434"/>
      <c r="N139" s="434"/>
      <c r="O139" s="434"/>
      <c r="P139" s="434"/>
      <c r="Q139" s="434"/>
      <c r="R139" s="131"/>
      <c r="S139" s="131"/>
      <c r="T139" s="131"/>
      <c r="U139" s="131"/>
      <c r="V139" s="131"/>
      <c r="W139" s="131"/>
      <c r="X139" s="131"/>
      <c r="Y139" s="131"/>
      <c r="Z139" s="131"/>
      <c r="AJ139" s="283"/>
      <c r="AK139" s="283"/>
      <c r="AL139" s="283"/>
      <c r="AM139" s="283"/>
      <c r="AN139" s="283"/>
    </row>
    <row r="140" spans="1:40" ht="43.5" x14ac:dyDescent="0.35">
      <c r="A140" s="288"/>
      <c r="B140" s="276" t="s">
        <v>826</v>
      </c>
      <c r="C140" s="206"/>
      <c r="D140" s="770" t="s">
        <v>926</v>
      </c>
      <c r="E140" s="253" t="s">
        <v>698</v>
      </c>
      <c r="F140" s="253" t="s">
        <v>699</v>
      </c>
      <c r="G140" s="163" t="s">
        <v>881</v>
      </c>
      <c r="H140" s="163" t="s">
        <v>882</v>
      </c>
      <c r="I140" s="253" t="s">
        <v>883</v>
      </c>
      <c r="J140" s="288"/>
      <c r="K140" s="549" t="s">
        <v>972</v>
      </c>
      <c r="L140" s="770" t="s">
        <v>926</v>
      </c>
      <c r="M140" s="253" t="s">
        <v>698</v>
      </c>
      <c r="N140" s="253" t="s">
        <v>699</v>
      </c>
      <c r="O140" s="163" t="s">
        <v>881</v>
      </c>
      <c r="P140" s="163" t="s">
        <v>882</v>
      </c>
      <c r="Q140" s="253" t="s">
        <v>883</v>
      </c>
      <c r="R140" s="131"/>
      <c r="S140" s="131"/>
      <c r="T140" s="131"/>
      <c r="U140" s="131"/>
      <c r="V140" s="131"/>
      <c r="W140" s="131"/>
      <c r="X140" s="131"/>
      <c r="Y140" s="131"/>
      <c r="Z140" s="131"/>
      <c r="AJ140" s="283"/>
      <c r="AK140" s="283"/>
      <c r="AL140" s="283"/>
      <c r="AM140" s="283"/>
      <c r="AN140" s="283"/>
    </row>
    <row r="141" spans="1:40" x14ac:dyDescent="0.35">
      <c r="A141" s="288"/>
      <c r="B141" s="247" t="s">
        <v>865</v>
      </c>
      <c r="C141" s="166"/>
      <c r="D141" s="126">
        <f>('Unit costs'!$C49*'Financial impact (cash)'!D$13)+('Unit costs'!$D49*'Financial impact (cash)'!D$14)+('Unit costs'!$E49*'Financial impact (cash)'!D$15)</f>
        <v>86.878231060757088</v>
      </c>
      <c r="E141" s="126">
        <f>('Unit costs'!$C49*'Financial impact (cash)'!E$13)+('Unit costs'!$D49*'Financial impact (cash)'!E$14)+('Unit costs'!$E49*'Financial impact (cash)'!E$15)</f>
        <v>73.9319680001378</v>
      </c>
      <c r="F141" s="126">
        <f>('Unit costs'!$C49*'Financial impact (cash)'!F$13)+('Unit costs'!$D49*'Financial impact (cash)'!F$14)+('Unit costs'!$E49*'Financial impact (cash)'!F$15)</f>
        <v>80.86520628444319</v>
      </c>
      <c r="G141" s="126">
        <f>('Unit costs'!$C49*'Financial impact (cash)'!G$13)+('Unit costs'!$D49*'Financial impact (cash)'!G$14)+('Unit costs'!$E49*'Financial impact (cash)'!G$15)</f>
        <v>79.888516586692958</v>
      </c>
      <c r="H141" s="126">
        <f>('Unit costs'!$C49*'Financial impact (cash)'!H$13)+('Unit costs'!$D49*'Financial impact (cash)'!H$14)+('Unit costs'!$E49*'Financial impact (cash)'!H$15)</f>
        <v>80.658786282200737</v>
      </c>
      <c r="I141" s="126">
        <f>('Unit costs'!$C49*'Financial impact (cash)'!I$13)+('Unit costs'!$D49*'Financial impact (cash)'!I$14)+('Unit costs'!$E49*'Financial impact (cash)'!I$15)</f>
        <v>81.436482769807895</v>
      </c>
      <c r="J141" s="288"/>
      <c r="K141" s="567">
        <f>'Unit costs'!L49</f>
        <v>206.4</v>
      </c>
      <c r="L141" s="289">
        <f>(D141*$K141)/1000</f>
        <v>17.931666890940264</v>
      </c>
      <c r="M141" s="289">
        <f t="shared" ref="M141:Q147" si="110">(E141*$K141)/1000</f>
        <v>15.259558195228443</v>
      </c>
      <c r="N141" s="289">
        <f t="shared" si="110"/>
        <v>16.690578577109076</v>
      </c>
      <c r="O141" s="289">
        <f t="shared" si="110"/>
        <v>16.488989823493426</v>
      </c>
      <c r="P141" s="289">
        <f t="shared" si="110"/>
        <v>16.647973488646233</v>
      </c>
      <c r="Q141" s="289">
        <f t="shared" si="110"/>
        <v>16.808490043688352</v>
      </c>
      <c r="R141" s="131"/>
      <c r="S141" s="131"/>
      <c r="T141" s="131"/>
      <c r="U141" s="131"/>
      <c r="V141" s="131"/>
      <c r="W141" s="131"/>
      <c r="X141" s="131"/>
      <c r="Y141" s="131"/>
      <c r="Z141" s="131"/>
      <c r="AJ141" s="283"/>
      <c r="AK141" s="283"/>
      <c r="AL141" s="283"/>
      <c r="AM141" s="283"/>
      <c r="AN141" s="283"/>
    </row>
    <row r="142" spans="1:40" x14ac:dyDescent="0.35">
      <c r="A142" s="288"/>
      <c r="B142" s="247" t="s">
        <v>867</v>
      </c>
      <c r="C142" s="166"/>
      <c r="D142" s="126">
        <f>('Unit costs'!$C50*'Financial impact (cash)'!D$13)+('Unit costs'!$D50*'Financial impact (cash)'!D$14)+('Unit costs'!$E50*'Financial impact (cash)'!D$15)</f>
        <v>46.320281356373037</v>
      </c>
      <c r="E142" s="126">
        <f>('Unit costs'!$C50*'Financial impact (cash)'!E$13)+('Unit costs'!$D50*'Financial impact (cash)'!E$14)+('Unit costs'!$E50*'Financial impact (cash)'!E$15)</f>
        <v>39.845094134053284</v>
      </c>
      <c r="F142" s="126">
        <f>('Unit costs'!$C50*'Financial impact (cash)'!F$13)+('Unit costs'!$D50*'Financial impact (cash)'!F$14)+('Unit costs'!$E50*'Financial impact (cash)'!F$15)</f>
        <v>44.085017469652669</v>
      </c>
      <c r="G142" s="126">
        <f>('Unit costs'!$C50*'Financial impact (cash)'!G$13)+('Unit costs'!$D50*'Financial impact (cash)'!G$14)+('Unit costs'!$E50*'Financial impact (cash)'!G$15)</f>
        <v>43.628086815879328</v>
      </c>
      <c r="H142" s="126">
        <f>('Unit costs'!$C50*'Financial impact (cash)'!H$13)+('Unit costs'!$D50*'Financial impact (cash)'!H$14)+('Unit costs'!$E50*'Financial impact (cash)'!H$15)</f>
        <v>44.048740428977609</v>
      </c>
      <c r="I142" s="126">
        <f>('Unit costs'!$C50*'Financial impact (cash)'!I$13)+('Unit costs'!$D50*'Financial impact (cash)'!I$14)+('Unit costs'!$E50*'Financial impact (cash)'!I$15)</f>
        <v>44.473449903222388</v>
      </c>
      <c r="J142" s="288"/>
      <c r="K142" s="567">
        <f>'Unit costs'!L50</f>
        <v>590.28800000000001</v>
      </c>
      <c r="L142" s="289">
        <f t="shared" ref="L142:L147" si="111">(D142*$K142)/1000</f>
        <v>27.342306241290729</v>
      </c>
      <c r="M142" s="289">
        <f t="shared" si="110"/>
        <v>23.520080926202045</v>
      </c>
      <c r="N142" s="289">
        <f t="shared" si="110"/>
        <v>26.022856792126333</v>
      </c>
      <c r="O142" s="289">
        <f t="shared" si="110"/>
        <v>25.753136110371781</v>
      </c>
      <c r="P142" s="289">
        <f t="shared" si="110"/>
        <v>26.001442890340336</v>
      </c>
      <c r="Q142" s="289">
        <f t="shared" si="110"/>
        <v>26.252143796473337</v>
      </c>
      <c r="R142" s="131"/>
      <c r="S142" s="131"/>
      <c r="T142" s="131"/>
      <c r="U142" s="131"/>
      <c r="V142" s="131"/>
      <c r="W142" s="131"/>
      <c r="X142" s="131"/>
      <c r="Y142" s="131"/>
      <c r="Z142" s="131"/>
      <c r="AJ142" s="283"/>
      <c r="AK142" s="283"/>
      <c r="AL142" s="283"/>
      <c r="AM142" s="283"/>
      <c r="AN142" s="283"/>
    </row>
    <row r="143" spans="1:40" x14ac:dyDescent="0.35">
      <c r="A143" s="288"/>
      <c r="B143" s="247" t="s">
        <v>869</v>
      </c>
      <c r="C143" s="166"/>
      <c r="D143" s="126">
        <f>('Unit costs'!$C51*'Financial impact (cash)'!D$13)+('Unit costs'!$D51*'Financial impact (cash)'!D$14)+('Unit costs'!$E51*'Financial impact (cash)'!D$15)</f>
        <v>1.5513969832278052</v>
      </c>
      <c r="E143" s="126">
        <f>('Unit costs'!$C51*'Financial impact (cash)'!E$13)+('Unit costs'!$D51*'Financial impact (cash)'!E$14)+('Unit costs'!$E51*'Financial impact (cash)'!E$15)</f>
        <v>1.447013901536192</v>
      </c>
      <c r="F143" s="126">
        <f>('Unit costs'!$C51*'Financial impact (cash)'!F$13)+('Unit costs'!$D51*'Financial impact (cash)'!F$14)+('Unit costs'!$E51*'Financial impact (cash)'!F$15)</f>
        <v>1.7320727738332962</v>
      </c>
      <c r="G143" s="126">
        <f>('Unit costs'!$C51*'Financial impact (cash)'!G$13)+('Unit costs'!$D51*'Financial impact (cash)'!G$14)+('Unit costs'!$E51*'Financial impact (cash)'!G$15)</f>
        <v>1.7335663635448744</v>
      </c>
      <c r="H143" s="126">
        <f>('Unit costs'!$C51*'Financial impact (cash)'!H$13)+('Unit costs'!$D51*'Financial impact (cash)'!H$14)+('Unit costs'!$E51*'Financial impact (cash)'!H$15)</f>
        <v>1.7502810766481172</v>
      </c>
      <c r="I143" s="126">
        <f>('Unit costs'!$C51*'Financial impact (cash)'!I$13)+('Unit costs'!$D51*'Financial impact (cash)'!I$14)+('Unit costs'!$E51*'Financial impact (cash)'!I$15)</f>
        <v>1.7671569497969162</v>
      </c>
      <c r="J143" s="288"/>
      <c r="K143" s="567">
        <f>'Unit costs'!L51</f>
        <v>245.60000000000002</v>
      </c>
      <c r="L143" s="289">
        <f t="shared" si="111"/>
        <v>0.38102309908074899</v>
      </c>
      <c r="M143" s="289">
        <f t="shared" si="110"/>
        <v>0.35538661421728879</v>
      </c>
      <c r="N143" s="289">
        <f t="shared" si="110"/>
        <v>0.42539707325345755</v>
      </c>
      <c r="O143" s="289">
        <f t="shared" si="110"/>
        <v>0.42576389888662119</v>
      </c>
      <c r="P143" s="289">
        <f t="shared" si="110"/>
        <v>0.42986903242477764</v>
      </c>
      <c r="Q143" s="289">
        <f t="shared" si="110"/>
        <v>0.43401374687012262</v>
      </c>
      <c r="R143" s="131"/>
      <c r="S143" s="131"/>
      <c r="T143" s="131"/>
      <c r="U143" s="131"/>
      <c r="V143" s="131"/>
      <c r="W143" s="131"/>
      <c r="X143" s="131"/>
      <c r="Y143" s="131"/>
      <c r="Z143" s="131"/>
      <c r="AJ143" s="283"/>
      <c r="AK143" s="283"/>
      <c r="AL143" s="283"/>
      <c r="AM143" s="283"/>
      <c r="AN143" s="283"/>
    </row>
    <row r="144" spans="1:40" x14ac:dyDescent="0.35">
      <c r="A144" s="288"/>
      <c r="B144" s="247" t="s">
        <v>871</v>
      </c>
      <c r="C144" s="166"/>
      <c r="D144" s="126">
        <f>('Unit costs'!$C52*'Financial impact (cash)'!D$13)+('Unit costs'!$D52*'Financial impact (cash)'!D$14)+('Unit costs'!$E52*'Financial impact (cash)'!D$15)</f>
        <v>32.579336647783904</v>
      </c>
      <c r="E144" s="126">
        <f>('Unit costs'!$C52*'Financial impact (cash)'!E$13)+('Unit costs'!$D52*'Financial impact (cash)'!E$14)+('Unit costs'!$E52*'Financial impact (cash)'!E$15)</f>
        <v>25.016931060579317</v>
      </c>
      <c r="F144" s="126">
        <f>('Unit costs'!$C52*'Financial impact (cash)'!F$13)+('Unit costs'!$D52*'Financial impact (cash)'!F$14)+('Unit costs'!$E52*'Financial impact (cash)'!F$15)</f>
        <v>24.173711321760347</v>
      </c>
      <c r="G144" s="126">
        <f>('Unit costs'!$C52*'Financial impact (cash)'!G$13)+('Unit costs'!$D52*'Financial impact (cash)'!G$14)+('Unit costs'!$E52*'Financial impact (cash)'!G$15)</f>
        <v>23.403145907855802</v>
      </c>
      <c r="H144" s="126">
        <f>('Unit costs'!$C52*'Financial impact (cash)'!H$13)+('Unit costs'!$D52*'Financial impact (cash)'!H$14)+('Unit costs'!$E52*'Financial impact (cash)'!H$15)</f>
        <v>23.628794534749581</v>
      </c>
      <c r="I144" s="126">
        <f>('Unit costs'!$C52*'Financial impact (cash)'!I$13)+('Unit costs'!$D52*'Financial impact (cash)'!I$14)+('Unit costs'!$E52*'Financial impact (cash)'!I$15)</f>
        <v>23.856618822258369</v>
      </c>
      <c r="J144" s="288"/>
      <c r="K144" s="567">
        <f>'Unit costs'!L52</f>
        <v>286.40000000000003</v>
      </c>
      <c r="L144" s="289">
        <f t="shared" si="111"/>
        <v>9.3307220159253124</v>
      </c>
      <c r="M144" s="289">
        <f t="shared" si="110"/>
        <v>7.1648490557499169</v>
      </c>
      <c r="N144" s="289">
        <f t="shared" si="110"/>
        <v>6.9233509225521637</v>
      </c>
      <c r="O144" s="289">
        <f t="shared" si="110"/>
        <v>6.7026609880099022</v>
      </c>
      <c r="P144" s="289">
        <f t="shared" si="110"/>
        <v>6.7672867547522806</v>
      </c>
      <c r="Q144" s="289">
        <f t="shared" si="110"/>
        <v>6.8325356306947977</v>
      </c>
      <c r="R144" s="131"/>
      <c r="S144" s="131"/>
      <c r="T144" s="131"/>
      <c r="U144" s="131"/>
      <c r="V144" s="131"/>
      <c r="W144" s="131"/>
      <c r="X144" s="131"/>
      <c r="Y144" s="131"/>
      <c r="Z144" s="131"/>
      <c r="AJ144" s="283"/>
      <c r="AK144" s="283"/>
      <c r="AL144" s="283"/>
      <c r="AM144" s="283"/>
      <c r="AN144" s="283"/>
    </row>
    <row r="145" spans="1:40" x14ac:dyDescent="0.35">
      <c r="A145" s="288"/>
      <c r="B145" s="247" t="s">
        <v>873</v>
      </c>
      <c r="C145" s="166"/>
      <c r="D145" s="126">
        <f>('Unit costs'!$C53*'Financial impact (cash)'!D$13)+('Unit costs'!$D53*'Financial impact (cash)'!D$14)+('Unit costs'!$E53*'Financial impact (cash)'!D$15)</f>
        <v>3.7676783878389553</v>
      </c>
      <c r="E145" s="126">
        <f>('Unit costs'!$C53*'Financial impact (cash)'!E$13)+('Unit costs'!$D53*'Financial impact (cash)'!E$14)+('Unit costs'!$E53*'Financial impact (cash)'!E$15)</f>
        <v>3.3863108829764497</v>
      </c>
      <c r="F145" s="126">
        <f>('Unit costs'!$C53*'Financial impact (cash)'!F$13)+('Unit costs'!$D53*'Financial impact (cash)'!F$14)+('Unit costs'!$E53*'Financial impact (cash)'!F$15)</f>
        <v>3.9159906191013656</v>
      </c>
      <c r="G145" s="126">
        <f>('Unit costs'!$C53*'Financial impact (cash)'!G$13)+('Unit costs'!$D53*'Financial impact (cash)'!G$14)+('Unit costs'!$E53*'Financial impact (cash)'!G$15)</f>
        <v>3.9005243179759672</v>
      </c>
      <c r="H145" s="126">
        <f>('Unit costs'!$C53*'Financial impact (cash)'!H$13)+('Unit costs'!$D53*'Financial impact (cash)'!H$14)+('Unit costs'!$E53*'Financial impact (cash)'!H$15)</f>
        <v>3.9381324224582639</v>
      </c>
      <c r="I145" s="126">
        <f>('Unit costs'!$C53*'Financial impact (cash)'!I$13)+('Unit costs'!$D53*'Financial impact (cash)'!I$14)+('Unit costs'!$E53*'Financial impact (cash)'!I$15)</f>
        <v>3.9761031370430615</v>
      </c>
      <c r="J145" s="288"/>
      <c r="K145" s="567">
        <f>'Unit costs'!L53</f>
        <v>0.55999999999999994</v>
      </c>
      <c r="L145" s="289">
        <f t="shared" si="111"/>
        <v>2.1098998971898148E-3</v>
      </c>
      <c r="M145" s="289">
        <f t="shared" si="110"/>
        <v>1.8963340944668117E-3</v>
      </c>
      <c r="N145" s="289">
        <f t="shared" si="110"/>
        <v>2.1929547466967647E-3</v>
      </c>
      <c r="O145" s="289">
        <f t="shared" si="110"/>
        <v>2.1842936180665414E-3</v>
      </c>
      <c r="P145" s="289">
        <f t="shared" si="110"/>
        <v>2.2053541565766276E-3</v>
      </c>
      <c r="Q145" s="289">
        <f t="shared" si="110"/>
        <v>2.2266177567441142E-3</v>
      </c>
      <c r="R145" s="131"/>
      <c r="S145" s="131"/>
      <c r="T145" s="131"/>
      <c r="U145" s="131"/>
      <c r="V145" s="131"/>
      <c r="W145" s="131"/>
      <c r="X145" s="131"/>
      <c r="Y145" s="131"/>
      <c r="Z145" s="131"/>
      <c r="AJ145" s="283"/>
      <c r="AK145" s="283"/>
      <c r="AL145" s="283"/>
      <c r="AM145" s="283"/>
      <c r="AN145" s="283"/>
    </row>
    <row r="146" spans="1:40" x14ac:dyDescent="0.35">
      <c r="A146" s="288"/>
      <c r="B146" s="247" t="s">
        <v>874</v>
      </c>
      <c r="C146" s="166"/>
      <c r="D146" s="126">
        <f>('Unit costs'!$C54*'Financial impact (cash)'!D$13)+('Unit costs'!$D54*'Financial impact (cash)'!D$14)+('Unit costs'!$E54*'Financial impact (cash)'!D$15)</f>
        <v>14.627457270433592</v>
      </c>
      <c r="E146" s="126">
        <f>('Unit costs'!$C54*'Financial impact (cash)'!E$13)+('Unit costs'!$D54*'Financial impact (cash)'!E$14)+('Unit costs'!$E54*'Financial impact (cash)'!E$15)</f>
        <v>12.262323990337627</v>
      </c>
      <c r="F146" s="126">
        <f>('Unit costs'!$C54*'Financial impact (cash)'!F$13)+('Unit costs'!$D54*'Financial impact (cash)'!F$14)+('Unit costs'!$E54*'Financial impact (cash)'!F$15)</f>
        <v>13.193876085895369</v>
      </c>
      <c r="G146" s="126">
        <f>('Unit costs'!$C54*'Financial impact (cash)'!G$13)+('Unit costs'!$D54*'Financial impact (cash)'!G$14)+('Unit costs'!$E54*'Financial impact (cash)'!G$15)</f>
        <v>13.001747726586556</v>
      </c>
      <c r="H146" s="126">
        <f>('Unit costs'!$C54*'Financial impact (cash)'!H$13)+('Unit costs'!$D54*'Financial impact (cash)'!H$14)+('Unit costs'!$E54*'Financial impact (cash)'!H$15)</f>
        <v>13.12710807486088</v>
      </c>
      <c r="I146" s="126">
        <f>('Unit costs'!$C54*'Financial impact (cash)'!I$13)+('Unit costs'!$D54*'Financial impact (cash)'!I$14)+('Unit costs'!$E54*'Financial impact (cash)'!I$15)</f>
        <v>13.253677123476873</v>
      </c>
      <c r="J146" s="288"/>
      <c r="K146" s="567">
        <f>'Unit costs'!L54</f>
        <v>255.20000000000002</v>
      </c>
      <c r="L146" s="289">
        <f t="shared" si="111"/>
        <v>3.7329270954146527</v>
      </c>
      <c r="M146" s="289">
        <f t="shared" si="110"/>
        <v>3.1293450823341629</v>
      </c>
      <c r="N146" s="289">
        <f t="shared" si="110"/>
        <v>3.3670771771204984</v>
      </c>
      <c r="O146" s="289">
        <f t="shared" si="110"/>
        <v>3.3180460198248891</v>
      </c>
      <c r="P146" s="289">
        <f t="shared" si="110"/>
        <v>3.3500379807044971</v>
      </c>
      <c r="Q146" s="289">
        <f t="shared" si="110"/>
        <v>3.3823384019112983</v>
      </c>
      <c r="R146" s="131"/>
      <c r="S146" s="131"/>
      <c r="T146" s="131"/>
      <c r="U146" s="131"/>
      <c r="V146" s="131"/>
      <c r="W146" s="131"/>
      <c r="X146" s="131"/>
      <c r="Y146" s="131"/>
      <c r="Z146" s="131"/>
      <c r="AJ146" s="283"/>
      <c r="AK146" s="283"/>
      <c r="AL146" s="283"/>
      <c r="AM146" s="283"/>
      <c r="AN146" s="283"/>
    </row>
    <row r="147" spans="1:40" x14ac:dyDescent="0.35">
      <c r="A147" s="288"/>
      <c r="B147" s="247"/>
      <c r="C147" s="166"/>
      <c r="D147" s="126">
        <f>('Unit costs'!$C55*'Financial impact (cash)'!D$13)+('Unit costs'!$D55*'Financial impact (cash)'!D$14)+('Unit costs'!$E55*'Financial impact (cash)'!D$15)</f>
        <v>0</v>
      </c>
      <c r="E147" s="126">
        <f>('Unit costs'!$C55*'Financial impact (cash)'!E$13)+('Unit costs'!$D55*'Financial impact (cash)'!E$14)+('Unit costs'!$E55*'Financial impact (cash)'!E$15)</f>
        <v>0</v>
      </c>
      <c r="F147" s="126">
        <f>('Unit costs'!$C55*'Financial impact (cash)'!F$13)+('Unit costs'!$D55*'Financial impact (cash)'!F$14)+('Unit costs'!$E55*'Financial impact (cash)'!F$15)</f>
        <v>0</v>
      </c>
      <c r="G147" s="126">
        <f>('Unit costs'!$C55*'Financial impact (cash)'!G$13)+('Unit costs'!$D55*'Financial impact (cash)'!G$14)+('Unit costs'!$E55*'Financial impact (cash)'!G$15)</f>
        <v>0</v>
      </c>
      <c r="H147" s="126">
        <f>('Unit costs'!$C55*'Financial impact (cash)'!H$13)+('Unit costs'!$D55*'Financial impact (cash)'!H$14)+('Unit costs'!$E55*'Financial impact (cash)'!H$15)</f>
        <v>0</v>
      </c>
      <c r="I147" s="126">
        <f>('Unit costs'!$C55*'Financial impact (cash)'!I$13)+('Unit costs'!$D55*'Financial impact (cash)'!I$14)+('Unit costs'!$E55*'Financial impact (cash)'!I$15)</f>
        <v>0</v>
      </c>
      <c r="J147" s="288"/>
      <c r="K147" s="567">
        <f>'Unit costs'!L55</f>
        <v>0</v>
      </c>
      <c r="L147" s="289">
        <f t="shared" si="111"/>
        <v>0</v>
      </c>
      <c r="M147" s="289">
        <f t="shared" si="110"/>
        <v>0</v>
      </c>
      <c r="N147" s="289">
        <f t="shared" si="110"/>
        <v>0</v>
      </c>
      <c r="O147" s="289">
        <f t="shared" si="110"/>
        <v>0</v>
      </c>
      <c r="P147" s="289">
        <f t="shared" si="110"/>
        <v>0</v>
      </c>
      <c r="Q147" s="289">
        <f t="shared" si="110"/>
        <v>0</v>
      </c>
      <c r="R147" s="131"/>
      <c r="S147" s="131"/>
      <c r="T147" s="131"/>
      <c r="U147" s="131"/>
      <c r="V147" s="131"/>
      <c r="W147" s="131"/>
      <c r="X147" s="131"/>
      <c r="Y147" s="131"/>
      <c r="Z147" s="131"/>
      <c r="AJ147" s="283"/>
      <c r="AK147" s="283"/>
      <c r="AL147" s="283"/>
      <c r="AM147" s="283"/>
      <c r="AN147" s="283"/>
    </row>
    <row r="148" spans="1:40" x14ac:dyDescent="0.35">
      <c r="A148" s="288"/>
      <c r="B148" s="277"/>
      <c r="C148" s="206"/>
      <c r="D148" s="184">
        <f t="shared" ref="D148:I148" si="112">SUM(D141:D147)</f>
        <v>185.72438170641436</v>
      </c>
      <c r="E148" s="184">
        <f t="shared" si="112"/>
        <v>155.88964196962067</v>
      </c>
      <c r="F148" s="184">
        <f t="shared" si="112"/>
        <v>167.96587455468622</v>
      </c>
      <c r="G148" s="184">
        <f t="shared" si="112"/>
        <v>165.55558771853549</v>
      </c>
      <c r="H148" s="184">
        <f t="shared" si="112"/>
        <v>167.15184281989519</v>
      </c>
      <c r="I148" s="184">
        <f t="shared" si="112"/>
        <v>168.76348870560548</v>
      </c>
      <c r="J148" s="288"/>
      <c r="K148" s="288"/>
      <c r="L148" s="290">
        <f>SUM(L141:L147)</f>
        <v>58.720755242548897</v>
      </c>
      <c r="M148" s="290">
        <f t="shared" ref="M148:Q148" si="113">SUM(M141:M147)</f>
        <v>49.431116207826328</v>
      </c>
      <c r="N148" s="290">
        <f t="shared" si="113"/>
        <v>53.431453496908233</v>
      </c>
      <c r="O148" s="290">
        <f t="shared" si="113"/>
        <v>52.690781134204691</v>
      </c>
      <c r="P148" s="290">
        <f t="shared" si="113"/>
        <v>53.198815501024704</v>
      </c>
      <c r="Q148" s="290">
        <f t="shared" si="113"/>
        <v>53.711748237394652</v>
      </c>
      <c r="R148" s="131"/>
      <c r="S148" s="131"/>
      <c r="T148" s="131"/>
      <c r="U148" s="131"/>
      <c r="V148" s="131"/>
      <c r="W148" s="131"/>
      <c r="X148" s="131"/>
      <c r="Y148" s="131"/>
      <c r="Z148" s="131"/>
      <c r="AJ148" s="283"/>
      <c r="AK148" s="283"/>
      <c r="AL148" s="283"/>
      <c r="AM148" s="283"/>
      <c r="AN148" s="283"/>
    </row>
    <row r="149" spans="1:40" x14ac:dyDescent="0.35">
      <c r="A149" s="288"/>
      <c r="B149" s="305"/>
      <c r="C149" s="206"/>
      <c r="D149" s="282" t="s">
        <v>973</v>
      </c>
      <c r="E149" s="184">
        <f>E148-$D$148</f>
        <v>-29.834739736793694</v>
      </c>
      <c r="F149" s="184">
        <f>F148-$D$148</f>
        <v>-17.758507151728139</v>
      </c>
      <c r="G149" s="184">
        <f>G148-$D$148</f>
        <v>-20.168793987878871</v>
      </c>
      <c r="H149" s="184">
        <f>H148-$D$148</f>
        <v>-18.572538886519169</v>
      </c>
      <c r="I149" s="184">
        <f>I148-$D$148</f>
        <v>-16.960893000808881</v>
      </c>
      <c r="J149" s="288"/>
      <c r="K149" s="288"/>
      <c r="L149" s="539"/>
      <c r="M149" s="290">
        <f>M148-$L$148</f>
        <v>-9.289639034722569</v>
      </c>
      <c r="N149" s="290">
        <f t="shared" ref="N149:Q149" si="114">N148-$L$148</f>
        <v>-5.2893017456406639</v>
      </c>
      <c r="O149" s="290">
        <f t="shared" si="114"/>
        <v>-6.0299741083442058</v>
      </c>
      <c r="P149" s="290">
        <f t="shared" si="114"/>
        <v>-5.5219397415241929</v>
      </c>
      <c r="Q149" s="290">
        <f t="shared" si="114"/>
        <v>-5.0090070051542455</v>
      </c>
    </row>
    <row r="150" spans="1:40" x14ac:dyDescent="0.35">
      <c r="A150" s="288"/>
      <c r="B150" s="288"/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</row>
    <row r="151" spans="1:40" x14ac:dyDescent="0.35">
      <c r="B151"/>
    </row>
    <row r="152" spans="1:40" x14ac:dyDescent="0.35">
      <c r="B152"/>
    </row>
    <row r="153" spans="1:40" x14ac:dyDescent="0.35">
      <c r="B153"/>
    </row>
    <row r="154" spans="1:40" x14ac:dyDescent="0.35">
      <c r="B154"/>
    </row>
    <row r="155" spans="1:40" x14ac:dyDescent="0.35">
      <c r="B155"/>
    </row>
  </sheetData>
  <sheetProtection algorithmName="SHA-512" hashValue="d4EmM4jfVCfKOj9WZznHkB0HOGaXcqSyuO+2ln4hRlWBj14bHRsb7MawPvHjw4H0g4oI6RlBeNub48m6FX9Iww==" saltValue="xDZ5UgwfOU/fCTAqTrW1Cg==" spinCount="100000" sheet="1" objects="1" scenarios="1"/>
  <protectedRanges>
    <protectedRange sqref="B141:B147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95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53"/>
  <sheetViews>
    <sheetView showGridLines="0" zoomScale="80" zoomScaleNormal="80" zoomScaleSheetLayoutView="30" workbookViewId="0">
      <selection activeCell="L139" sqref="L139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545" t="str">
        <f>'Inputs and eligible population'!B1</f>
        <v>Olaparib for treating BRCA mutation-positive HER2-negative advanced breast cancer after chemotherapy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5" customHeight="1" x14ac:dyDescent="0.35">
      <c r="B2" s="210" t="s">
        <v>974</v>
      </c>
      <c r="C2" s="125" t="s">
        <v>790</v>
      </c>
      <c r="D2" s="125" t="s">
        <v>790</v>
      </c>
      <c r="E2" s="125" t="s">
        <v>790</v>
      </c>
      <c r="F2" s="125" t="s">
        <v>790</v>
      </c>
      <c r="G2" s="125" t="s">
        <v>790</v>
      </c>
      <c r="H2" s="125" t="s">
        <v>790</v>
      </c>
      <c r="I2" s="125" t="s">
        <v>790</v>
      </c>
      <c r="J2" s="125" t="s">
        <v>790</v>
      </c>
      <c r="K2" s="125"/>
      <c r="L2" s="125" t="s">
        <v>790</v>
      </c>
      <c r="M2" s="125" t="s">
        <v>790</v>
      </c>
      <c r="N2" s="125" t="s">
        <v>790</v>
      </c>
      <c r="O2" s="125" t="s">
        <v>790</v>
      </c>
      <c r="P2" s="125" t="s">
        <v>790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" customHeight="1" x14ac:dyDescent="0.35">
      <c r="B3" s="128" t="s">
        <v>790</v>
      </c>
      <c r="C3" s="131" t="s">
        <v>790</v>
      </c>
      <c r="D3" s="131" t="s">
        <v>790</v>
      </c>
      <c r="E3" s="131" t="s">
        <v>790</v>
      </c>
      <c r="F3" s="131" t="s">
        <v>790</v>
      </c>
      <c r="G3" s="131" t="s">
        <v>790</v>
      </c>
      <c r="H3" s="131" t="s">
        <v>790</v>
      </c>
      <c r="I3" s="131" t="s">
        <v>790</v>
      </c>
      <c r="J3" s="131" t="s">
        <v>790</v>
      </c>
      <c r="K3" s="131"/>
      <c r="L3" s="131" t="s">
        <v>790</v>
      </c>
      <c r="M3" s="131" t="s">
        <v>790</v>
      </c>
      <c r="N3" s="131" t="s">
        <v>790</v>
      </c>
      <c r="O3" s="131" t="s">
        <v>790</v>
      </c>
      <c r="P3" s="131" t="s">
        <v>790</v>
      </c>
      <c r="Q3" s="131"/>
      <c r="R3" s="131"/>
      <c r="S3" s="125"/>
      <c r="T3" s="125"/>
      <c r="U3" s="125"/>
      <c r="V3" s="125"/>
      <c r="W3" s="125"/>
      <c r="X3" s="125"/>
      <c r="Y3" s="131"/>
      <c r="Z3" s="131"/>
    </row>
    <row r="4" spans="1:40" ht="14.5" customHeight="1" x14ac:dyDescent="0.35">
      <c r="B4" t="s">
        <v>933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" customHeight="1" x14ac:dyDescent="0.3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5"/>
      <c r="T5" s="125"/>
      <c r="U5" s="125"/>
      <c r="V5" s="125"/>
      <c r="W5" s="125"/>
      <c r="X5" s="125"/>
      <c r="Y5" s="131"/>
      <c r="Z5" s="131"/>
    </row>
    <row r="6" spans="1:40" ht="43.5" x14ac:dyDescent="0.35">
      <c r="B6" s="255" t="s">
        <v>884</v>
      </c>
      <c r="C6" s="206"/>
      <c r="D6" s="770" t="s">
        <v>926</v>
      </c>
      <c r="E6" s="253" t="s">
        <v>698</v>
      </c>
      <c r="F6" s="253" t="s">
        <v>699</v>
      </c>
      <c r="G6" s="163" t="s">
        <v>881</v>
      </c>
      <c r="H6" s="163" t="s">
        <v>882</v>
      </c>
      <c r="I6" s="253" t="s">
        <v>883</v>
      </c>
      <c r="L6" s="770" t="s">
        <v>926</v>
      </c>
      <c r="M6" s="253" t="s">
        <v>698</v>
      </c>
      <c r="N6" s="253" t="s">
        <v>699</v>
      </c>
      <c r="O6" s="163" t="s">
        <v>881</v>
      </c>
      <c r="P6" s="163" t="s">
        <v>882</v>
      </c>
      <c r="Q6" s="253" t="s">
        <v>883</v>
      </c>
      <c r="R6" s="131"/>
      <c r="S6" s="125"/>
      <c r="T6" s="125"/>
      <c r="U6" s="125"/>
      <c r="V6" s="125"/>
      <c r="W6" s="125"/>
      <c r="X6" s="125"/>
      <c r="Y6" s="131"/>
      <c r="Z6" s="131"/>
      <c r="AJ6" s="283"/>
      <c r="AK6" s="283"/>
      <c r="AL6" s="283"/>
      <c r="AM6" s="283"/>
      <c r="AN6" s="283"/>
    </row>
    <row r="7" spans="1:40" ht="14.5" customHeight="1" x14ac:dyDescent="0.35">
      <c r="B7" s="222" t="s">
        <v>884</v>
      </c>
      <c r="C7" s="166"/>
      <c r="D7" s="376">
        <f>'Inputs and eligible population'!F45</f>
        <v>295.50418728148668</v>
      </c>
      <c r="E7" s="376">
        <f>'Inputs and eligible population'!G45</f>
        <v>298.35338176003955</v>
      </c>
      <c r="F7" s="376">
        <f>'Inputs and eligible population'!H45</f>
        <v>301.23004762318192</v>
      </c>
      <c r="G7" s="376">
        <f>'Inputs and eligible population'!I45</f>
        <v>304.1344497447148</v>
      </c>
      <c r="H7" s="376">
        <f>'Inputs and eligible population'!J45</f>
        <v>307.06685555230126</v>
      </c>
      <c r="I7" s="376">
        <f>'Inputs and eligible population'!K45</f>
        <v>310.02753505209057</v>
      </c>
      <c r="P7" s="131"/>
      <c r="Q7" s="131"/>
      <c r="R7" s="131"/>
      <c r="S7" s="125"/>
      <c r="T7" s="125"/>
      <c r="U7" s="125"/>
      <c r="V7" s="125"/>
      <c r="W7" s="125"/>
      <c r="X7" s="125"/>
      <c r="Y7" s="131"/>
      <c r="Z7" s="131"/>
      <c r="AJ7" s="283"/>
      <c r="AK7" s="283"/>
      <c r="AL7" s="283"/>
      <c r="AM7" s="283"/>
      <c r="AN7" s="283"/>
    </row>
    <row r="8" spans="1:40" ht="14.5" customHeight="1" x14ac:dyDescent="0.35">
      <c r="B8"/>
      <c r="P8" s="131"/>
      <c r="Q8" s="131"/>
      <c r="R8" s="131"/>
      <c r="S8" s="125"/>
      <c r="T8" s="125"/>
      <c r="U8" s="125"/>
      <c r="V8" s="125"/>
      <c r="W8" s="125"/>
      <c r="X8" s="125"/>
      <c r="Y8" s="131"/>
      <c r="Z8" s="131"/>
      <c r="AJ8" s="283"/>
      <c r="AK8" s="283"/>
      <c r="AL8" s="283"/>
      <c r="AM8" s="283"/>
      <c r="AN8" s="283"/>
    </row>
    <row r="9" spans="1:40" ht="14.5" customHeight="1" x14ac:dyDescent="0.35">
      <c r="B9" s="276" t="s">
        <v>934</v>
      </c>
      <c r="C9" s="436"/>
      <c r="D9" s="436"/>
      <c r="E9" s="437"/>
      <c r="F9" s="436"/>
      <c r="G9" s="438"/>
      <c r="H9" s="439"/>
      <c r="I9" s="439"/>
      <c r="J9" s="573"/>
      <c r="K9" s="572"/>
      <c r="L9" s="698" t="s">
        <v>890</v>
      </c>
      <c r="M9" s="698" t="s">
        <v>890</v>
      </c>
      <c r="N9" s="698" t="s">
        <v>890</v>
      </c>
      <c r="O9" s="698" t="s">
        <v>890</v>
      </c>
      <c r="P9" s="698" t="s">
        <v>890</v>
      </c>
      <c r="Q9" s="698" t="s">
        <v>890</v>
      </c>
      <c r="R9" s="131"/>
      <c r="S9" s="125"/>
      <c r="T9" s="125"/>
      <c r="U9" s="125"/>
      <c r="V9" s="125"/>
      <c r="W9" s="125"/>
      <c r="X9" s="125"/>
      <c r="Y9" s="131"/>
      <c r="Z9" s="131"/>
      <c r="AJ9" s="283"/>
      <c r="AK9" s="283"/>
      <c r="AL9" s="283"/>
      <c r="AM9" s="283"/>
      <c r="AN9" s="283"/>
    </row>
    <row r="10" spans="1:40" ht="14.5" hidden="1" customHeight="1" x14ac:dyDescent="0.35">
      <c r="A10" s="285"/>
      <c r="B10" s="445" t="str">
        <f>B27</f>
        <v>First attendances - number of appointments</v>
      </c>
      <c r="C10" s="381"/>
      <c r="D10" s="419">
        <f>D32</f>
        <v>0</v>
      </c>
      <c r="E10" s="419">
        <f t="shared" ref="E10:I10" si="0">E32</f>
        <v>0</v>
      </c>
      <c r="F10" s="419">
        <f t="shared" si="0"/>
        <v>0</v>
      </c>
      <c r="G10" s="419">
        <f t="shared" si="0"/>
        <v>0</v>
      </c>
      <c r="H10" s="419">
        <f t="shared" si="0"/>
        <v>0</v>
      </c>
      <c r="I10" s="419">
        <f t="shared" si="0"/>
        <v>0</v>
      </c>
      <c r="L10" s="289">
        <f>L32</f>
        <v>0</v>
      </c>
      <c r="M10" s="289">
        <f t="shared" ref="M10:Q10" si="1">M32</f>
        <v>0</v>
      </c>
      <c r="N10" s="289">
        <f t="shared" si="1"/>
        <v>0</v>
      </c>
      <c r="O10" s="289">
        <f t="shared" si="1"/>
        <v>0</v>
      </c>
      <c r="P10" s="289">
        <f t="shared" si="1"/>
        <v>0</v>
      </c>
      <c r="Q10" s="289">
        <f t="shared" si="1"/>
        <v>0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83"/>
      <c r="AK10" s="283"/>
      <c r="AL10" s="283"/>
      <c r="AM10" s="283"/>
      <c r="AN10" s="283"/>
    </row>
    <row r="11" spans="1:40" ht="14.5" customHeight="1" x14ac:dyDescent="0.35">
      <c r="A11" s="285"/>
      <c r="B11" s="445" t="str">
        <f>B35</f>
        <v>Follow up attendances - number of appointments</v>
      </c>
      <c r="C11" s="381"/>
      <c r="D11" s="419">
        <f>D40</f>
        <v>3546.0502473778402</v>
      </c>
      <c r="E11" s="419">
        <f t="shared" ref="E11:I11" si="2">E40</f>
        <v>3580.2405811204744</v>
      </c>
      <c r="F11" s="419">
        <f t="shared" si="2"/>
        <v>3614.760571478183</v>
      </c>
      <c r="G11" s="419">
        <f t="shared" si="2"/>
        <v>3649.6133969365769</v>
      </c>
      <c r="H11" s="419">
        <f t="shared" si="2"/>
        <v>3684.8022666276147</v>
      </c>
      <c r="I11" s="419">
        <f t="shared" si="2"/>
        <v>3720.3304206250868</v>
      </c>
      <c r="L11" s="289">
        <f>L40</f>
        <v>528.36148685929822</v>
      </c>
      <c r="M11" s="289">
        <f t="shared" ref="M11:Q11" si="3">M40</f>
        <v>533.45584658695077</v>
      </c>
      <c r="N11" s="289">
        <f t="shared" si="3"/>
        <v>538.59932515024923</v>
      </c>
      <c r="O11" s="289">
        <f t="shared" si="3"/>
        <v>543.79239614354992</v>
      </c>
      <c r="P11" s="289">
        <f t="shared" si="3"/>
        <v>549.03553772751457</v>
      </c>
      <c r="Q11" s="289">
        <f t="shared" si="3"/>
        <v>554.32923267313788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83"/>
      <c r="AK11" s="283"/>
      <c r="AL11" s="283"/>
      <c r="AM11" s="283"/>
      <c r="AN11" s="283"/>
    </row>
    <row r="12" spans="1:40" ht="14.5" customHeight="1" x14ac:dyDescent="0.35">
      <c r="A12" s="292"/>
      <c r="B12" s="442" t="str">
        <f>B44</f>
        <v>Number of administrations</v>
      </c>
      <c r="C12" s="414"/>
      <c r="D12" s="413">
        <f>D48</f>
        <v>2659.5376855333802</v>
      </c>
      <c r="E12" s="413">
        <f t="shared" ref="E12:I12" si="4">E48</f>
        <v>2458.4318657027261</v>
      </c>
      <c r="F12" s="413">
        <f t="shared" si="4"/>
        <v>2918.9191614686324</v>
      </c>
      <c r="G12" s="413">
        <f t="shared" si="4"/>
        <v>2918.1700453005378</v>
      </c>
      <c r="H12" s="413">
        <f t="shared" si="4"/>
        <v>2946.3064790243307</v>
      </c>
      <c r="I12" s="413">
        <f t="shared" si="4"/>
        <v>2974.7141988248086</v>
      </c>
      <c r="L12" s="289">
        <f>L48</f>
        <v>377.65435134573994</v>
      </c>
      <c r="M12" s="289">
        <f t="shared" ref="M12:Q12" si="5">M48</f>
        <v>349.09732492978708</v>
      </c>
      <c r="N12" s="289">
        <f t="shared" si="5"/>
        <v>414.48652092854581</v>
      </c>
      <c r="O12" s="289">
        <f t="shared" si="5"/>
        <v>414.38014643267633</v>
      </c>
      <c r="P12" s="289">
        <f t="shared" si="5"/>
        <v>418.37552002145497</v>
      </c>
      <c r="Q12" s="289">
        <f t="shared" si="5"/>
        <v>422.40941623312284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83"/>
      <c r="AK12" s="283"/>
      <c r="AL12" s="283"/>
      <c r="AM12" s="283"/>
      <c r="AN12" s="283"/>
    </row>
    <row r="13" spans="1:40" ht="14.5" hidden="1" customHeight="1" x14ac:dyDescent="0.35">
      <c r="A13" s="284"/>
      <c r="B13" s="443" t="str">
        <f>B61</f>
        <v>Administrations - duration of administrations (hours)</v>
      </c>
      <c r="C13" s="450"/>
      <c r="D13" s="415">
        <f>D66</f>
        <v>0</v>
      </c>
      <c r="E13" s="415">
        <f t="shared" ref="E13:I13" si="6">E66</f>
        <v>0</v>
      </c>
      <c r="F13" s="415">
        <f t="shared" si="6"/>
        <v>0</v>
      </c>
      <c r="G13" s="415">
        <f t="shared" si="6"/>
        <v>0</v>
      </c>
      <c r="H13" s="415">
        <f t="shared" si="6"/>
        <v>0</v>
      </c>
      <c r="I13" s="415">
        <f t="shared" si="6"/>
        <v>0</v>
      </c>
      <c r="L13" s="205"/>
      <c r="M13" s="205"/>
      <c r="N13" s="205"/>
      <c r="O13" s="205"/>
      <c r="P13" s="412"/>
      <c r="Q13" s="412"/>
      <c r="R13" s="131"/>
      <c r="S13" s="131"/>
      <c r="T13" s="131"/>
      <c r="U13" s="131"/>
      <c r="V13" s="131"/>
      <c r="W13" s="131"/>
      <c r="X13" s="131"/>
      <c r="Y13" s="131"/>
      <c r="Z13" s="131"/>
      <c r="AJ13" s="283"/>
      <c r="AK13" s="283"/>
      <c r="AL13" s="283"/>
      <c r="AM13" s="283"/>
      <c r="AN13" s="283"/>
    </row>
    <row r="14" spans="1:40" ht="14.5" hidden="1" customHeight="1" x14ac:dyDescent="0.35">
      <c r="A14" s="284"/>
      <c r="B14" s="443" t="str">
        <f>B69</f>
        <v>Preparation time before administration (hours)</v>
      </c>
      <c r="C14" s="450"/>
      <c r="D14" s="415">
        <f>D74</f>
        <v>0</v>
      </c>
      <c r="E14" s="415">
        <f t="shared" ref="E14:I14" si="7">E74</f>
        <v>0</v>
      </c>
      <c r="F14" s="415">
        <f t="shared" si="7"/>
        <v>0</v>
      </c>
      <c r="G14" s="415">
        <f t="shared" si="7"/>
        <v>0</v>
      </c>
      <c r="H14" s="415">
        <f t="shared" si="7"/>
        <v>0</v>
      </c>
      <c r="I14" s="415">
        <f t="shared" si="7"/>
        <v>0</v>
      </c>
      <c r="L14" s="205"/>
      <c r="M14" s="205"/>
      <c r="N14" s="205"/>
      <c r="O14" s="205"/>
      <c r="P14" s="412"/>
      <c r="Q14" s="412"/>
      <c r="R14" s="131"/>
      <c r="S14" s="131"/>
      <c r="T14" s="131"/>
      <c r="U14" s="131"/>
      <c r="V14" s="131"/>
      <c r="W14" s="131"/>
      <c r="X14" s="131"/>
      <c r="Y14" s="131"/>
      <c r="Z14" s="131"/>
      <c r="AJ14" s="283"/>
      <c r="AK14" s="283"/>
      <c r="AL14" s="283"/>
      <c r="AM14" s="283"/>
      <c r="AN14" s="283"/>
    </row>
    <row r="15" spans="1:40" ht="14.5" hidden="1" customHeight="1" x14ac:dyDescent="0.35">
      <c r="A15" s="284"/>
      <c r="B15" s="443" t="str">
        <f>B77</f>
        <v>Post administration nursing time (hours)</v>
      </c>
      <c r="C15" s="450"/>
      <c r="D15" s="415">
        <f>D82</f>
        <v>0</v>
      </c>
      <c r="E15" s="416">
        <f t="shared" ref="E15:I15" si="8">E82</f>
        <v>0</v>
      </c>
      <c r="F15" s="415">
        <f t="shared" si="8"/>
        <v>0</v>
      </c>
      <c r="G15" s="415">
        <f t="shared" si="8"/>
        <v>0</v>
      </c>
      <c r="H15" s="415">
        <f t="shared" si="8"/>
        <v>0</v>
      </c>
      <c r="I15" s="415">
        <f t="shared" si="8"/>
        <v>0</v>
      </c>
      <c r="L15" s="205"/>
      <c r="M15" s="205"/>
      <c r="N15" s="205"/>
      <c r="O15" s="205"/>
      <c r="P15" s="412"/>
      <c r="Q15" s="412"/>
      <c r="R15" s="131"/>
      <c r="S15" s="131"/>
      <c r="T15" s="131"/>
      <c r="U15" s="131"/>
      <c r="V15" s="131"/>
      <c r="W15" s="131"/>
      <c r="X15" s="131"/>
      <c r="Y15" s="131"/>
      <c r="Z15" s="131"/>
      <c r="AJ15" s="283"/>
      <c r="AK15" s="283"/>
      <c r="AL15" s="283"/>
      <c r="AM15" s="283"/>
      <c r="AN15" s="283"/>
    </row>
    <row r="16" spans="1:40" ht="14.5" customHeight="1" x14ac:dyDescent="0.35">
      <c r="A16" s="286"/>
      <c r="B16" s="444" t="str">
        <f>B86</f>
        <v>Pharmacy support (hours)</v>
      </c>
      <c r="C16" s="451"/>
      <c r="D16" s="417">
        <f>D91</f>
        <v>110.8140702305575</v>
      </c>
      <c r="E16" s="417">
        <f t="shared" ref="E16:I16" si="9">E91</f>
        <v>102.43466107094692</v>
      </c>
      <c r="F16" s="417">
        <f t="shared" si="9"/>
        <v>121.62163172785969</v>
      </c>
      <c r="G16" s="417">
        <f t="shared" si="9"/>
        <v>121.59041855418909</v>
      </c>
      <c r="H16" s="417">
        <f t="shared" si="9"/>
        <v>122.7627699593471</v>
      </c>
      <c r="I16" s="417">
        <f t="shared" si="9"/>
        <v>123.94642495103371</v>
      </c>
      <c r="L16" s="205"/>
      <c r="M16" s="205"/>
      <c r="N16" s="205"/>
      <c r="O16" s="205"/>
      <c r="P16" s="412"/>
      <c r="Q16" s="412"/>
      <c r="R16" s="131"/>
      <c r="S16" s="131"/>
      <c r="T16" s="131"/>
      <c r="U16" s="131"/>
      <c r="V16" s="131"/>
      <c r="W16" s="131"/>
      <c r="X16" s="131"/>
      <c r="Y16" s="131"/>
      <c r="Z16" s="131"/>
      <c r="AJ16" s="283"/>
      <c r="AK16" s="283"/>
      <c r="AL16" s="283"/>
      <c r="AM16" s="283"/>
      <c r="AN16" s="283"/>
    </row>
    <row r="17" spans="1:40" ht="14.5" hidden="1" customHeight="1" x14ac:dyDescent="0.35">
      <c r="A17" s="326"/>
      <c r="B17" s="446" t="str">
        <f>B95</f>
        <v>Appointments with supporting specialty x</v>
      </c>
      <c r="C17" s="452"/>
      <c r="D17" s="420">
        <f>D100</f>
        <v>0</v>
      </c>
      <c r="E17" s="420">
        <f t="shared" ref="E17:I17" si="10">E100</f>
        <v>0</v>
      </c>
      <c r="F17" s="420">
        <f t="shared" si="10"/>
        <v>0</v>
      </c>
      <c r="G17" s="420">
        <f t="shared" si="10"/>
        <v>0</v>
      </c>
      <c r="H17" s="420">
        <f t="shared" si="10"/>
        <v>0</v>
      </c>
      <c r="I17" s="420">
        <f t="shared" si="10"/>
        <v>0</v>
      </c>
      <c r="L17" s="205"/>
      <c r="M17" s="205"/>
      <c r="N17" s="205"/>
      <c r="O17" s="205"/>
      <c r="P17" s="412"/>
      <c r="Q17" s="412"/>
      <c r="R17" s="131"/>
      <c r="S17" s="131"/>
      <c r="T17" s="131"/>
      <c r="U17" s="131"/>
      <c r="V17" s="131"/>
      <c r="W17" s="131"/>
      <c r="X17" s="131"/>
      <c r="Y17" s="131"/>
      <c r="Z17" s="131"/>
      <c r="AJ17" s="283"/>
      <c r="AK17" s="283"/>
      <c r="AL17" s="283"/>
      <c r="AM17" s="283"/>
      <c r="AN17" s="283"/>
    </row>
    <row r="18" spans="1:40" ht="14.5" customHeight="1" x14ac:dyDescent="0.35">
      <c r="A18" s="287"/>
      <c r="B18" s="447" t="str">
        <f>B104</f>
        <v>Blood monitoring</v>
      </c>
      <c r="C18" s="453"/>
      <c r="D18" s="421">
        <f>D109</f>
        <v>3546.0502473778402</v>
      </c>
      <c r="E18" s="421">
        <f t="shared" ref="E18:I18" si="11">E109</f>
        <v>3580.2405811204744</v>
      </c>
      <c r="F18" s="421">
        <f t="shared" si="11"/>
        <v>3614.760571478183</v>
      </c>
      <c r="G18" s="421">
        <f t="shared" si="11"/>
        <v>3649.6133969365769</v>
      </c>
      <c r="H18" s="421">
        <f t="shared" si="11"/>
        <v>3684.8022666276147</v>
      </c>
      <c r="I18" s="421">
        <f t="shared" si="11"/>
        <v>3720.3304206250868</v>
      </c>
      <c r="L18" s="205"/>
      <c r="M18" s="205"/>
      <c r="N18" s="205"/>
      <c r="O18" s="205"/>
      <c r="P18" s="412"/>
      <c r="Q18" s="412"/>
      <c r="R18" s="131"/>
      <c r="S18" s="131"/>
      <c r="T18" s="131"/>
      <c r="U18" s="131"/>
      <c r="V18" s="131"/>
      <c r="W18" s="131"/>
      <c r="X18" s="131"/>
      <c r="Y18" s="131"/>
      <c r="Z18" s="131"/>
      <c r="AJ18" s="283"/>
      <c r="AK18" s="283"/>
      <c r="AL18" s="283"/>
      <c r="AM18" s="283"/>
      <c r="AN18" s="283"/>
    </row>
    <row r="19" spans="1:40" ht="14.5" hidden="1" customHeight="1" x14ac:dyDescent="0.35">
      <c r="A19" s="287"/>
      <c r="B19" s="447" t="str">
        <f>B112</f>
        <v>Liver function tests per person</v>
      </c>
      <c r="C19" s="453"/>
      <c r="D19" s="421">
        <f>D117</f>
        <v>0</v>
      </c>
      <c r="E19" s="421">
        <f t="shared" ref="E19:I19" si="12">E117</f>
        <v>0</v>
      </c>
      <c r="F19" s="421">
        <f t="shared" si="12"/>
        <v>0</v>
      </c>
      <c r="G19" s="421">
        <f t="shared" si="12"/>
        <v>0</v>
      </c>
      <c r="H19" s="421">
        <f t="shared" si="12"/>
        <v>0</v>
      </c>
      <c r="I19" s="421">
        <f t="shared" si="12"/>
        <v>0</v>
      </c>
      <c r="L19" s="205"/>
      <c r="M19" s="205"/>
      <c r="N19" s="205"/>
      <c r="O19" s="205"/>
      <c r="P19" s="412"/>
      <c r="Q19" s="412"/>
      <c r="R19" s="131"/>
      <c r="S19" s="131"/>
      <c r="T19" s="131"/>
      <c r="U19" s="131"/>
      <c r="V19" s="131"/>
      <c r="W19" s="131"/>
      <c r="X19" s="131"/>
      <c r="Y19" s="131"/>
      <c r="Z19" s="131"/>
      <c r="AJ19" s="283"/>
      <c r="AK19" s="283"/>
      <c r="AL19" s="283"/>
      <c r="AM19" s="283"/>
      <c r="AN19" s="283"/>
    </row>
    <row r="20" spans="1:40" ht="14.5" hidden="1" customHeight="1" x14ac:dyDescent="0.35">
      <c r="A20" s="287"/>
      <c r="B20" s="447" t="str">
        <f>B120</f>
        <v>Genomic tests</v>
      </c>
      <c r="C20" s="453"/>
      <c r="D20" s="421">
        <f>D125</f>
        <v>0</v>
      </c>
      <c r="E20" s="421">
        <f t="shared" ref="E20:I20" si="13">E125</f>
        <v>0</v>
      </c>
      <c r="F20" s="421">
        <f t="shared" si="13"/>
        <v>0</v>
      </c>
      <c r="G20" s="421">
        <f t="shared" si="13"/>
        <v>0</v>
      </c>
      <c r="H20" s="421">
        <f t="shared" si="13"/>
        <v>0</v>
      </c>
      <c r="I20" s="421">
        <f t="shared" si="13"/>
        <v>0</v>
      </c>
      <c r="L20" s="205"/>
      <c r="M20" s="205"/>
      <c r="N20" s="205"/>
      <c r="O20" s="205"/>
      <c r="P20" s="412"/>
      <c r="Q20" s="412"/>
      <c r="R20" s="131"/>
      <c r="S20" s="131"/>
      <c r="T20" s="131"/>
      <c r="U20" s="131"/>
      <c r="V20" s="131"/>
      <c r="W20" s="131"/>
      <c r="X20" s="131"/>
      <c r="Y20" s="131"/>
      <c r="Z20" s="131"/>
      <c r="AJ20" s="283"/>
      <c r="AK20" s="283"/>
      <c r="AL20" s="283"/>
      <c r="AM20" s="283"/>
      <c r="AN20" s="283"/>
    </row>
    <row r="21" spans="1:40" ht="14.5" hidden="1" customHeight="1" x14ac:dyDescent="0.35">
      <c r="A21" s="287"/>
      <c r="B21" s="448" t="str">
        <f>B128</f>
        <v>Genomics staffing impact (hours)</v>
      </c>
      <c r="C21" s="432"/>
      <c r="D21" s="421">
        <f>D133</f>
        <v>0</v>
      </c>
      <c r="E21" s="421">
        <f t="shared" ref="E21:I21" si="14">E133</f>
        <v>0</v>
      </c>
      <c r="F21" s="421">
        <f t="shared" si="14"/>
        <v>0</v>
      </c>
      <c r="G21" s="421">
        <f t="shared" si="14"/>
        <v>0</v>
      </c>
      <c r="H21" s="421">
        <f t="shared" si="14"/>
        <v>0</v>
      </c>
      <c r="I21" s="421">
        <f t="shared" si="14"/>
        <v>0</v>
      </c>
      <c r="J21" s="131"/>
      <c r="K21" s="131"/>
      <c r="L21" s="205"/>
      <c r="M21" s="205"/>
      <c r="N21" s="205"/>
      <c r="O21" s="205"/>
      <c r="P21" s="412"/>
      <c r="Q21" s="412"/>
      <c r="R21" s="131"/>
      <c r="S21" s="131"/>
      <c r="T21" s="131"/>
      <c r="U21" s="131"/>
      <c r="V21" s="131"/>
      <c r="W21" s="131"/>
      <c r="X21" s="131"/>
      <c r="Y21" s="131"/>
      <c r="Z21" s="131"/>
    </row>
    <row r="22" spans="1:40" ht="14.5" customHeight="1" x14ac:dyDescent="0.35">
      <c r="A22" s="288"/>
      <c r="B22" s="449" t="str">
        <f>B137</f>
        <v>Adverse events, various (cases)</v>
      </c>
      <c r="C22" s="427"/>
      <c r="D22" s="422">
        <f>D146</f>
        <v>185.72438170641436</v>
      </c>
      <c r="E22" s="422">
        <f t="shared" ref="E22:I22" si="15">E146</f>
        <v>155.88964196962067</v>
      </c>
      <c r="F22" s="422">
        <f t="shared" si="15"/>
        <v>167.96587455468622</v>
      </c>
      <c r="G22" s="422">
        <f t="shared" si="15"/>
        <v>165.55558771853549</v>
      </c>
      <c r="H22" s="422">
        <f t="shared" si="15"/>
        <v>167.15184281989519</v>
      </c>
      <c r="I22" s="422">
        <f t="shared" si="15"/>
        <v>168.76348870560548</v>
      </c>
      <c r="J22" s="131"/>
      <c r="K22" s="131"/>
      <c r="L22" s="289">
        <f>L146</f>
        <v>73.400944053186109</v>
      </c>
      <c r="M22" s="289">
        <f>M146</f>
        <v>61.788895259782898</v>
      </c>
      <c r="N22" s="289">
        <f t="shared" ref="N22:Q22" si="16">N146</f>
        <v>66.789316871135284</v>
      </c>
      <c r="O22" s="289">
        <f t="shared" si="16"/>
        <v>65.863476417755862</v>
      </c>
      <c r="P22" s="289">
        <f t="shared" si="16"/>
        <v>66.498519376280882</v>
      </c>
      <c r="Q22" s="289">
        <f t="shared" si="16"/>
        <v>67.139685296743323</v>
      </c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40" ht="14.5" customHeight="1" x14ac:dyDescent="0.35">
      <c r="B23" s="244"/>
      <c r="D23" s="283"/>
      <c r="F23" s="131"/>
      <c r="G23" s="131"/>
      <c r="H23" s="131"/>
      <c r="I23" s="131"/>
      <c r="J23" s="131"/>
      <c r="K23" s="131"/>
      <c r="L23" s="290">
        <f t="shared" ref="L23:Q23" si="17">SUM(L10:L22)</f>
        <v>979.4167822582242</v>
      </c>
      <c r="M23" s="290">
        <f t="shared" si="17"/>
        <v>944.34206677652071</v>
      </c>
      <c r="N23" s="290">
        <f t="shared" si="17"/>
        <v>1019.8751629499303</v>
      </c>
      <c r="O23" s="290">
        <f t="shared" si="17"/>
        <v>1024.0360189939822</v>
      </c>
      <c r="P23" s="290">
        <f t="shared" si="17"/>
        <v>1033.9095771252505</v>
      </c>
      <c r="Q23" s="290">
        <f t="shared" si="17"/>
        <v>1043.8783342030042</v>
      </c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40" x14ac:dyDescent="0.35"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P24" s="131"/>
      <c r="Q24" s="131"/>
      <c r="R24" s="131"/>
      <c r="S24" s="131"/>
      <c r="V24" s="131"/>
      <c r="W24" s="131"/>
      <c r="X24" s="131"/>
      <c r="Y24" s="131"/>
      <c r="Z24" s="131"/>
      <c r="AJ24" s="283"/>
      <c r="AK24" s="283"/>
      <c r="AL24" s="283"/>
      <c r="AM24" s="283"/>
      <c r="AN24" s="283"/>
    </row>
    <row r="25" spans="1:40" x14ac:dyDescent="0.35">
      <c r="B25" s="368" t="s">
        <v>935</v>
      </c>
      <c r="C25" s="369"/>
      <c r="D25" s="369"/>
      <c r="E25" s="370"/>
      <c r="F25" s="369"/>
      <c r="G25" s="371"/>
      <c r="H25" s="372"/>
      <c r="I25" s="372"/>
      <c r="J25" s="372"/>
      <c r="K25" s="372"/>
      <c r="L25" s="372"/>
      <c r="M25" s="372"/>
      <c r="N25" s="372"/>
      <c r="O25" s="372"/>
      <c r="P25" s="372"/>
      <c r="Q25" s="373"/>
      <c r="R25" s="131"/>
      <c r="S25" s="131"/>
      <c r="T25" s="131"/>
      <c r="U25" s="131"/>
      <c r="V25" s="131"/>
      <c r="W25" s="131"/>
      <c r="X25" s="131"/>
      <c r="Y25" s="131"/>
      <c r="Z25" s="131"/>
      <c r="AJ25" s="283"/>
      <c r="AK25" s="283"/>
      <c r="AL25" s="283"/>
      <c r="AM25" s="283"/>
      <c r="AN25" s="283"/>
    </row>
    <row r="26" spans="1:40" x14ac:dyDescent="0.35">
      <c r="A26" s="285"/>
      <c r="B26" s="559" t="s">
        <v>748</v>
      </c>
      <c r="C26" s="552"/>
      <c r="D26" s="553"/>
      <c r="E26" s="554"/>
      <c r="F26" s="285"/>
      <c r="G26" s="28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131"/>
      <c r="S26" s="131"/>
      <c r="T26" s="131"/>
      <c r="U26" s="131"/>
      <c r="V26" s="131"/>
      <c r="W26" s="131"/>
      <c r="X26" s="131"/>
      <c r="Y26" s="131"/>
      <c r="Z26" s="131"/>
      <c r="AJ26" s="283"/>
      <c r="AK26" s="283"/>
      <c r="AL26" s="283"/>
      <c r="AM26" s="283"/>
      <c r="AN26" s="283"/>
    </row>
    <row r="27" spans="1:40" hidden="1" x14ac:dyDescent="0.35">
      <c r="A27" s="550"/>
      <c r="B27" s="555" t="s">
        <v>975</v>
      </c>
      <c r="C27" s="391"/>
      <c r="D27" s="391"/>
      <c r="E27" s="391"/>
      <c r="F27" s="391"/>
      <c r="G27" s="391"/>
      <c r="H27" s="391"/>
      <c r="I27" s="214"/>
      <c r="J27" s="215"/>
      <c r="K27" s="215"/>
      <c r="L27" s="215"/>
      <c r="M27" s="215"/>
      <c r="N27" s="215"/>
      <c r="O27" s="215"/>
      <c r="P27" s="215"/>
      <c r="Q27" s="215"/>
      <c r="R27" s="131"/>
      <c r="S27" s="131"/>
      <c r="T27" s="131"/>
      <c r="U27" s="131"/>
      <c r="V27" s="131"/>
      <c r="W27" s="131"/>
      <c r="X27" s="131"/>
      <c r="Y27" s="131"/>
      <c r="Z27" s="131"/>
      <c r="AJ27" s="283"/>
      <c r="AK27" s="283"/>
      <c r="AL27" s="283"/>
      <c r="AM27" s="283"/>
      <c r="AN27" s="283"/>
    </row>
    <row r="28" spans="1:40" ht="43.5" hidden="1" x14ac:dyDescent="0.35">
      <c r="A28" s="550"/>
      <c r="B28" s="315" t="s">
        <v>826</v>
      </c>
      <c r="C28" s="164" t="s">
        <v>937</v>
      </c>
      <c r="D28" s="770" t="s">
        <v>926</v>
      </c>
      <c r="E28" s="253" t="s">
        <v>698</v>
      </c>
      <c r="F28" s="253" t="s">
        <v>699</v>
      </c>
      <c r="G28" s="163" t="s">
        <v>881</v>
      </c>
      <c r="H28" s="163" t="s">
        <v>882</v>
      </c>
      <c r="I28" s="253" t="s">
        <v>883</v>
      </c>
      <c r="J28" s="558"/>
      <c r="K28" s="549" t="s">
        <v>972</v>
      </c>
      <c r="L28" s="770" t="s">
        <v>926</v>
      </c>
      <c r="M28" s="534" t="s">
        <v>698</v>
      </c>
      <c r="N28" s="534" t="s">
        <v>699</v>
      </c>
      <c r="O28" s="418" t="s">
        <v>881</v>
      </c>
      <c r="P28" s="418" t="s">
        <v>882</v>
      </c>
      <c r="Q28" s="534" t="s">
        <v>883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83"/>
      <c r="AK28" s="283"/>
      <c r="AL28" s="283"/>
      <c r="AM28" s="283"/>
      <c r="AN28" s="283"/>
    </row>
    <row r="29" spans="1:40" hidden="1" x14ac:dyDescent="0.35">
      <c r="A29" s="550"/>
      <c r="B29" s="345"/>
      <c r="C29" s="147">
        <f>'Inputs and eligible population'!F79</f>
        <v>0</v>
      </c>
      <c r="D29" s="126">
        <f>'Financial impact (cash)'!D13*$C$29</f>
        <v>0</v>
      </c>
      <c r="E29" s="126">
        <f>'Financial impact (cash)'!E13*$C$29</f>
        <v>0</v>
      </c>
      <c r="F29" s="126">
        <f>'Financial impact (cash)'!F13*$C$29</f>
        <v>0</v>
      </c>
      <c r="G29" s="126">
        <f>'Financial impact (cash)'!G13*$C$29</f>
        <v>0</v>
      </c>
      <c r="H29" s="126">
        <f>'Financial impact (cash)'!H13*$C$29</f>
        <v>0</v>
      </c>
      <c r="I29" s="126">
        <f>'Financial impact (cash)'!I13*$C$29</f>
        <v>0</v>
      </c>
      <c r="J29" s="558"/>
      <c r="K29" s="564">
        <f>'Unit costs'!N29</f>
        <v>149</v>
      </c>
      <c r="L29" s="289">
        <f>(D29*$K$29)/1000</f>
        <v>0</v>
      </c>
      <c r="M29" s="289">
        <f t="shared" ref="M29:Q29" si="18">(E29*$K$29)/1000</f>
        <v>0</v>
      </c>
      <c r="N29" s="289">
        <f t="shared" si="18"/>
        <v>0</v>
      </c>
      <c r="O29" s="289">
        <f t="shared" si="18"/>
        <v>0</v>
      </c>
      <c r="P29" s="289">
        <f t="shared" si="18"/>
        <v>0</v>
      </c>
      <c r="Q29" s="289">
        <f t="shared" si="18"/>
        <v>0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83"/>
      <c r="AK29" s="283"/>
      <c r="AL29" s="283"/>
      <c r="AM29" s="283"/>
      <c r="AN29" s="283"/>
    </row>
    <row r="30" spans="1:40" hidden="1" x14ac:dyDescent="0.35">
      <c r="A30" s="550"/>
      <c r="B30" s="345"/>
      <c r="C30" s="147">
        <f>'Inputs and eligible population'!G79</f>
        <v>0</v>
      </c>
      <c r="D30" s="126">
        <f>'Financial impact (cash)'!D14*$C$30</f>
        <v>0</v>
      </c>
      <c r="E30" s="126">
        <f>'Financial impact (cash)'!E14*$C$30</f>
        <v>0</v>
      </c>
      <c r="F30" s="126">
        <f>'Financial impact (cash)'!F14*$C$30</f>
        <v>0</v>
      </c>
      <c r="G30" s="126">
        <f>'Financial impact (cash)'!G14*$C$30</f>
        <v>0</v>
      </c>
      <c r="H30" s="126">
        <f>'Financial impact (cash)'!H14*$C$30</f>
        <v>0</v>
      </c>
      <c r="I30" s="126">
        <f>'Financial impact (cash)'!I14*$C$30</f>
        <v>0</v>
      </c>
      <c r="J30" s="558"/>
      <c r="K30" s="564">
        <f>'Unit costs'!N29</f>
        <v>149</v>
      </c>
      <c r="L30" s="289">
        <f>(D30*$K$30)/1000</f>
        <v>0</v>
      </c>
      <c r="M30" s="289">
        <f t="shared" ref="M30:Q30" si="19">(E30*$K$30)/1000</f>
        <v>0</v>
      </c>
      <c r="N30" s="289">
        <f t="shared" si="19"/>
        <v>0</v>
      </c>
      <c r="O30" s="289">
        <f t="shared" si="19"/>
        <v>0</v>
      </c>
      <c r="P30" s="289">
        <f t="shared" si="19"/>
        <v>0</v>
      </c>
      <c r="Q30" s="289">
        <f t="shared" si="19"/>
        <v>0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83"/>
      <c r="AK30" s="283"/>
      <c r="AL30" s="283"/>
      <c r="AM30" s="283"/>
      <c r="AN30" s="283"/>
    </row>
    <row r="31" spans="1:40" hidden="1" x14ac:dyDescent="0.35">
      <c r="A31" s="550"/>
      <c r="B31" s="345"/>
      <c r="C31" s="147">
        <f>'Inputs and eligible population'!H79</f>
        <v>0</v>
      </c>
      <c r="D31" s="126">
        <f>'Financial impact (cash)'!D15*$C$31</f>
        <v>0</v>
      </c>
      <c r="E31" s="126">
        <f>'Financial impact (cash)'!E15*$C$31</f>
        <v>0</v>
      </c>
      <c r="F31" s="126">
        <f>'Financial impact (cash)'!F15*$C$31</f>
        <v>0</v>
      </c>
      <c r="G31" s="126">
        <f>'Financial impact (cash)'!G15*$C$31</f>
        <v>0</v>
      </c>
      <c r="H31" s="126">
        <f>'Financial impact (cash)'!H15*$C$31</f>
        <v>0</v>
      </c>
      <c r="I31" s="126">
        <f>'Financial impact (cash)'!I15*$C$31</f>
        <v>0</v>
      </c>
      <c r="J31" s="558"/>
      <c r="K31" s="564">
        <f>'Unit costs'!N29</f>
        <v>149</v>
      </c>
      <c r="L31" s="289">
        <f>(D31*$K$31)/1000</f>
        <v>0</v>
      </c>
      <c r="M31" s="289">
        <f t="shared" ref="M31:Q31" si="20">(E31*$K$31)/1000</f>
        <v>0</v>
      </c>
      <c r="N31" s="289">
        <f t="shared" si="20"/>
        <v>0</v>
      </c>
      <c r="O31" s="289">
        <f t="shared" si="20"/>
        <v>0</v>
      </c>
      <c r="P31" s="289">
        <f t="shared" si="20"/>
        <v>0</v>
      </c>
      <c r="Q31" s="289">
        <f t="shared" si="20"/>
        <v>0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83"/>
      <c r="AK31" s="283"/>
      <c r="AL31" s="283"/>
      <c r="AM31" s="283"/>
      <c r="AN31" s="283"/>
    </row>
    <row r="32" spans="1:40" hidden="1" x14ac:dyDescent="0.35">
      <c r="A32" s="550"/>
      <c r="B32" s="524"/>
      <c r="C32" s="280"/>
      <c r="D32" s="184">
        <f>SUM(D29:D31)</f>
        <v>0</v>
      </c>
      <c r="E32" s="184">
        <f t="shared" ref="E32:I32" si="21">SUM(E29:E31)</f>
        <v>0</v>
      </c>
      <c r="F32" s="184">
        <f t="shared" si="21"/>
        <v>0</v>
      </c>
      <c r="G32" s="184">
        <f t="shared" si="21"/>
        <v>0</v>
      </c>
      <c r="H32" s="184">
        <f t="shared" si="21"/>
        <v>0</v>
      </c>
      <c r="I32" s="184">
        <f t="shared" si="21"/>
        <v>0</v>
      </c>
      <c r="J32" s="558"/>
      <c r="K32" s="215"/>
      <c r="L32" s="290">
        <f>SUM(L29:L31)</f>
        <v>0</v>
      </c>
      <c r="M32" s="290">
        <f t="shared" ref="M32:Q32" si="22">SUM(M29:M31)</f>
        <v>0</v>
      </c>
      <c r="N32" s="290">
        <f t="shared" si="22"/>
        <v>0</v>
      </c>
      <c r="O32" s="290">
        <f t="shared" si="22"/>
        <v>0</v>
      </c>
      <c r="P32" s="290">
        <f t="shared" si="22"/>
        <v>0</v>
      </c>
      <c r="Q32" s="290">
        <f t="shared" si="22"/>
        <v>0</v>
      </c>
      <c r="R32" s="131"/>
      <c r="S32" s="131"/>
      <c r="T32" s="131"/>
      <c r="U32" s="131"/>
      <c r="V32" s="131"/>
      <c r="W32" s="131"/>
      <c r="X32" s="131"/>
      <c r="Y32" s="131"/>
      <c r="Z32" s="131"/>
      <c r="AJ32" s="283"/>
      <c r="AK32" s="283"/>
      <c r="AL32" s="283"/>
      <c r="AM32" s="283"/>
      <c r="AN32" s="283"/>
    </row>
    <row r="33" spans="1:40" hidden="1" x14ac:dyDescent="0.35">
      <c r="A33" s="550"/>
      <c r="B33" s="254"/>
      <c r="C33" s="254"/>
      <c r="D33" s="282" t="s">
        <v>939</v>
      </c>
      <c r="E33" s="184">
        <f>E32-$D$32</f>
        <v>0</v>
      </c>
      <c r="F33" s="184">
        <f>F32-$D$32</f>
        <v>0</v>
      </c>
      <c r="G33" s="184">
        <f>G32-$D$32</f>
        <v>0</v>
      </c>
      <c r="H33" s="184">
        <f>H32-$D$32</f>
        <v>0</v>
      </c>
      <c r="I33" s="184">
        <f>I32-$D$32</f>
        <v>0</v>
      </c>
      <c r="J33" s="558"/>
      <c r="K33" s="215"/>
      <c r="L33" s="215"/>
      <c r="M33" s="290">
        <f>M32-$L32</f>
        <v>0</v>
      </c>
      <c r="N33" s="290">
        <f t="shared" ref="N33:Q33" si="23">N32-$L32</f>
        <v>0</v>
      </c>
      <c r="O33" s="290">
        <f t="shared" si="23"/>
        <v>0</v>
      </c>
      <c r="P33" s="290">
        <f t="shared" si="23"/>
        <v>0</v>
      </c>
      <c r="Q33" s="290">
        <f t="shared" si="23"/>
        <v>0</v>
      </c>
      <c r="R33" s="131"/>
      <c r="S33" s="131"/>
      <c r="T33" s="131"/>
      <c r="U33" s="131"/>
      <c r="V33" s="131"/>
      <c r="W33" s="131"/>
      <c r="X33" s="131"/>
      <c r="Y33" s="131"/>
      <c r="Z33" s="131"/>
      <c r="AJ33" s="283"/>
      <c r="AK33" s="283"/>
      <c r="AL33" s="283"/>
      <c r="AM33" s="283"/>
      <c r="AN33" s="283"/>
    </row>
    <row r="34" spans="1:40" hidden="1" x14ac:dyDescent="0.35">
      <c r="A34" s="285"/>
      <c r="B34" s="551"/>
      <c r="C34" s="552"/>
      <c r="D34" s="553"/>
      <c r="E34" s="554"/>
      <c r="F34" s="285"/>
      <c r="G34" s="285"/>
      <c r="H34" s="285"/>
      <c r="I34" s="306"/>
      <c r="J34" s="215"/>
      <c r="K34" s="215"/>
      <c r="L34" s="215"/>
      <c r="M34" s="215"/>
      <c r="N34" s="215"/>
      <c r="O34" s="215"/>
      <c r="P34" s="215"/>
      <c r="Q34" s="215"/>
      <c r="R34" s="131"/>
      <c r="S34" s="131"/>
      <c r="T34" s="131"/>
      <c r="U34" s="131"/>
      <c r="V34" s="131"/>
      <c r="W34" s="131"/>
      <c r="X34" s="131"/>
      <c r="Y34" s="131"/>
      <c r="Z34" s="131"/>
      <c r="AJ34" s="283"/>
      <c r="AK34" s="283"/>
      <c r="AL34" s="283"/>
      <c r="AM34" s="283"/>
      <c r="AN34" s="283"/>
    </row>
    <row r="35" spans="1:40" x14ac:dyDescent="0.35">
      <c r="A35" s="285"/>
      <c r="B35" s="390" t="s">
        <v>976</v>
      </c>
      <c r="C35" s="391"/>
      <c r="D35" s="391"/>
      <c r="E35" s="391"/>
      <c r="F35" s="391"/>
      <c r="G35" s="391"/>
      <c r="H35" s="391"/>
      <c r="I35" s="214"/>
      <c r="J35" s="215"/>
      <c r="K35" s="215"/>
      <c r="L35" s="215"/>
      <c r="M35" s="215"/>
      <c r="N35" s="215"/>
      <c r="O35" s="215"/>
      <c r="P35" s="215"/>
      <c r="Q35" s="215"/>
      <c r="R35" s="131"/>
      <c r="S35" s="131"/>
      <c r="T35" s="131"/>
      <c r="U35" s="131"/>
      <c r="V35" s="131"/>
      <c r="W35" s="131"/>
      <c r="X35" s="131"/>
      <c r="Y35" s="131"/>
      <c r="Z35" s="131"/>
      <c r="AJ35" s="283"/>
      <c r="AK35" s="283"/>
      <c r="AL35" s="283"/>
      <c r="AM35" s="283"/>
      <c r="AN35" s="283"/>
    </row>
    <row r="36" spans="1:40" ht="43.5" x14ac:dyDescent="0.35">
      <c r="A36" s="285"/>
      <c r="B36" s="276" t="s">
        <v>826</v>
      </c>
      <c r="C36" s="164" t="s">
        <v>937</v>
      </c>
      <c r="D36" s="770" t="s">
        <v>926</v>
      </c>
      <c r="E36" s="253" t="s">
        <v>698</v>
      </c>
      <c r="F36" s="253" t="s">
        <v>699</v>
      </c>
      <c r="G36" s="163" t="s">
        <v>881</v>
      </c>
      <c r="H36" s="163" t="s">
        <v>882</v>
      </c>
      <c r="I36" s="253" t="s">
        <v>883</v>
      </c>
      <c r="J36" s="215"/>
      <c r="K36" s="549" t="s">
        <v>972</v>
      </c>
      <c r="L36" s="770" t="s">
        <v>926</v>
      </c>
      <c r="M36" s="534" t="s">
        <v>698</v>
      </c>
      <c r="N36" s="534" t="s">
        <v>699</v>
      </c>
      <c r="O36" s="418" t="s">
        <v>881</v>
      </c>
      <c r="P36" s="418" t="s">
        <v>882</v>
      </c>
      <c r="Q36" s="534" t="s">
        <v>883</v>
      </c>
      <c r="R36" s="131"/>
      <c r="S36" s="131"/>
      <c r="T36" s="131"/>
      <c r="U36" s="131"/>
      <c r="V36" s="131"/>
      <c r="W36" s="131"/>
      <c r="X36" s="131"/>
      <c r="Y36" s="131"/>
      <c r="Z36" s="131"/>
      <c r="AJ36" s="283"/>
      <c r="AK36" s="283"/>
      <c r="AL36" s="283"/>
      <c r="AM36" s="283"/>
      <c r="AN36" s="283"/>
    </row>
    <row r="37" spans="1:40" x14ac:dyDescent="0.35">
      <c r="A37" s="285"/>
      <c r="B37" s="345" t="s">
        <v>736</v>
      </c>
      <c r="C37" s="147">
        <f>'Inputs and eligible population'!F81</f>
        <v>12</v>
      </c>
      <c r="D37" s="126">
        <f>'Financial impact (cash)'!D13*$C$37</f>
        <v>0</v>
      </c>
      <c r="E37" s="126">
        <f>'Financial impact (cash)'!E13*$C$37</f>
        <v>716.048116224095</v>
      </c>
      <c r="F37" s="126">
        <f>'Financial impact (cash)'!F13*$C$37</f>
        <v>1626.6422571651824</v>
      </c>
      <c r="G37" s="126">
        <f>'Financial impact (cash)'!G13*$C$37</f>
        <v>1733.5663635448741</v>
      </c>
      <c r="H37" s="126">
        <f>'Financial impact (cash)'!H13*$C$37</f>
        <v>1750.2810766481171</v>
      </c>
      <c r="I37" s="126">
        <f>'Financial impact (cash)'!I13*$C$37</f>
        <v>1767.1569497969163</v>
      </c>
      <c r="J37" s="215"/>
      <c r="K37" s="564">
        <f>'Unit costs'!$N$29</f>
        <v>149</v>
      </c>
      <c r="L37" s="289">
        <f>(D37*$K$37)/1000</f>
        <v>0</v>
      </c>
      <c r="M37" s="289">
        <f t="shared" ref="M37:Q37" si="24">(E37*$K$37)/1000</f>
        <v>106.69116931739016</v>
      </c>
      <c r="N37" s="289">
        <f t="shared" si="24"/>
        <v>242.36969631761215</v>
      </c>
      <c r="O37" s="289">
        <f t="shared" si="24"/>
        <v>258.30138816818624</v>
      </c>
      <c r="P37" s="289">
        <f t="shared" si="24"/>
        <v>260.79188042056944</v>
      </c>
      <c r="Q37" s="289">
        <f t="shared" si="24"/>
        <v>263.3063855197405</v>
      </c>
      <c r="R37" s="131"/>
      <c r="S37" s="131"/>
      <c r="T37" s="131"/>
      <c r="U37" s="131"/>
      <c r="V37" s="131"/>
      <c r="W37" s="131"/>
      <c r="X37" s="131"/>
      <c r="Y37" s="131"/>
      <c r="Z37" s="131"/>
      <c r="AJ37" s="283"/>
      <c r="AK37" s="283"/>
      <c r="AL37" s="283"/>
      <c r="AM37" s="283"/>
      <c r="AN37" s="283"/>
    </row>
    <row r="38" spans="1:40" x14ac:dyDescent="0.35">
      <c r="A38" s="285"/>
      <c r="B38" s="345" t="s">
        <v>737</v>
      </c>
      <c r="C38" s="147">
        <f>'Inputs and eligible population'!G81</f>
        <v>12</v>
      </c>
      <c r="D38" s="126">
        <f>'Financial impact (cash)'!D14*$C$38</f>
        <v>2659.5376855333802</v>
      </c>
      <c r="E38" s="126">
        <f>'Financial impact (cash)'!E14*$C$38</f>
        <v>1969.1323196162612</v>
      </c>
      <c r="F38" s="126">
        <f>'Financial impact (cash)'!F14*$C$38</f>
        <v>1807.3802857390915</v>
      </c>
      <c r="G38" s="126">
        <f>'Financial impact (cash)'!G14*$C$38</f>
        <v>1733.5663635448741</v>
      </c>
      <c r="H38" s="126">
        <f>'Financial impact (cash)'!H14*$C$38</f>
        <v>1750.2810766481171</v>
      </c>
      <c r="I38" s="126">
        <f>'Financial impact (cash)'!I14*$C$38</f>
        <v>1767.1569497969163</v>
      </c>
      <c r="J38" s="215"/>
      <c r="K38" s="564">
        <f>'Unit costs'!$N$29</f>
        <v>149</v>
      </c>
      <c r="L38" s="289">
        <f>(D38*$K$38)/1000</f>
        <v>396.2711151444737</v>
      </c>
      <c r="M38" s="289">
        <f t="shared" ref="M38:Q38" si="25">(E38*$K$38)/1000</f>
        <v>293.40071562282293</v>
      </c>
      <c r="N38" s="289">
        <f t="shared" si="25"/>
        <v>269.29966257512467</v>
      </c>
      <c r="O38" s="289">
        <f t="shared" si="25"/>
        <v>258.30138816818624</v>
      </c>
      <c r="P38" s="289">
        <f t="shared" si="25"/>
        <v>260.79188042056944</v>
      </c>
      <c r="Q38" s="289">
        <f t="shared" si="25"/>
        <v>263.3063855197405</v>
      </c>
      <c r="R38" s="131"/>
      <c r="S38" s="131"/>
      <c r="T38" s="131"/>
      <c r="U38" s="131"/>
      <c r="V38" s="131"/>
      <c r="W38" s="131"/>
      <c r="X38" s="131"/>
      <c r="Y38" s="131"/>
      <c r="Z38" s="131"/>
      <c r="AJ38" s="283"/>
      <c r="AK38" s="283"/>
      <c r="AL38" s="283"/>
      <c r="AM38" s="283"/>
      <c r="AN38" s="283"/>
    </row>
    <row r="39" spans="1:40" x14ac:dyDescent="0.35">
      <c r="A39" s="285"/>
      <c r="B39" s="345" t="s">
        <v>738</v>
      </c>
      <c r="C39" s="147">
        <f>'Inputs and eligible population'!H81</f>
        <v>12</v>
      </c>
      <c r="D39" s="126">
        <f>'Financial impact (cash)'!D15*$C$39</f>
        <v>886.51256184446004</v>
      </c>
      <c r="E39" s="126">
        <f>'Financial impact (cash)'!E15*$C$39</f>
        <v>895.0601452801186</v>
      </c>
      <c r="F39" s="126">
        <f>'Financial impact (cash)'!F15*$C$39</f>
        <v>180.73802857390916</v>
      </c>
      <c r="G39" s="126">
        <f>'Financial impact (cash)'!G15*$C$39</f>
        <v>182.4806698468289</v>
      </c>
      <c r="H39" s="126">
        <f>'Financial impact (cash)'!H15*$C$39</f>
        <v>184.24011333138077</v>
      </c>
      <c r="I39" s="126">
        <f>'Financial impact (cash)'!I15*$C$39</f>
        <v>186.01652103125434</v>
      </c>
      <c r="J39" s="215"/>
      <c r="K39" s="564">
        <f>'Unit costs'!$N$29</f>
        <v>149</v>
      </c>
      <c r="L39" s="289">
        <f>(D39*$K$39)/1000</f>
        <v>132.09037171482456</v>
      </c>
      <c r="M39" s="289">
        <f t="shared" ref="M39:Q39" si="26">(E39*$K$39)/1000</f>
        <v>133.36396164673766</v>
      </c>
      <c r="N39" s="289">
        <f t="shared" si="26"/>
        <v>26.929966257512465</v>
      </c>
      <c r="O39" s="289">
        <f t="shared" si="26"/>
        <v>27.189619807177507</v>
      </c>
      <c r="P39" s="289">
        <f t="shared" si="26"/>
        <v>27.451776886375733</v>
      </c>
      <c r="Q39" s="289">
        <f t="shared" si="26"/>
        <v>27.716461633656898</v>
      </c>
      <c r="R39" s="131"/>
      <c r="S39" s="131"/>
      <c r="T39" s="131"/>
      <c r="U39" s="131"/>
      <c r="V39" s="131"/>
      <c r="W39" s="131"/>
      <c r="X39" s="131"/>
      <c r="Y39" s="131"/>
      <c r="Z39" s="131"/>
      <c r="AJ39" s="283"/>
      <c r="AK39" s="283"/>
      <c r="AL39" s="283"/>
      <c r="AM39" s="283"/>
      <c r="AN39" s="283"/>
    </row>
    <row r="40" spans="1:40" x14ac:dyDescent="0.35">
      <c r="A40" s="285"/>
      <c r="B40" s="277"/>
      <c r="C40" s="280"/>
      <c r="D40" s="184">
        <f>SUM(D37:D39)</f>
        <v>3546.0502473778402</v>
      </c>
      <c r="E40" s="184">
        <f t="shared" ref="E40:I40" si="27">SUM(E37:E39)</f>
        <v>3580.2405811204744</v>
      </c>
      <c r="F40" s="184">
        <f t="shared" si="27"/>
        <v>3614.760571478183</v>
      </c>
      <c r="G40" s="184">
        <f t="shared" si="27"/>
        <v>3649.6133969365769</v>
      </c>
      <c r="H40" s="184">
        <f t="shared" si="27"/>
        <v>3684.8022666276147</v>
      </c>
      <c r="I40" s="184">
        <f t="shared" si="27"/>
        <v>3720.3304206250868</v>
      </c>
      <c r="J40" s="215"/>
      <c r="K40" s="215"/>
      <c r="L40" s="290">
        <f>SUM(L37:L39)</f>
        <v>528.36148685929822</v>
      </c>
      <c r="M40" s="290">
        <f t="shared" ref="M40" si="28">SUM(M37:M39)</f>
        <v>533.45584658695077</v>
      </c>
      <c r="N40" s="290">
        <f t="shared" ref="N40" si="29">SUM(N37:N39)</f>
        <v>538.59932515024923</v>
      </c>
      <c r="O40" s="290">
        <f t="shared" ref="O40" si="30">SUM(O37:O39)</f>
        <v>543.79239614354992</v>
      </c>
      <c r="P40" s="290">
        <f t="shared" ref="P40" si="31">SUM(P37:P39)</f>
        <v>549.03553772751457</v>
      </c>
      <c r="Q40" s="290">
        <f t="shared" ref="Q40" si="32">SUM(Q37:Q39)</f>
        <v>554.32923267313788</v>
      </c>
      <c r="R40" s="131"/>
      <c r="S40" s="131"/>
      <c r="T40" s="131"/>
      <c r="U40" s="131"/>
      <c r="V40" s="131"/>
      <c r="W40" s="131"/>
      <c r="X40" s="131"/>
      <c r="Y40" s="131"/>
      <c r="Z40" s="131"/>
      <c r="AJ40" s="283"/>
      <c r="AK40" s="283"/>
      <c r="AL40" s="283"/>
      <c r="AM40" s="283"/>
      <c r="AN40" s="283"/>
    </row>
    <row r="41" spans="1:40" x14ac:dyDescent="0.35">
      <c r="A41" s="285"/>
      <c r="B41" s="305"/>
      <c r="C41" s="254"/>
      <c r="D41" s="282" t="s">
        <v>939</v>
      </c>
      <c r="E41" s="184">
        <f>E40-$D$40</f>
        <v>34.190333742634266</v>
      </c>
      <c r="F41" s="184">
        <f t="shared" ref="F41:I41" si="33">F40-$D$40</f>
        <v>68.710324100342859</v>
      </c>
      <c r="G41" s="184">
        <f t="shared" si="33"/>
        <v>103.56314955873677</v>
      </c>
      <c r="H41" s="184">
        <f t="shared" si="33"/>
        <v>138.75201924977455</v>
      </c>
      <c r="I41" s="184">
        <f t="shared" si="33"/>
        <v>174.28017324724669</v>
      </c>
      <c r="J41" s="215"/>
      <c r="K41" s="215"/>
      <c r="L41" s="215"/>
      <c r="M41" s="290">
        <f>M40-$L40</f>
        <v>5.0943597276525452</v>
      </c>
      <c r="N41" s="290">
        <f t="shared" ref="N41:Q41" si="34">N40-$L40</f>
        <v>10.237838290951004</v>
      </c>
      <c r="O41" s="290">
        <f t="shared" si="34"/>
        <v>15.430909284251697</v>
      </c>
      <c r="P41" s="290">
        <f t="shared" si="34"/>
        <v>20.674050868216341</v>
      </c>
      <c r="Q41" s="290">
        <f t="shared" si="34"/>
        <v>25.967745813839656</v>
      </c>
      <c r="R41" s="131"/>
      <c r="S41" s="131"/>
      <c r="T41" s="131"/>
      <c r="U41" s="131"/>
      <c r="V41" s="131"/>
      <c r="W41" s="131"/>
      <c r="X41" s="131"/>
      <c r="Y41" s="131"/>
      <c r="Z41" s="131"/>
      <c r="AJ41" s="283"/>
      <c r="AK41" s="283"/>
      <c r="AL41" s="283"/>
      <c r="AM41" s="283"/>
      <c r="AN41" s="283"/>
    </row>
    <row r="42" spans="1:40" x14ac:dyDescent="0.35">
      <c r="A42" s="285"/>
      <c r="B42" s="285"/>
      <c r="C42" s="285"/>
      <c r="D42" s="556"/>
      <c r="E42" s="557"/>
      <c r="F42" s="557"/>
      <c r="G42" s="557"/>
      <c r="H42" s="557"/>
      <c r="I42" s="557"/>
      <c r="J42" s="215"/>
      <c r="K42" s="215"/>
      <c r="L42" s="215"/>
      <c r="M42" s="215"/>
      <c r="N42" s="215"/>
      <c r="O42" s="215"/>
      <c r="P42" s="215"/>
      <c r="Q42" s="215"/>
      <c r="R42" s="131"/>
      <c r="S42" s="131"/>
      <c r="T42" s="131"/>
      <c r="U42" s="131"/>
      <c r="V42" s="131"/>
      <c r="W42" s="131"/>
      <c r="X42" s="131"/>
      <c r="Y42" s="131"/>
      <c r="Z42" s="131"/>
      <c r="AJ42" s="283"/>
      <c r="AK42" s="283"/>
      <c r="AL42" s="283"/>
      <c r="AM42" s="283"/>
      <c r="AN42" s="283"/>
    </row>
    <row r="43" spans="1:40" x14ac:dyDescent="0.35">
      <c r="A43" s="292"/>
      <c r="B43" s="317" t="s">
        <v>941</v>
      </c>
      <c r="C43" s="293"/>
      <c r="D43" s="293"/>
      <c r="E43" s="294"/>
      <c r="F43" s="295"/>
      <c r="G43" s="296"/>
      <c r="H43" s="296"/>
      <c r="I43" s="428"/>
      <c r="J43" s="429"/>
      <c r="K43" s="292"/>
      <c r="L43" s="292"/>
      <c r="M43" s="292"/>
      <c r="N43" s="292"/>
      <c r="O43" s="292"/>
      <c r="P43" s="292"/>
      <c r="Q43" s="211"/>
      <c r="R43" s="131"/>
      <c r="S43" s="131"/>
      <c r="V43" s="131"/>
    </row>
    <row r="44" spans="1:40" x14ac:dyDescent="0.35">
      <c r="A44" s="300"/>
      <c r="B44" s="383" t="s">
        <v>942</v>
      </c>
      <c r="C44" s="384"/>
      <c r="D44" s="384"/>
      <c r="E44" s="384"/>
      <c r="F44" s="384"/>
      <c r="G44" s="384"/>
      <c r="H44" s="384"/>
      <c r="I44" s="384"/>
      <c r="J44" s="423"/>
      <c r="K44" s="211"/>
      <c r="L44" s="211"/>
      <c r="M44" s="211"/>
      <c r="N44" s="211"/>
      <c r="O44" s="211"/>
      <c r="P44" s="211"/>
      <c r="Q44" s="211"/>
      <c r="R44" s="131"/>
      <c r="S44" s="131"/>
      <c r="T44" s="131"/>
      <c r="U44" s="131"/>
      <c r="V44" s="131"/>
      <c r="W44" s="131"/>
      <c r="X44" s="131"/>
      <c r="Y44" s="131"/>
      <c r="Z44" s="131"/>
      <c r="AJ44" s="283"/>
      <c r="AK44" s="283"/>
      <c r="AL44" s="283"/>
      <c r="AM44" s="283"/>
      <c r="AN44" s="283"/>
    </row>
    <row r="45" spans="1:40" ht="43.5" x14ac:dyDescent="0.35">
      <c r="A45" s="292"/>
      <c r="B45" s="276" t="s">
        <v>826</v>
      </c>
      <c r="C45" s="164"/>
      <c r="D45" s="770" t="s">
        <v>926</v>
      </c>
      <c r="E45" s="253" t="s">
        <v>698</v>
      </c>
      <c r="F45" s="253" t="s">
        <v>699</v>
      </c>
      <c r="G45" s="163" t="s">
        <v>881</v>
      </c>
      <c r="H45" s="163" t="s">
        <v>882</v>
      </c>
      <c r="I45" s="253" t="s">
        <v>883</v>
      </c>
      <c r="J45" s="423"/>
      <c r="K45" s="549" t="s">
        <v>972</v>
      </c>
      <c r="L45" s="770" t="s">
        <v>926</v>
      </c>
      <c r="M45" s="534" t="s">
        <v>698</v>
      </c>
      <c r="N45" s="534" t="s">
        <v>699</v>
      </c>
      <c r="O45" s="418" t="s">
        <v>881</v>
      </c>
      <c r="P45" s="418" t="s">
        <v>882</v>
      </c>
      <c r="Q45" s="534" t="s">
        <v>883</v>
      </c>
      <c r="R45" s="131"/>
      <c r="S45" s="131"/>
      <c r="T45" s="131"/>
      <c r="U45" s="131"/>
      <c r="V45" s="131"/>
      <c r="W45" s="131"/>
      <c r="X45" s="131"/>
      <c r="Y45" s="131"/>
      <c r="Z45" s="131"/>
      <c r="AJ45" s="283"/>
      <c r="AK45" s="283"/>
      <c r="AL45" s="283"/>
      <c r="AM45" s="283"/>
      <c r="AN45" s="283"/>
    </row>
    <row r="46" spans="1:40" x14ac:dyDescent="0.35">
      <c r="A46" s="292"/>
      <c r="B46" s="343" t="s">
        <v>834</v>
      </c>
      <c r="C46" s="289"/>
      <c r="D46" s="126">
        <f>D53+D55</f>
        <v>1329.7688427666901</v>
      </c>
      <c r="E46" s="126">
        <f t="shared" ref="E46:I47" si="35">E53+E55</f>
        <v>1229.215932851363</v>
      </c>
      <c r="F46" s="126">
        <f t="shared" si="35"/>
        <v>1459.4595807343162</v>
      </c>
      <c r="G46" s="126">
        <f t="shared" si="35"/>
        <v>1459.0850226502689</v>
      </c>
      <c r="H46" s="126">
        <f t="shared" si="35"/>
        <v>1473.1532395121653</v>
      </c>
      <c r="I46" s="126">
        <f t="shared" si="35"/>
        <v>1487.3570994124043</v>
      </c>
      <c r="J46" s="423"/>
      <c r="K46" s="564">
        <f>'Unit costs'!N21</f>
        <v>142</v>
      </c>
      <c r="L46" s="289">
        <f>(D46*$K$46)/1000</f>
        <v>188.82717567286997</v>
      </c>
      <c r="M46" s="289">
        <f t="shared" ref="M46:Q46" si="36">(E46*$K$46)/1000</f>
        <v>174.54866246489354</v>
      </c>
      <c r="N46" s="289">
        <f t="shared" si="36"/>
        <v>207.24326046427291</v>
      </c>
      <c r="O46" s="289">
        <f t="shared" si="36"/>
        <v>207.19007321633816</v>
      </c>
      <c r="P46" s="289">
        <f t="shared" si="36"/>
        <v>209.18776001072749</v>
      </c>
      <c r="Q46" s="289">
        <f t="shared" si="36"/>
        <v>211.20470811656142</v>
      </c>
      <c r="R46" s="131"/>
      <c r="S46" s="131"/>
      <c r="T46" s="131"/>
      <c r="U46" s="131"/>
      <c r="V46" s="131"/>
      <c r="W46" s="131"/>
      <c r="X46" s="131"/>
      <c r="Y46" s="131"/>
      <c r="Z46" s="131"/>
      <c r="AJ46" s="283"/>
      <c r="AK46" s="283"/>
      <c r="AL46" s="283"/>
      <c r="AM46" s="283"/>
      <c r="AN46" s="283"/>
    </row>
    <row r="47" spans="1:40" x14ac:dyDescent="0.35">
      <c r="A47" s="292"/>
      <c r="B47" s="343" t="s">
        <v>943</v>
      </c>
      <c r="C47" s="289"/>
      <c r="D47" s="126">
        <f>D54+D56</f>
        <v>1329.7688427666901</v>
      </c>
      <c r="E47" s="126">
        <f t="shared" si="35"/>
        <v>1229.215932851363</v>
      </c>
      <c r="F47" s="126">
        <f t="shared" si="35"/>
        <v>1459.4595807343162</v>
      </c>
      <c r="G47" s="126">
        <f t="shared" si="35"/>
        <v>1459.0850226502689</v>
      </c>
      <c r="H47" s="126">
        <f t="shared" si="35"/>
        <v>1473.1532395121653</v>
      </c>
      <c r="I47" s="126">
        <f t="shared" si="35"/>
        <v>1487.3570994124043</v>
      </c>
      <c r="J47" s="423"/>
      <c r="K47" s="564">
        <f>'Unit costs'!N22</f>
        <v>50</v>
      </c>
      <c r="L47" s="289">
        <f>(D47*$K$46)/1000</f>
        <v>188.82717567286997</v>
      </c>
      <c r="M47" s="289">
        <f t="shared" ref="M47" si="37">(E47*$K$46)/1000</f>
        <v>174.54866246489354</v>
      </c>
      <c r="N47" s="289">
        <f t="shared" ref="N47" si="38">(F47*$K$46)/1000</f>
        <v>207.24326046427291</v>
      </c>
      <c r="O47" s="289">
        <f t="shared" ref="O47" si="39">(G47*$K$46)/1000</f>
        <v>207.19007321633816</v>
      </c>
      <c r="P47" s="289">
        <f t="shared" ref="P47" si="40">(H47*$K$46)/1000</f>
        <v>209.18776001072749</v>
      </c>
      <c r="Q47" s="289">
        <f t="shared" ref="Q47" si="41">(I47*$K$46)/1000</f>
        <v>211.20470811656142</v>
      </c>
      <c r="R47" s="131"/>
      <c r="S47" s="131"/>
      <c r="T47" s="131"/>
      <c r="U47" s="131"/>
      <c r="V47" s="131"/>
      <c r="W47" s="131"/>
      <c r="X47" s="131"/>
      <c r="Y47" s="131"/>
      <c r="Z47" s="131"/>
      <c r="AJ47" s="283"/>
      <c r="AK47" s="283"/>
      <c r="AL47" s="283"/>
      <c r="AM47" s="283"/>
      <c r="AN47" s="283"/>
    </row>
    <row r="48" spans="1:40" x14ac:dyDescent="0.35">
      <c r="A48" s="292"/>
      <c r="B48" s="280"/>
      <c r="C48" s="319"/>
      <c r="D48" s="184">
        <f>SUM(D46:D47)</f>
        <v>2659.5376855333802</v>
      </c>
      <c r="E48" s="184">
        <f t="shared" ref="E48:I48" si="42">SUM(E46:E47)</f>
        <v>2458.4318657027261</v>
      </c>
      <c r="F48" s="184">
        <f t="shared" si="42"/>
        <v>2918.9191614686324</v>
      </c>
      <c r="G48" s="184">
        <f t="shared" si="42"/>
        <v>2918.1700453005378</v>
      </c>
      <c r="H48" s="184">
        <f t="shared" si="42"/>
        <v>2946.3064790243307</v>
      </c>
      <c r="I48" s="184">
        <f t="shared" si="42"/>
        <v>2974.7141988248086</v>
      </c>
      <c r="J48" s="423"/>
      <c r="K48" s="211"/>
      <c r="L48" s="290">
        <f>SUM(L46:L47)</f>
        <v>377.65435134573994</v>
      </c>
      <c r="M48" s="290">
        <f t="shared" ref="M48:Q48" si="43">SUM(M46:M47)</f>
        <v>349.09732492978708</v>
      </c>
      <c r="N48" s="290">
        <f t="shared" si="43"/>
        <v>414.48652092854581</v>
      </c>
      <c r="O48" s="290">
        <f t="shared" si="43"/>
        <v>414.38014643267633</v>
      </c>
      <c r="P48" s="290">
        <f t="shared" si="43"/>
        <v>418.37552002145497</v>
      </c>
      <c r="Q48" s="290">
        <f t="shared" si="43"/>
        <v>422.40941623312284</v>
      </c>
      <c r="R48" s="131"/>
      <c r="S48" s="131"/>
      <c r="T48" s="131"/>
      <c r="U48" s="131"/>
      <c r="V48" s="131"/>
      <c r="W48" s="131"/>
      <c r="X48" s="131"/>
      <c r="Y48" s="131"/>
      <c r="Z48" s="131"/>
      <c r="AJ48" s="283"/>
      <c r="AK48" s="283"/>
      <c r="AL48" s="283"/>
      <c r="AM48" s="283"/>
      <c r="AN48" s="283"/>
    </row>
    <row r="49" spans="1:40" x14ac:dyDescent="0.35">
      <c r="A49" s="292"/>
      <c r="B49" s="305"/>
      <c r="C49" s="254"/>
      <c r="D49" s="282" t="s">
        <v>944</v>
      </c>
      <c r="E49" s="184">
        <f>E48-D48</f>
        <v>-201.10581983065413</v>
      </c>
      <c r="F49" s="184">
        <f>F48-$D$48</f>
        <v>259.38147593525218</v>
      </c>
      <c r="G49" s="184">
        <f t="shared" ref="G49:I49" si="44">G48-$D$48</f>
        <v>258.6323597671576</v>
      </c>
      <c r="H49" s="184">
        <f t="shared" si="44"/>
        <v>286.76879349095043</v>
      </c>
      <c r="I49" s="184">
        <f t="shared" si="44"/>
        <v>315.17651329142836</v>
      </c>
      <c r="J49" s="423"/>
      <c r="K49" s="211"/>
      <c r="L49" s="540"/>
      <c r="M49" s="290">
        <f>M48-$L48</f>
        <v>-28.557026415952862</v>
      </c>
      <c r="N49" s="290">
        <f t="shared" ref="N49:Q49" si="45">N48-$L48</f>
        <v>36.832169582805875</v>
      </c>
      <c r="O49" s="290">
        <f t="shared" si="45"/>
        <v>36.725795086936387</v>
      </c>
      <c r="P49" s="290">
        <f t="shared" si="45"/>
        <v>40.721168675715035</v>
      </c>
      <c r="Q49" s="290">
        <f t="shared" si="45"/>
        <v>44.7550648873829</v>
      </c>
      <c r="R49" s="131"/>
      <c r="S49" s="131"/>
      <c r="T49" s="131"/>
      <c r="U49" s="131"/>
      <c r="V49" s="131"/>
      <c r="W49" s="131"/>
      <c r="X49" s="131"/>
      <c r="Y49" s="131"/>
      <c r="Z49" s="131"/>
      <c r="AJ49" s="283"/>
      <c r="AK49" s="283"/>
      <c r="AL49" s="283"/>
      <c r="AM49" s="283"/>
      <c r="AN49" s="283"/>
    </row>
    <row r="50" spans="1:40" x14ac:dyDescent="0.35">
      <c r="A50" s="292"/>
      <c r="B50" s="318"/>
      <c r="C50" s="298"/>
      <c r="D50" s="297"/>
      <c r="E50" s="298"/>
      <c r="F50" s="299"/>
      <c r="G50" s="292"/>
      <c r="H50" s="292"/>
      <c r="I50" s="296"/>
      <c r="J50" s="211"/>
      <c r="K50" s="211"/>
      <c r="L50" s="211"/>
      <c r="M50" s="211"/>
      <c r="N50" s="211"/>
      <c r="O50" s="211"/>
      <c r="P50" s="211"/>
      <c r="Q50" s="211"/>
      <c r="R50" s="131"/>
      <c r="S50" s="131"/>
      <c r="T50" s="131"/>
      <c r="U50" s="131"/>
      <c r="V50" s="131"/>
      <c r="W50" s="131"/>
      <c r="X50" s="131"/>
      <c r="Y50" s="131"/>
      <c r="Z50" s="131"/>
      <c r="AJ50" s="283"/>
      <c r="AK50" s="283"/>
      <c r="AL50" s="283"/>
      <c r="AM50" s="283"/>
      <c r="AN50" s="283"/>
    </row>
    <row r="51" spans="1:40" x14ac:dyDescent="0.35">
      <c r="A51" s="300"/>
      <c r="B51" s="383" t="s">
        <v>945</v>
      </c>
      <c r="C51" s="384"/>
      <c r="D51" s="384"/>
      <c r="E51" s="384"/>
      <c r="F51" s="384"/>
      <c r="G51" s="384"/>
      <c r="H51" s="384"/>
      <c r="I51" s="384"/>
      <c r="J51" s="423"/>
      <c r="K51" s="211"/>
      <c r="L51" s="211"/>
      <c r="M51" s="211"/>
      <c r="N51" s="211"/>
      <c r="O51" s="211"/>
      <c r="P51" s="211"/>
      <c r="Q51" s="211"/>
      <c r="S51" s="131"/>
      <c r="T51" s="131"/>
      <c r="U51" s="131"/>
      <c r="V51" s="131"/>
      <c r="W51" s="131"/>
      <c r="X51" s="131"/>
      <c r="Y51" s="131"/>
      <c r="Z51" s="131"/>
      <c r="AJ51" s="283"/>
      <c r="AK51" s="283"/>
      <c r="AL51" s="283"/>
      <c r="AM51" s="283"/>
      <c r="AN51" s="283"/>
    </row>
    <row r="52" spans="1:40" ht="43.5" x14ac:dyDescent="0.35">
      <c r="A52" s="300"/>
      <c r="B52" s="315" t="s">
        <v>826</v>
      </c>
      <c r="C52" s="164" t="s">
        <v>807</v>
      </c>
      <c r="D52" s="770" t="s">
        <v>926</v>
      </c>
      <c r="E52" s="253" t="s">
        <v>698</v>
      </c>
      <c r="F52" s="253" t="s">
        <v>699</v>
      </c>
      <c r="G52" s="163" t="s">
        <v>881</v>
      </c>
      <c r="H52" s="163" t="s">
        <v>882</v>
      </c>
      <c r="I52" s="253" t="s">
        <v>883</v>
      </c>
      <c r="J52" s="423"/>
      <c r="K52" s="211"/>
      <c r="L52" s="211"/>
      <c r="M52" s="211"/>
      <c r="N52" s="211"/>
      <c r="O52" s="211"/>
      <c r="P52" s="211"/>
      <c r="Q52" s="211"/>
      <c r="V52" s="131"/>
      <c r="AJ52" s="283"/>
      <c r="AK52" s="283"/>
      <c r="AL52" s="283"/>
      <c r="AM52" s="283"/>
      <c r="AN52" s="283"/>
    </row>
    <row r="53" spans="1:40" x14ac:dyDescent="0.35">
      <c r="A53" s="300"/>
      <c r="B53" s="345" t="s">
        <v>946</v>
      </c>
      <c r="C53" s="126">
        <f>'Inputs and eligible population'!F51</f>
        <v>8.1999999999999993</v>
      </c>
      <c r="D53" s="126">
        <f>('Inputs and eligible population'!L66*'Unit costs'!$Q$9)*'Capacity (national prices)'!$C53</f>
        <v>0</v>
      </c>
      <c r="E53" s="126">
        <f>('Inputs and eligible population'!M66*'Unit costs'!$Q$9)*'Capacity (national prices)'!$C53</f>
        <v>244.64977304323244</v>
      </c>
      <c r="F53" s="126">
        <f>('Inputs and eligible population'!N66*'Unit costs'!$Q$9)*'Capacity (national prices)'!$C53</f>
        <v>555.76943786477057</v>
      </c>
      <c r="G53" s="126">
        <f>('Inputs and eligible population'!O66*'Unit costs'!$Q$9)*'Capacity (national prices)'!$C53</f>
        <v>592.30184087783198</v>
      </c>
      <c r="H53" s="126">
        <f>('Inputs and eligible population'!P66*'Unit costs'!$Q$9)*'Capacity (national prices)'!$C53</f>
        <v>598.01270118810669</v>
      </c>
      <c r="I53" s="126">
        <f>('Inputs and eligible population'!Q66*'Unit costs'!$Q$9)*'Capacity (national prices)'!$C53</f>
        <v>603.77862451394628</v>
      </c>
      <c r="J53" s="423"/>
      <c r="K53" s="211"/>
      <c r="L53" s="211"/>
      <c r="M53" s="211"/>
      <c r="N53" s="211"/>
      <c r="O53" s="211"/>
      <c r="P53" s="211"/>
      <c r="Q53" s="211"/>
      <c r="V53" s="131"/>
      <c r="AJ53" s="283"/>
      <c r="AK53" s="283"/>
      <c r="AL53" s="283"/>
      <c r="AM53" s="283"/>
      <c r="AN53" s="283"/>
    </row>
    <row r="54" spans="1:40" x14ac:dyDescent="0.35">
      <c r="A54" s="300"/>
      <c r="B54" s="345" t="s">
        <v>947</v>
      </c>
      <c r="C54" s="126">
        <f>'Inputs and eligible population'!F51</f>
        <v>8.1999999999999993</v>
      </c>
      <c r="D54" s="126">
        <f>('Inputs and eligible population'!L66*'Unit costs'!$Q$10)*'Capacity (national prices)'!$C54</f>
        <v>0</v>
      </c>
      <c r="E54" s="126">
        <f>('Inputs and eligible population'!M66*'Unit costs'!$Q$10)*'Capacity (national prices)'!$C54</f>
        <v>244.64977304323244</v>
      </c>
      <c r="F54" s="126">
        <f>('Inputs and eligible population'!N66*'Unit costs'!$Q$10)*'Capacity (national prices)'!$C54</f>
        <v>555.76943786477057</v>
      </c>
      <c r="G54" s="126">
        <f>('Inputs and eligible population'!O66*'Unit costs'!$Q$10)*'Capacity (national prices)'!$C54</f>
        <v>592.30184087783198</v>
      </c>
      <c r="H54" s="126">
        <f>('Inputs and eligible population'!P66*'Unit costs'!$Q$10)*'Capacity (national prices)'!$C54</f>
        <v>598.01270118810669</v>
      </c>
      <c r="I54" s="126">
        <f>('Inputs and eligible population'!Q66*'Unit costs'!$Q$10)*'Capacity (national prices)'!$C54</f>
        <v>603.77862451394628</v>
      </c>
      <c r="J54" s="423"/>
      <c r="K54" s="211"/>
      <c r="L54" s="211"/>
      <c r="M54" s="211"/>
      <c r="N54" s="211"/>
      <c r="O54" s="211"/>
      <c r="P54" s="211"/>
      <c r="Q54" s="211"/>
      <c r="V54" s="131"/>
      <c r="AJ54" s="283"/>
      <c r="AK54" s="283"/>
      <c r="AL54" s="283"/>
      <c r="AM54" s="283"/>
      <c r="AN54" s="283"/>
    </row>
    <row r="55" spans="1:40" x14ac:dyDescent="0.35">
      <c r="A55" s="300"/>
      <c r="B55" s="345" t="s">
        <v>948</v>
      </c>
      <c r="C55" s="126">
        <f>'Inputs and eligible population'!F52</f>
        <v>12</v>
      </c>
      <c r="D55" s="126">
        <f>('Inputs and eligible population'!L67*'Unit costs'!$Q$14)*'Capacity (national prices)'!$C55</f>
        <v>1329.7688427666901</v>
      </c>
      <c r="E55" s="126">
        <f>('Inputs and eligible population'!M67*'Unit costs'!$Q$14)*'Capacity (national prices)'!$C55</f>
        <v>984.56615980813058</v>
      </c>
      <c r="F55" s="126">
        <f>('Inputs and eligible population'!N67*'Unit costs'!$Q$14)*'Capacity (national prices)'!$C55</f>
        <v>903.69014286954575</v>
      </c>
      <c r="G55" s="126">
        <f>('Inputs and eligible population'!O67*'Unit costs'!$Q$14)*'Capacity (national prices)'!$C55</f>
        <v>866.78318177243705</v>
      </c>
      <c r="H55" s="126">
        <f>('Inputs and eligible population'!P67*'Unit costs'!$Q$14)*'Capacity (national prices)'!$C55</f>
        <v>875.14053832405853</v>
      </c>
      <c r="I55" s="126">
        <f>('Inputs and eligible population'!Q67*'Unit costs'!$Q$14)*'Capacity (national prices)'!$C55</f>
        <v>883.57847489845813</v>
      </c>
      <c r="J55" s="292"/>
      <c r="K55" s="292"/>
      <c r="L55" s="292"/>
      <c r="M55" s="292"/>
      <c r="N55" s="292"/>
      <c r="O55" s="292"/>
      <c r="P55" s="292"/>
      <c r="Q55" s="292"/>
      <c r="V55" s="131"/>
      <c r="AJ55" s="283"/>
      <c r="AK55" s="283"/>
      <c r="AL55" s="283"/>
      <c r="AM55" s="283"/>
      <c r="AN55" s="283"/>
    </row>
    <row r="56" spans="1:40" x14ac:dyDescent="0.35">
      <c r="A56" s="300"/>
      <c r="B56" s="753" t="s">
        <v>949</v>
      </c>
      <c r="C56" s="126">
        <f>'Inputs and eligible population'!F52</f>
        <v>12</v>
      </c>
      <c r="D56" s="126">
        <f>('Inputs and eligible population'!L67*'Unit costs'!$Q$15)*'Capacity (national prices)'!$C56</f>
        <v>1329.7688427666901</v>
      </c>
      <c r="E56" s="126">
        <f>('Inputs and eligible population'!M67*'Unit costs'!$Q$15)*'Capacity (national prices)'!$C56</f>
        <v>984.56615980813058</v>
      </c>
      <c r="F56" s="126">
        <f>('Inputs and eligible population'!N67*'Unit costs'!$Q$15)*'Capacity (national prices)'!$C56</f>
        <v>903.69014286954575</v>
      </c>
      <c r="G56" s="126">
        <f>('Inputs and eligible population'!O67*'Unit costs'!$Q$15)*'Capacity (national prices)'!$C56</f>
        <v>866.78318177243705</v>
      </c>
      <c r="H56" s="126">
        <f>('Inputs and eligible population'!P67*'Unit costs'!$Q$15)*'Capacity (national prices)'!$C56</f>
        <v>875.14053832405853</v>
      </c>
      <c r="I56" s="126">
        <f>('Inputs and eligible population'!Q67*'Unit costs'!$Q$15)*'Capacity (national prices)'!$C56</f>
        <v>883.57847489845813</v>
      </c>
      <c r="J56" s="292"/>
      <c r="K56" s="292"/>
      <c r="L56" s="292"/>
      <c r="M56" s="292"/>
      <c r="N56" s="292"/>
      <c r="O56" s="292"/>
      <c r="P56" s="292"/>
      <c r="Q56" s="292"/>
      <c r="V56" s="131"/>
      <c r="AJ56" s="283"/>
      <c r="AK56" s="283"/>
      <c r="AL56" s="283"/>
      <c r="AM56" s="283"/>
      <c r="AN56" s="283"/>
    </row>
    <row r="57" spans="1:40" x14ac:dyDescent="0.35">
      <c r="A57" s="300"/>
      <c r="B57" s="319"/>
      <c r="C57" s="319"/>
      <c r="D57" s="184">
        <f>SUM(D53:D56)</f>
        <v>2659.5376855333802</v>
      </c>
      <c r="E57" s="184">
        <f t="shared" ref="E57:I57" si="46">SUM(E53:E56)</f>
        <v>2458.4318657027261</v>
      </c>
      <c r="F57" s="184">
        <f t="shared" si="46"/>
        <v>2918.9191614686324</v>
      </c>
      <c r="G57" s="184">
        <f t="shared" si="46"/>
        <v>2918.1700453005378</v>
      </c>
      <c r="H57" s="184">
        <f t="shared" si="46"/>
        <v>2946.3064790243302</v>
      </c>
      <c r="I57" s="184">
        <f t="shared" si="46"/>
        <v>2974.7141988248086</v>
      </c>
      <c r="J57" s="292"/>
      <c r="K57" s="292"/>
      <c r="L57" s="292"/>
      <c r="M57" s="292"/>
      <c r="N57" s="292"/>
      <c r="O57" s="292"/>
      <c r="P57" s="292"/>
      <c r="Q57" s="292"/>
      <c r="V57" s="131"/>
      <c r="AJ57" s="283"/>
      <c r="AK57" s="283"/>
      <c r="AL57" s="283"/>
      <c r="AM57" s="283"/>
      <c r="AN57" s="283"/>
    </row>
    <row r="58" spans="1:40" x14ac:dyDescent="0.35">
      <c r="A58" s="300"/>
      <c r="B58" s="254"/>
      <c r="C58" s="254"/>
      <c r="D58" s="282" t="s">
        <v>950</v>
      </c>
      <c r="E58" s="184">
        <f>E57-$D$57</f>
        <v>-201.10581983065413</v>
      </c>
      <c r="F58" s="184">
        <f>F57-$D$57</f>
        <v>259.38147593525218</v>
      </c>
      <c r="G58" s="184">
        <f>G57-$D$57</f>
        <v>258.6323597671576</v>
      </c>
      <c r="H58" s="184">
        <f>H57-$D$57</f>
        <v>286.76879349094997</v>
      </c>
      <c r="I58" s="184">
        <f>I57-$D$57</f>
        <v>315.17651329142836</v>
      </c>
      <c r="J58" s="292"/>
      <c r="K58" s="292"/>
      <c r="L58" s="292"/>
      <c r="M58" s="292"/>
      <c r="N58" s="292"/>
      <c r="O58" s="292"/>
      <c r="P58" s="292"/>
      <c r="Q58" s="292"/>
      <c r="S58" s="131"/>
      <c r="T58" s="131"/>
      <c r="U58" s="131"/>
      <c r="V58" s="131"/>
      <c r="W58" s="131"/>
      <c r="X58" s="131"/>
      <c r="Y58" s="131"/>
      <c r="Z58" s="131"/>
      <c r="AJ58" s="283"/>
      <c r="AK58" s="283"/>
      <c r="AL58" s="283"/>
      <c r="AM58" s="283"/>
      <c r="AN58" s="283"/>
    </row>
    <row r="59" spans="1:40" x14ac:dyDescent="0.35">
      <c r="A59" s="292"/>
      <c r="B59" s="318"/>
      <c r="C59" s="298"/>
      <c r="D59" s="298"/>
      <c r="E59" s="299"/>
      <c r="F59" s="292"/>
      <c r="G59" s="292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S59" s="131"/>
      <c r="T59" s="131"/>
      <c r="U59" s="131"/>
      <c r="V59" s="131"/>
      <c r="W59" s="131"/>
      <c r="X59" s="131"/>
      <c r="Y59" s="131"/>
      <c r="Z59" s="131"/>
      <c r="AJ59" s="283"/>
      <c r="AK59" s="283"/>
      <c r="AL59" s="283"/>
      <c r="AM59" s="283"/>
      <c r="AN59" s="283"/>
    </row>
    <row r="60" spans="1:40" hidden="1" x14ac:dyDescent="0.35">
      <c r="A60" s="284"/>
      <c r="B60" s="320" t="s">
        <v>951</v>
      </c>
      <c r="C60" s="301"/>
      <c r="D60" s="301"/>
      <c r="E60" s="302"/>
      <c r="F60" s="303"/>
      <c r="G60" s="304"/>
      <c r="H60" s="304"/>
      <c r="I60" s="304"/>
      <c r="J60" s="430"/>
      <c r="K60" s="284"/>
      <c r="L60" s="284"/>
      <c r="M60" s="284"/>
      <c r="N60" s="284"/>
      <c r="O60" s="284"/>
      <c r="P60" s="284"/>
      <c r="Q60" s="213"/>
      <c r="V60" s="131"/>
    </row>
    <row r="61" spans="1:40" hidden="1" x14ac:dyDescent="0.35">
      <c r="A61" s="284"/>
      <c r="B61" s="385" t="s">
        <v>952</v>
      </c>
      <c r="C61" s="386"/>
      <c r="D61" s="386"/>
      <c r="E61" s="386"/>
      <c r="F61" s="386"/>
      <c r="G61" s="386"/>
      <c r="H61" s="386"/>
      <c r="I61" s="212"/>
      <c r="J61" s="425"/>
      <c r="K61" s="213"/>
      <c r="L61" s="284"/>
      <c r="M61" s="284"/>
      <c r="N61" s="284"/>
      <c r="O61" s="284"/>
      <c r="P61" s="284"/>
      <c r="Q61" s="213"/>
      <c r="V61" s="131"/>
    </row>
    <row r="62" spans="1:40" ht="58" hidden="1" x14ac:dyDescent="0.35">
      <c r="A62" s="284"/>
      <c r="B62" s="279" t="s">
        <v>826</v>
      </c>
      <c r="C62" s="164" t="s">
        <v>953</v>
      </c>
      <c r="D62" s="770" t="s">
        <v>926</v>
      </c>
      <c r="E62" s="253" t="s">
        <v>698</v>
      </c>
      <c r="F62" s="253" t="s">
        <v>699</v>
      </c>
      <c r="G62" s="163" t="s">
        <v>881</v>
      </c>
      <c r="H62" s="163" t="s">
        <v>882</v>
      </c>
      <c r="I62" s="253" t="s">
        <v>883</v>
      </c>
      <c r="J62" s="284"/>
      <c r="K62" s="284"/>
      <c r="L62" s="284"/>
      <c r="M62" s="284"/>
      <c r="N62" s="284"/>
      <c r="O62" s="284"/>
      <c r="P62" s="284"/>
      <c r="Q62" s="213"/>
      <c r="V62" s="131"/>
    </row>
    <row r="63" spans="1:40" hidden="1" x14ac:dyDescent="0.35">
      <c r="A63" s="284"/>
      <c r="B63" s="345"/>
      <c r="C63" s="147">
        <f>'Inputs and eligible population'!F83</f>
        <v>0</v>
      </c>
      <c r="D63" s="126">
        <f t="shared" ref="D63:I63" si="47">(D53*$C$63)/60</f>
        <v>0</v>
      </c>
      <c r="E63" s="126">
        <f t="shared" si="47"/>
        <v>0</v>
      </c>
      <c r="F63" s="126">
        <f t="shared" si="47"/>
        <v>0</v>
      </c>
      <c r="G63" s="126">
        <f t="shared" si="47"/>
        <v>0</v>
      </c>
      <c r="H63" s="126">
        <f t="shared" si="47"/>
        <v>0</v>
      </c>
      <c r="I63" s="126">
        <f t="shared" si="47"/>
        <v>0</v>
      </c>
      <c r="J63" s="284"/>
      <c r="K63" s="284"/>
      <c r="L63" s="284"/>
      <c r="M63" s="284"/>
      <c r="N63" s="284"/>
      <c r="O63" s="284"/>
      <c r="P63" s="284"/>
      <c r="Q63" s="213"/>
      <c r="S63" s="131"/>
      <c r="T63" s="131"/>
      <c r="U63" s="131"/>
      <c r="V63" s="131"/>
      <c r="W63" s="131"/>
      <c r="X63" s="131"/>
      <c r="Y63" s="131"/>
      <c r="Z63" s="131"/>
      <c r="AJ63" s="283"/>
      <c r="AK63" s="283"/>
      <c r="AL63" s="283"/>
      <c r="AM63" s="283"/>
      <c r="AN63" s="283"/>
    </row>
    <row r="64" spans="1:40" hidden="1" x14ac:dyDescent="0.35">
      <c r="A64" s="284"/>
      <c r="B64" s="345"/>
      <c r="C64" s="147">
        <f>'Inputs and eligible population'!G83</f>
        <v>0</v>
      </c>
      <c r="D64" s="126">
        <f t="shared" ref="D64:I64" si="48">(D54*$C$64)/60</f>
        <v>0</v>
      </c>
      <c r="E64" s="126">
        <f t="shared" si="48"/>
        <v>0</v>
      </c>
      <c r="F64" s="126">
        <f t="shared" si="48"/>
        <v>0</v>
      </c>
      <c r="G64" s="126">
        <f t="shared" si="48"/>
        <v>0</v>
      </c>
      <c r="H64" s="126">
        <f t="shared" si="48"/>
        <v>0</v>
      </c>
      <c r="I64" s="126">
        <f t="shared" si="48"/>
        <v>0</v>
      </c>
      <c r="J64" s="284"/>
      <c r="K64" s="284"/>
      <c r="L64" s="284"/>
      <c r="M64" s="284"/>
      <c r="N64" s="284"/>
      <c r="O64" s="284"/>
      <c r="P64" s="284"/>
      <c r="Q64" s="213"/>
      <c r="S64" s="131"/>
      <c r="T64" s="131"/>
      <c r="U64" s="131"/>
      <c r="V64" s="131"/>
      <c r="W64" s="131"/>
      <c r="X64" s="131"/>
      <c r="Y64" s="131"/>
      <c r="Z64" s="131"/>
      <c r="AJ64" s="283"/>
      <c r="AK64" s="283"/>
      <c r="AL64" s="283"/>
      <c r="AM64" s="283"/>
      <c r="AN64" s="283"/>
    </row>
    <row r="65" spans="1:40" hidden="1" x14ac:dyDescent="0.35">
      <c r="A65" s="284"/>
      <c r="B65" s="345"/>
      <c r="C65" s="147">
        <f>'Inputs and eligible population'!H83</f>
        <v>0</v>
      </c>
      <c r="D65" s="126">
        <f t="shared" ref="D65:I65" si="49">(D55*$C$65)/60</f>
        <v>0</v>
      </c>
      <c r="E65" s="126">
        <f t="shared" si="49"/>
        <v>0</v>
      </c>
      <c r="F65" s="126">
        <f t="shared" si="49"/>
        <v>0</v>
      </c>
      <c r="G65" s="126">
        <f t="shared" si="49"/>
        <v>0</v>
      </c>
      <c r="H65" s="126">
        <f t="shared" si="49"/>
        <v>0</v>
      </c>
      <c r="I65" s="126">
        <f t="shared" si="49"/>
        <v>0</v>
      </c>
      <c r="J65" s="284"/>
      <c r="K65" s="284"/>
      <c r="L65" s="284"/>
      <c r="M65" s="284"/>
      <c r="N65" s="284"/>
      <c r="O65" s="284"/>
      <c r="P65" s="284"/>
      <c r="Q65" s="213"/>
      <c r="S65" s="131"/>
      <c r="T65" s="131"/>
      <c r="U65" s="131"/>
      <c r="V65" s="131"/>
      <c r="W65" s="131"/>
      <c r="X65" s="131"/>
      <c r="Y65" s="131"/>
      <c r="Z65" s="131"/>
      <c r="AJ65" s="283"/>
      <c r="AK65" s="283"/>
      <c r="AL65" s="283"/>
      <c r="AM65" s="283"/>
      <c r="AN65" s="283"/>
    </row>
    <row r="66" spans="1:40" hidden="1" x14ac:dyDescent="0.35">
      <c r="A66" s="284"/>
      <c r="B66" s="280" t="s">
        <v>954</v>
      </c>
      <c r="C66" s="319"/>
      <c r="D66" s="184">
        <f>SUM(D63:D65)</f>
        <v>0</v>
      </c>
      <c r="E66" s="184">
        <f t="shared" ref="E66:I66" si="50">SUM(E63:E65)</f>
        <v>0</v>
      </c>
      <c r="F66" s="184">
        <f t="shared" si="50"/>
        <v>0</v>
      </c>
      <c r="G66" s="184">
        <f t="shared" si="50"/>
        <v>0</v>
      </c>
      <c r="H66" s="184">
        <f t="shared" si="50"/>
        <v>0</v>
      </c>
      <c r="I66" s="184">
        <f t="shared" si="50"/>
        <v>0</v>
      </c>
      <c r="J66" s="284"/>
      <c r="K66" s="284"/>
      <c r="L66" s="284"/>
      <c r="M66" s="284"/>
      <c r="N66" s="284"/>
      <c r="O66" s="284"/>
      <c r="P66" s="284"/>
      <c r="Q66" s="213"/>
      <c r="S66" s="131"/>
      <c r="T66" s="131"/>
      <c r="U66" s="131"/>
      <c r="V66" s="131"/>
      <c r="W66" s="131"/>
      <c r="X66" s="131"/>
      <c r="Y66" s="131"/>
      <c r="Z66" s="131"/>
      <c r="AJ66" s="283"/>
      <c r="AK66" s="283"/>
      <c r="AL66" s="283"/>
      <c r="AM66" s="283"/>
      <c r="AN66" s="283"/>
    </row>
    <row r="67" spans="1:40" hidden="1" x14ac:dyDescent="0.35">
      <c r="A67" s="284"/>
      <c r="B67" s="305"/>
      <c r="C67" s="254"/>
      <c r="D67" s="282" t="s">
        <v>955</v>
      </c>
      <c r="E67" s="184">
        <f>E66-$D$66</f>
        <v>0</v>
      </c>
      <c r="F67" s="184">
        <f>F66-$D$66</f>
        <v>0</v>
      </c>
      <c r="G67" s="184">
        <f>G66-$D$66</f>
        <v>0</v>
      </c>
      <c r="H67" s="184">
        <f>H66-$D$66</f>
        <v>0</v>
      </c>
      <c r="I67" s="184">
        <f>I66-$D$66</f>
        <v>0</v>
      </c>
      <c r="J67" s="284"/>
      <c r="K67" s="284"/>
      <c r="L67" s="284"/>
      <c r="M67" s="284"/>
      <c r="N67" s="284"/>
      <c r="O67" s="284"/>
      <c r="P67" s="284"/>
      <c r="Q67" s="213"/>
      <c r="S67" s="131"/>
      <c r="T67" s="131"/>
      <c r="U67" s="131"/>
      <c r="V67" s="131"/>
      <c r="W67" s="131"/>
      <c r="X67" s="131"/>
      <c r="Y67" s="131"/>
      <c r="Z67" s="131"/>
      <c r="AJ67" s="283"/>
      <c r="AK67" s="283"/>
      <c r="AL67" s="283"/>
      <c r="AM67" s="283"/>
      <c r="AN67" s="283"/>
    </row>
    <row r="68" spans="1:40" hidden="1" x14ac:dyDescent="0.35">
      <c r="A68" s="284"/>
      <c r="B68" s="321"/>
      <c r="C68" s="213"/>
      <c r="D68" s="213"/>
      <c r="E68" s="213"/>
      <c r="F68" s="213"/>
      <c r="G68" s="213"/>
      <c r="H68" s="213"/>
      <c r="I68" s="213"/>
      <c r="J68" s="213"/>
      <c r="K68" s="213"/>
      <c r="L68" s="284"/>
      <c r="M68" s="284"/>
      <c r="N68" s="284"/>
      <c r="O68" s="284"/>
      <c r="P68" s="284"/>
      <c r="Q68" s="213"/>
      <c r="S68" s="131"/>
      <c r="T68" s="131"/>
      <c r="U68" s="131"/>
      <c r="V68" s="131"/>
      <c r="W68" s="131"/>
      <c r="X68" s="131"/>
      <c r="Y68" s="131"/>
      <c r="Z68" s="131"/>
      <c r="AJ68" s="283"/>
      <c r="AK68" s="283"/>
      <c r="AL68" s="283"/>
      <c r="AM68" s="283"/>
      <c r="AN68" s="283"/>
    </row>
    <row r="69" spans="1:40" hidden="1" x14ac:dyDescent="0.35">
      <c r="A69" s="284"/>
      <c r="B69" s="387" t="s">
        <v>956</v>
      </c>
      <c r="C69" s="386"/>
      <c r="D69" s="386"/>
      <c r="E69" s="386"/>
      <c r="F69" s="386"/>
      <c r="G69" s="386"/>
      <c r="H69" s="386"/>
      <c r="I69" s="212"/>
      <c r="J69" s="425"/>
      <c r="K69" s="213"/>
      <c r="L69" s="284"/>
      <c r="M69" s="284"/>
      <c r="N69" s="284"/>
      <c r="O69" s="284"/>
      <c r="P69" s="284"/>
      <c r="Q69" s="213"/>
      <c r="S69" s="131"/>
      <c r="T69" s="131"/>
      <c r="U69" s="131"/>
      <c r="V69" s="131"/>
      <c r="W69" s="131"/>
      <c r="X69" s="131"/>
      <c r="Y69" s="131"/>
      <c r="Z69" s="131"/>
      <c r="AJ69" s="283"/>
      <c r="AK69" s="283"/>
      <c r="AL69" s="283"/>
      <c r="AM69" s="283"/>
      <c r="AN69" s="283"/>
    </row>
    <row r="70" spans="1:40" ht="72.5" hidden="1" x14ac:dyDescent="0.35">
      <c r="A70" s="284"/>
      <c r="B70" s="279" t="s">
        <v>826</v>
      </c>
      <c r="C70" s="164" t="s">
        <v>759</v>
      </c>
      <c r="D70" s="770" t="s">
        <v>926</v>
      </c>
      <c r="E70" s="253" t="s">
        <v>698</v>
      </c>
      <c r="F70" s="253" t="s">
        <v>699</v>
      </c>
      <c r="G70" s="163" t="s">
        <v>881</v>
      </c>
      <c r="H70" s="163" t="s">
        <v>882</v>
      </c>
      <c r="I70" s="253" t="s">
        <v>883</v>
      </c>
      <c r="J70" s="284"/>
      <c r="K70" s="284"/>
      <c r="L70" s="284"/>
      <c r="M70" s="284"/>
      <c r="N70" s="284"/>
      <c r="O70" s="284"/>
      <c r="P70" s="284"/>
      <c r="Q70" s="213"/>
      <c r="S70" s="131"/>
      <c r="T70" s="131"/>
      <c r="U70" s="131"/>
      <c r="V70" s="131"/>
      <c r="W70" s="131"/>
      <c r="X70" s="131"/>
      <c r="Y70" s="131"/>
      <c r="Z70" s="131"/>
      <c r="AJ70" s="283"/>
      <c r="AK70" s="283"/>
      <c r="AL70" s="283"/>
      <c r="AM70" s="283"/>
      <c r="AN70" s="283"/>
    </row>
    <row r="71" spans="1:40" hidden="1" x14ac:dyDescent="0.35">
      <c r="A71" s="284"/>
      <c r="B71" s="345"/>
      <c r="C71" s="147">
        <f>'Inputs and eligible population'!F84</f>
        <v>0</v>
      </c>
      <c r="D71" s="126">
        <f>($C53*$C71*'Financial impact (cash)'!D13)/60</f>
        <v>0</v>
      </c>
      <c r="E71" s="126">
        <f>($C53*$C71*'Financial impact (cash)'!E13)/60</f>
        <v>0</v>
      </c>
      <c r="F71" s="126">
        <f>($C53*$C71*'Financial impact (cash)'!F13)/60</f>
        <v>0</v>
      </c>
      <c r="G71" s="126">
        <f>($C53*$C71*'Financial impact (cash)'!G13)/60</f>
        <v>0</v>
      </c>
      <c r="H71" s="126">
        <f>($C53*$C71*'Financial impact (cash)'!H13)/60</f>
        <v>0</v>
      </c>
      <c r="I71" s="126">
        <f>($C53*$C71*'Financial impact (cash)'!I13)/60</f>
        <v>0</v>
      </c>
      <c r="J71" s="284"/>
      <c r="K71" s="284"/>
      <c r="L71" s="284"/>
      <c r="M71" s="284"/>
      <c r="N71" s="284"/>
      <c r="O71" s="284"/>
      <c r="P71" s="284"/>
      <c r="Q71" s="213"/>
      <c r="S71" s="131"/>
      <c r="T71" s="131"/>
      <c r="U71" s="131"/>
      <c r="V71" s="131"/>
      <c r="W71" s="131"/>
      <c r="X71" s="131"/>
      <c r="Y71" s="131"/>
      <c r="Z71" s="131"/>
      <c r="AJ71" s="283"/>
      <c r="AK71" s="283"/>
      <c r="AL71" s="283"/>
      <c r="AM71" s="283"/>
      <c r="AN71" s="283"/>
    </row>
    <row r="72" spans="1:40" hidden="1" x14ac:dyDescent="0.35">
      <c r="A72" s="284"/>
      <c r="B72" s="345"/>
      <c r="C72" s="147">
        <f>'Inputs and eligible population'!G84</f>
        <v>0</v>
      </c>
      <c r="D72" s="126">
        <f>($C54*$C72*'Financial impact (cash)'!D14)/60</f>
        <v>0</v>
      </c>
      <c r="E72" s="126">
        <f>($C54*$C72*'Financial impact (cash)'!E14)/60</f>
        <v>0</v>
      </c>
      <c r="F72" s="126">
        <f>($C54*$C72*'Financial impact (cash)'!F14)/60</f>
        <v>0</v>
      </c>
      <c r="G72" s="126">
        <f>($C54*$C72*'Financial impact (cash)'!G14)/60</f>
        <v>0</v>
      </c>
      <c r="H72" s="126">
        <f>($C54*$C72*'Financial impact (cash)'!H14)/60</f>
        <v>0</v>
      </c>
      <c r="I72" s="126">
        <f>($C54*$C72*'Financial impact (cash)'!I14)/60</f>
        <v>0</v>
      </c>
      <c r="J72" s="284"/>
      <c r="K72" s="284"/>
      <c r="L72" s="284"/>
      <c r="M72" s="284"/>
      <c r="N72" s="284"/>
      <c r="O72" s="284"/>
      <c r="P72" s="284"/>
      <c r="Q72" s="213"/>
      <c r="S72" s="131"/>
      <c r="T72" s="131"/>
      <c r="U72" s="131"/>
      <c r="V72" s="131"/>
      <c r="W72" s="131"/>
      <c r="X72" s="131"/>
      <c r="Y72" s="131"/>
      <c r="Z72" s="131"/>
      <c r="AJ72" s="283"/>
      <c r="AK72" s="283"/>
      <c r="AL72" s="283"/>
      <c r="AM72" s="283"/>
      <c r="AN72" s="283"/>
    </row>
    <row r="73" spans="1:40" hidden="1" x14ac:dyDescent="0.35">
      <c r="A73" s="284"/>
      <c r="B73" s="345"/>
      <c r="C73" s="147">
        <f>'Inputs and eligible population'!H84</f>
        <v>0</v>
      </c>
      <c r="D73" s="126">
        <f>($C55*$C73*'Financial impact (cash)'!D15)/60</f>
        <v>0</v>
      </c>
      <c r="E73" s="126">
        <f>($C55*$C73*'Financial impact (cash)'!E15)/60</f>
        <v>0</v>
      </c>
      <c r="F73" s="126">
        <f>($C55*$C73*'Financial impact (cash)'!F15)/60</f>
        <v>0</v>
      </c>
      <c r="G73" s="126">
        <f>($C55*$C73*'Financial impact (cash)'!G15)/60</f>
        <v>0</v>
      </c>
      <c r="H73" s="126">
        <f>($C55*$C73*'Financial impact (cash)'!H15)/60</f>
        <v>0</v>
      </c>
      <c r="I73" s="126">
        <f>($C55*$C73*'Financial impact (cash)'!I15)/60</f>
        <v>0</v>
      </c>
      <c r="J73" s="284"/>
      <c r="K73" s="284"/>
      <c r="L73" s="284"/>
      <c r="M73" s="284"/>
      <c r="N73" s="284"/>
      <c r="O73" s="284"/>
      <c r="P73" s="284"/>
      <c r="Q73" s="213"/>
      <c r="S73" s="131"/>
      <c r="T73" s="131"/>
      <c r="U73" s="131"/>
      <c r="V73" s="131"/>
      <c r="W73" s="131"/>
      <c r="X73" s="131"/>
      <c r="Y73" s="131"/>
      <c r="Z73" s="131"/>
      <c r="AJ73" s="283"/>
      <c r="AK73" s="283"/>
      <c r="AL73" s="283"/>
      <c r="AM73" s="283"/>
      <c r="AN73" s="283"/>
    </row>
    <row r="74" spans="1:40" hidden="1" x14ac:dyDescent="0.35">
      <c r="A74" s="284"/>
      <c r="B74" s="280"/>
      <c r="C74" s="280"/>
      <c r="D74" s="184">
        <f t="shared" ref="D74:I74" si="51">SUM(D71:D73)</f>
        <v>0</v>
      </c>
      <c r="E74" s="184">
        <f t="shared" si="51"/>
        <v>0</v>
      </c>
      <c r="F74" s="184">
        <f t="shared" si="51"/>
        <v>0</v>
      </c>
      <c r="G74" s="184">
        <f t="shared" si="51"/>
        <v>0</v>
      </c>
      <c r="H74" s="184">
        <f t="shared" si="51"/>
        <v>0</v>
      </c>
      <c r="I74" s="184">
        <f t="shared" si="51"/>
        <v>0</v>
      </c>
      <c r="J74" s="284"/>
      <c r="K74" s="284"/>
      <c r="L74" s="284"/>
      <c r="M74" s="284"/>
      <c r="N74" s="284"/>
      <c r="O74" s="284"/>
      <c r="P74" s="284"/>
      <c r="Q74" s="213"/>
      <c r="S74" s="131"/>
      <c r="T74" s="131"/>
      <c r="U74" s="131"/>
      <c r="V74" s="131"/>
      <c r="W74" s="131"/>
      <c r="X74" s="131"/>
      <c r="Y74" s="131"/>
      <c r="Z74" s="131"/>
      <c r="AJ74" s="283"/>
      <c r="AK74" s="283"/>
      <c r="AL74" s="283"/>
      <c r="AM74" s="283"/>
      <c r="AN74" s="283"/>
    </row>
    <row r="75" spans="1:40" hidden="1" x14ac:dyDescent="0.35">
      <c r="A75" s="284"/>
      <c r="B75" s="280"/>
      <c r="C75" s="280"/>
      <c r="D75" s="282" t="s">
        <v>957</v>
      </c>
      <c r="E75" s="184">
        <f>E74-$D$74</f>
        <v>0</v>
      </c>
      <c r="F75" s="184">
        <f>F74-$D$74</f>
        <v>0</v>
      </c>
      <c r="G75" s="184">
        <f>G74-$D$74</f>
        <v>0</v>
      </c>
      <c r="H75" s="184">
        <f>H74-$D$74</f>
        <v>0</v>
      </c>
      <c r="I75" s="184">
        <f>I74-$D$74</f>
        <v>0</v>
      </c>
      <c r="J75" s="284"/>
      <c r="K75" s="284"/>
      <c r="L75" s="284"/>
      <c r="M75" s="284"/>
      <c r="N75" s="284"/>
      <c r="O75" s="284"/>
      <c r="P75" s="284"/>
      <c r="Q75" s="213"/>
      <c r="S75" s="131"/>
      <c r="T75" s="131"/>
      <c r="U75" s="131"/>
      <c r="V75" s="131"/>
      <c r="W75" s="131"/>
      <c r="X75" s="131"/>
      <c r="Y75" s="131"/>
      <c r="Z75" s="131"/>
      <c r="AJ75" s="283"/>
      <c r="AK75" s="283"/>
      <c r="AL75" s="283"/>
      <c r="AM75" s="283"/>
      <c r="AN75" s="283"/>
    </row>
    <row r="76" spans="1:40" hidden="1" x14ac:dyDescent="0.35">
      <c r="A76" s="284"/>
      <c r="B76" s="321"/>
      <c r="C76" s="213"/>
      <c r="D76" s="213"/>
      <c r="E76" s="213"/>
      <c r="F76" s="213"/>
      <c r="G76" s="213"/>
      <c r="H76" s="213"/>
      <c r="I76" s="213"/>
      <c r="J76" s="213"/>
      <c r="K76" s="213"/>
      <c r="L76" s="284"/>
      <c r="M76" s="284"/>
      <c r="N76" s="284"/>
      <c r="O76" s="284"/>
      <c r="P76" s="284"/>
      <c r="Q76" s="213"/>
      <c r="S76" s="131"/>
      <c r="T76" s="131"/>
      <c r="U76" s="131"/>
      <c r="V76" s="131"/>
      <c r="W76" s="131"/>
      <c r="X76" s="131"/>
      <c r="Y76" s="131"/>
      <c r="Z76" s="131"/>
      <c r="AJ76" s="283"/>
      <c r="AK76" s="283"/>
      <c r="AL76" s="283"/>
      <c r="AM76" s="283"/>
      <c r="AN76" s="283"/>
    </row>
    <row r="77" spans="1:40" hidden="1" x14ac:dyDescent="0.35">
      <c r="A77" s="284"/>
      <c r="B77" s="387" t="s">
        <v>911</v>
      </c>
      <c r="C77" s="386"/>
      <c r="D77" s="386"/>
      <c r="E77" s="386"/>
      <c r="F77" s="386"/>
      <c r="G77" s="386"/>
      <c r="H77" s="386"/>
      <c r="I77" s="212"/>
      <c r="J77" s="425"/>
      <c r="K77" s="213"/>
      <c r="L77" s="284"/>
      <c r="M77" s="284"/>
      <c r="N77" s="284"/>
      <c r="O77" s="284"/>
      <c r="P77" s="284"/>
      <c r="Q77" s="213"/>
      <c r="V77" s="131"/>
      <c r="AJ77" s="283"/>
      <c r="AK77" s="283"/>
      <c r="AL77" s="283"/>
      <c r="AM77" s="283"/>
      <c r="AN77" s="283"/>
    </row>
    <row r="78" spans="1:40" ht="58" hidden="1" x14ac:dyDescent="0.35">
      <c r="A78" s="284"/>
      <c r="B78" s="279" t="s">
        <v>826</v>
      </c>
      <c r="C78" s="164" t="s">
        <v>760</v>
      </c>
      <c r="D78" s="770" t="s">
        <v>926</v>
      </c>
      <c r="E78" s="253" t="s">
        <v>698</v>
      </c>
      <c r="F78" s="253" t="s">
        <v>699</v>
      </c>
      <c r="G78" s="163" t="s">
        <v>881</v>
      </c>
      <c r="H78" s="163" t="s">
        <v>882</v>
      </c>
      <c r="I78" s="253" t="s">
        <v>883</v>
      </c>
      <c r="J78" s="284"/>
      <c r="K78" s="284"/>
      <c r="L78" s="284"/>
      <c r="M78" s="284"/>
      <c r="N78" s="284"/>
      <c r="O78" s="284"/>
      <c r="P78" s="284"/>
      <c r="Q78" s="213"/>
      <c r="V78" s="131"/>
      <c r="AJ78" s="283"/>
      <c r="AK78" s="283"/>
      <c r="AL78" s="283"/>
      <c r="AM78" s="283"/>
      <c r="AN78" s="283"/>
    </row>
    <row r="79" spans="1:40" hidden="1" x14ac:dyDescent="0.35">
      <c r="A79" s="284"/>
      <c r="B79" s="345"/>
      <c r="C79" s="147">
        <f>'Inputs and eligible population'!F85</f>
        <v>0</v>
      </c>
      <c r="D79" s="126">
        <f>($C53*$C79*'Financial impact (cash)'!D13)/60</f>
        <v>0</v>
      </c>
      <c r="E79" s="126">
        <f>($C53*$C79*'Financial impact (cash)'!E13)/60</f>
        <v>0</v>
      </c>
      <c r="F79" s="126">
        <f>($C53*$C79*'Financial impact (cash)'!F13)/60</f>
        <v>0</v>
      </c>
      <c r="G79" s="126">
        <f>($C53*$C79*'Financial impact (cash)'!G13)/60</f>
        <v>0</v>
      </c>
      <c r="H79" s="126">
        <f>($C53*$C79*'Financial impact (cash)'!H13)/60</f>
        <v>0</v>
      </c>
      <c r="I79" s="126">
        <f>($C53*$C79*'Financial impact (cash)'!I13)/60</f>
        <v>0</v>
      </c>
      <c r="J79" s="284"/>
      <c r="K79" s="284"/>
      <c r="L79" s="284"/>
      <c r="M79" s="284"/>
      <c r="N79" s="284"/>
      <c r="O79" s="284"/>
      <c r="P79" s="284"/>
      <c r="Q79" s="213"/>
      <c r="V79" s="131"/>
      <c r="AJ79" s="283"/>
      <c r="AK79" s="283"/>
      <c r="AL79" s="283"/>
      <c r="AM79" s="283"/>
      <c r="AN79" s="283"/>
    </row>
    <row r="80" spans="1:40" hidden="1" x14ac:dyDescent="0.35">
      <c r="A80" s="284"/>
      <c r="B80" s="345"/>
      <c r="C80" s="147">
        <f>'Inputs and eligible population'!G85</f>
        <v>0</v>
      </c>
      <c r="D80" s="126">
        <f>($C54*$C80*'Financial impact (cash)'!D14)/60</f>
        <v>0</v>
      </c>
      <c r="E80" s="126">
        <f>($C54*$C80*'Financial impact (cash)'!E14)/60</f>
        <v>0</v>
      </c>
      <c r="F80" s="126">
        <f>($C54*$C80*'Financial impact (cash)'!F14)/60</f>
        <v>0</v>
      </c>
      <c r="G80" s="126">
        <f>($C54*$C80*'Financial impact (cash)'!G14)/60</f>
        <v>0</v>
      </c>
      <c r="H80" s="126">
        <f>($C54*$C80*'Financial impact (cash)'!H14)/60</f>
        <v>0</v>
      </c>
      <c r="I80" s="126">
        <f>($C54*$C80*'Financial impact (cash)'!I14)/60</f>
        <v>0</v>
      </c>
      <c r="J80" s="284"/>
      <c r="K80" s="284"/>
      <c r="L80" s="284"/>
      <c r="M80" s="284"/>
      <c r="N80" s="284"/>
      <c r="O80" s="284"/>
      <c r="P80" s="284"/>
      <c r="Q80" s="213"/>
      <c r="V80" s="131"/>
      <c r="AJ80" s="283"/>
      <c r="AK80" s="283"/>
      <c r="AL80" s="283"/>
      <c r="AM80" s="283"/>
      <c r="AN80" s="283"/>
    </row>
    <row r="81" spans="1:40" hidden="1" x14ac:dyDescent="0.35">
      <c r="A81" s="284"/>
      <c r="B81" s="345"/>
      <c r="C81" s="147">
        <f>'Inputs and eligible population'!H85</f>
        <v>0</v>
      </c>
      <c r="D81" s="126">
        <f>($C55*$C81*'Financial impact (cash)'!D15)/60</f>
        <v>0</v>
      </c>
      <c r="E81" s="126">
        <f>($C55*$C81*'Financial impact (cash)'!E15)/60</f>
        <v>0</v>
      </c>
      <c r="F81" s="126">
        <f>($C55*$C81*'Financial impact (cash)'!F15)/60</f>
        <v>0</v>
      </c>
      <c r="G81" s="126">
        <f>($C55*$C81*'Financial impact (cash)'!G15)/60</f>
        <v>0</v>
      </c>
      <c r="H81" s="126">
        <f>($C55*$C81*'Financial impact (cash)'!H15)/60</f>
        <v>0</v>
      </c>
      <c r="I81" s="126">
        <f>($C55*$C81*'Financial impact (cash)'!I15)/60</f>
        <v>0</v>
      </c>
      <c r="J81" s="284"/>
      <c r="K81" s="284"/>
      <c r="L81" s="284"/>
      <c r="M81" s="284"/>
      <c r="N81" s="284"/>
      <c r="O81" s="284"/>
      <c r="P81" s="284"/>
      <c r="Q81" s="213"/>
      <c r="V81" s="131"/>
      <c r="AJ81" s="283"/>
      <c r="AK81" s="283"/>
      <c r="AL81" s="283"/>
      <c r="AM81" s="283"/>
      <c r="AN81" s="283"/>
    </row>
    <row r="82" spans="1:40" hidden="1" x14ac:dyDescent="0.35">
      <c r="A82" s="284"/>
      <c r="B82" s="280"/>
      <c r="C82" s="280"/>
      <c r="D82" s="184">
        <f t="shared" ref="D82:I82" si="52">SUM(D79:D81)</f>
        <v>0</v>
      </c>
      <c r="E82" s="184">
        <f t="shared" si="52"/>
        <v>0</v>
      </c>
      <c r="F82" s="184">
        <f t="shared" si="52"/>
        <v>0</v>
      </c>
      <c r="G82" s="184">
        <f t="shared" si="52"/>
        <v>0</v>
      </c>
      <c r="H82" s="184">
        <f t="shared" si="52"/>
        <v>0</v>
      </c>
      <c r="I82" s="184">
        <f t="shared" si="52"/>
        <v>0</v>
      </c>
      <c r="J82" s="284"/>
      <c r="K82" s="284"/>
      <c r="L82" s="284"/>
      <c r="M82" s="284"/>
      <c r="N82" s="284"/>
      <c r="O82" s="284"/>
      <c r="P82" s="284"/>
      <c r="Q82" s="213"/>
      <c r="R82" s="131"/>
      <c r="S82" s="131"/>
      <c r="T82" s="131"/>
      <c r="U82" s="131"/>
      <c r="V82" s="131"/>
      <c r="W82" s="131"/>
      <c r="X82" s="131"/>
      <c r="Y82" s="131"/>
      <c r="Z82" s="131"/>
      <c r="AJ82" s="283"/>
      <c r="AK82" s="283"/>
      <c r="AL82" s="283"/>
      <c r="AM82" s="283"/>
      <c r="AN82" s="283"/>
    </row>
    <row r="83" spans="1:40" hidden="1" x14ac:dyDescent="0.35">
      <c r="A83" s="284"/>
      <c r="B83" s="305"/>
      <c r="C83" s="280"/>
      <c r="D83" s="282" t="s">
        <v>958</v>
      </c>
      <c r="E83" s="184">
        <f>E82-$D$82</f>
        <v>0</v>
      </c>
      <c r="F83" s="184">
        <f>F82-$D$82</f>
        <v>0</v>
      </c>
      <c r="G83" s="184">
        <f>G82-$D$82</f>
        <v>0</v>
      </c>
      <c r="H83" s="184">
        <f>H82-$D$82</f>
        <v>0</v>
      </c>
      <c r="I83" s="184">
        <f>I82-$D$82</f>
        <v>0</v>
      </c>
      <c r="J83" s="284"/>
      <c r="K83" s="284"/>
      <c r="L83" s="284"/>
      <c r="M83" s="284"/>
      <c r="N83" s="284"/>
      <c r="O83" s="284"/>
      <c r="P83" s="284"/>
      <c r="Q83" s="213"/>
      <c r="R83" s="131"/>
      <c r="S83" s="131"/>
      <c r="T83" s="131"/>
      <c r="U83" s="131"/>
      <c r="V83" s="131"/>
      <c r="W83" s="131"/>
      <c r="X83" s="131"/>
      <c r="Y83" s="131"/>
      <c r="Z83" s="131"/>
      <c r="AJ83" s="283"/>
      <c r="AK83" s="283"/>
      <c r="AL83" s="283"/>
      <c r="AM83" s="283"/>
      <c r="AN83" s="283"/>
    </row>
    <row r="84" spans="1:40" hidden="1" x14ac:dyDescent="0.35">
      <c r="A84" s="284"/>
      <c r="B84" s="321"/>
      <c r="C84" s="213"/>
      <c r="D84" s="213"/>
      <c r="E84" s="213"/>
      <c r="F84" s="213"/>
      <c r="G84" s="213"/>
      <c r="H84" s="213"/>
      <c r="I84" s="213"/>
      <c r="J84" s="284"/>
      <c r="K84" s="284"/>
      <c r="L84" s="284"/>
      <c r="M84" s="284"/>
      <c r="N84" s="284"/>
      <c r="O84" s="284"/>
      <c r="P84" s="284"/>
      <c r="Q84" s="213"/>
      <c r="R84" s="131"/>
      <c r="S84" s="131"/>
      <c r="T84" s="131"/>
      <c r="U84" s="131"/>
      <c r="V84" s="131"/>
      <c r="W84" s="131"/>
      <c r="X84" s="131"/>
      <c r="Y84" s="131"/>
      <c r="Z84" s="131"/>
      <c r="AJ84" s="283"/>
      <c r="AK84" s="283"/>
      <c r="AL84" s="283"/>
      <c r="AM84" s="283"/>
      <c r="AN84" s="283"/>
    </row>
    <row r="85" spans="1:40" x14ac:dyDescent="0.35">
      <c r="A85" s="705"/>
      <c r="B85" s="712" t="s">
        <v>959</v>
      </c>
      <c r="C85" s="706"/>
      <c r="D85" s="707"/>
      <c r="E85" s="706"/>
      <c r="F85" s="708"/>
      <c r="G85" s="709"/>
      <c r="H85" s="709"/>
      <c r="I85" s="710"/>
      <c r="J85" s="705"/>
      <c r="K85" s="705"/>
      <c r="L85" s="705"/>
      <c r="M85" s="705"/>
      <c r="N85" s="705"/>
      <c r="O85" s="705"/>
      <c r="P85" s="286"/>
      <c r="Q85" s="286"/>
      <c r="R85" s="131"/>
      <c r="S85" s="131"/>
      <c r="T85" s="131"/>
      <c r="U85" s="131"/>
      <c r="V85" s="131"/>
      <c r="W85" s="131"/>
      <c r="X85" s="131"/>
      <c r="Y85" s="131"/>
      <c r="Z85" s="131"/>
      <c r="AJ85" s="283"/>
      <c r="AK85" s="283"/>
      <c r="AL85" s="283"/>
      <c r="AM85" s="283"/>
      <c r="AN85" s="283"/>
    </row>
    <row r="86" spans="1:40" x14ac:dyDescent="0.35">
      <c r="A86" s="286"/>
      <c r="B86" s="388" t="s">
        <v>960</v>
      </c>
      <c r="C86" s="389"/>
      <c r="D86" s="389"/>
      <c r="E86" s="389"/>
      <c r="F86" s="389"/>
      <c r="G86" s="389"/>
      <c r="H86" s="389"/>
      <c r="I86" s="216"/>
      <c r="J86" s="286"/>
      <c r="K86" s="286"/>
      <c r="L86" s="217"/>
      <c r="M86" s="217"/>
      <c r="N86" s="286"/>
      <c r="O86" s="217"/>
      <c r="P86" s="217"/>
      <c r="Q86" s="217"/>
      <c r="V86" s="131"/>
    </row>
    <row r="87" spans="1:40" ht="43.5" x14ac:dyDescent="0.35">
      <c r="A87" s="286"/>
      <c r="B87" s="276" t="s">
        <v>826</v>
      </c>
      <c r="C87" s="164" t="s">
        <v>961</v>
      </c>
      <c r="D87" s="770" t="s">
        <v>926</v>
      </c>
      <c r="E87" s="253" t="s">
        <v>698</v>
      </c>
      <c r="F87" s="253" t="s">
        <v>699</v>
      </c>
      <c r="G87" s="163" t="s">
        <v>881</v>
      </c>
      <c r="H87" s="163" t="s">
        <v>882</v>
      </c>
      <c r="I87" s="253" t="s">
        <v>883</v>
      </c>
      <c r="J87" s="286"/>
      <c r="K87" s="286"/>
      <c r="L87" s="217"/>
      <c r="M87" s="217"/>
      <c r="N87" s="286"/>
      <c r="O87" s="217"/>
      <c r="P87" s="217"/>
      <c r="Q87" s="217"/>
      <c r="V87" s="131"/>
    </row>
    <row r="88" spans="1:40" x14ac:dyDescent="0.35">
      <c r="A88" s="286"/>
      <c r="B88" s="345" t="s">
        <v>736</v>
      </c>
      <c r="C88" s="147">
        <f>'Inputs and eligible population'!F86</f>
        <v>5</v>
      </c>
      <c r="D88" s="126">
        <f>((D53)*$C$88)/60</f>
        <v>0</v>
      </c>
      <c r="E88" s="126">
        <f t="shared" ref="E88:I88" si="53">((E53)*$C$88)/60</f>
        <v>20.387481086936035</v>
      </c>
      <c r="F88" s="126">
        <f t="shared" si="53"/>
        <v>46.314119822064214</v>
      </c>
      <c r="G88" s="126">
        <f t="shared" si="53"/>
        <v>49.358486739819334</v>
      </c>
      <c r="H88" s="126">
        <f t="shared" si="53"/>
        <v>49.834391765675562</v>
      </c>
      <c r="I88" s="126">
        <f t="shared" si="53"/>
        <v>50.314885376162195</v>
      </c>
      <c r="J88" s="286"/>
      <c r="K88" s="286"/>
      <c r="L88" s="217"/>
      <c r="M88" s="217"/>
      <c r="N88" s="286"/>
      <c r="O88" s="217"/>
      <c r="P88" s="217"/>
      <c r="Q88" s="217"/>
      <c r="V88" s="131"/>
    </row>
    <row r="89" spans="1:40" x14ac:dyDescent="0.35">
      <c r="A89" s="286"/>
      <c r="B89" s="345" t="s">
        <v>737</v>
      </c>
      <c r="C89" s="147">
        <f>'Inputs and eligible population'!G86</f>
        <v>5</v>
      </c>
      <c r="D89" s="126">
        <f>((D55)*$C$89)/60</f>
        <v>110.8140702305575</v>
      </c>
      <c r="E89" s="126">
        <f t="shared" ref="E89:I89" si="54">((E55)*$C$89)/60</f>
        <v>82.047179984010882</v>
      </c>
      <c r="F89" s="126">
        <f t="shared" si="54"/>
        <v>75.307511905795479</v>
      </c>
      <c r="G89" s="126">
        <f t="shared" si="54"/>
        <v>72.231931814369759</v>
      </c>
      <c r="H89" s="126">
        <f t="shared" si="54"/>
        <v>72.928378193671534</v>
      </c>
      <c r="I89" s="126">
        <f t="shared" si="54"/>
        <v>73.63153957487151</v>
      </c>
      <c r="J89" s="286"/>
      <c r="K89" s="286"/>
      <c r="L89" s="217"/>
      <c r="M89" s="217"/>
      <c r="N89" s="286"/>
      <c r="O89" s="217"/>
      <c r="P89" s="217"/>
      <c r="Q89" s="217"/>
      <c r="V89" s="131"/>
    </row>
    <row r="90" spans="1:40" x14ac:dyDescent="0.35">
      <c r="A90" s="286"/>
      <c r="B90" s="345" t="s">
        <v>738</v>
      </c>
      <c r="C90" s="147">
        <f>'Inputs and eligible population'!H86</f>
        <v>0</v>
      </c>
      <c r="D90" s="126">
        <v>0</v>
      </c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286"/>
      <c r="K90" s="286"/>
      <c r="L90" s="756"/>
      <c r="M90" s="217"/>
      <c r="N90" s="286"/>
      <c r="O90" s="217"/>
      <c r="P90" s="217"/>
      <c r="Q90" s="217"/>
      <c r="V90" s="131"/>
    </row>
    <row r="91" spans="1:40" x14ac:dyDescent="0.35">
      <c r="A91" s="286"/>
      <c r="B91" s="280"/>
      <c r="C91" s="205"/>
      <c r="D91" s="184">
        <f t="shared" ref="D91:I91" si="55">SUM(D88:D90)</f>
        <v>110.8140702305575</v>
      </c>
      <c r="E91" s="184">
        <f t="shared" si="55"/>
        <v>102.43466107094692</v>
      </c>
      <c r="F91" s="184">
        <f t="shared" si="55"/>
        <v>121.62163172785969</v>
      </c>
      <c r="G91" s="184">
        <f t="shared" si="55"/>
        <v>121.59041855418909</v>
      </c>
      <c r="H91" s="184">
        <f t="shared" si="55"/>
        <v>122.7627699593471</v>
      </c>
      <c r="I91" s="184">
        <f t="shared" si="55"/>
        <v>123.94642495103371</v>
      </c>
      <c r="J91" s="286"/>
      <c r="K91" s="286"/>
      <c r="L91" s="217"/>
      <c r="M91" s="217"/>
      <c r="N91" s="286"/>
      <c r="O91" s="217"/>
      <c r="P91" s="217"/>
      <c r="Q91" s="217"/>
      <c r="V91" s="131"/>
    </row>
    <row r="92" spans="1:40" x14ac:dyDescent="0.35">
      <c r="A92" s="286"/>
      <c r="B92" s="305"/>
      <c r="C92" s="221"/>
      <c r="D92" s="282" t="s">
        <v>913</v>
      </c>
      <c r="E92" s="184">
        <f>E91-$D$91</f>
        <v>-8.3794091596105886</v>
      </c>
      <c r="F92" s="184">
        <f>F91-$D$91</f>
        <v>10.807561497302189</v>
      </c>
      <c r="G92" s="184">
        <f>G91-$D$91</f>
        <v>10.776348323631581</v>
      </c>
      <c r="H92" s="184">
        <f>H91-$D$91</f>
        <v>11.948699728789592</v>
      </c>
      <c r="I92" s="184">
        <f>I91-$D$91</f>
        <v>13.132354720476201</v>
      </c>
      <c r="J92" s="286"/>
      <c r="K92" s="286"/>
      <c r="L92" s="217"/>
      <c r="M92" s="217"/>
      <c r="N92" s="286"/>
      <c r="O92" s="217"/>
      <c r="P92" s="217"/>
      <c r="Q92" s="217"/>
      <c r="V92" s="131"/>
    </row>
    <row r="93" spans="1:40" x14ac:dyDescent="0.35">
      <c r="A93" s="286"/>
      <c r="B93" s="322"/>
      <c r="C93" s="389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86"/>
      <c r="O93" s="217"/>
      <c r="P93" s="217"/>
      <c r="Q93" s="217"/>
      <c r="R93" s="131"/>
      <c r="S93" s="131"/>
      <c r="T93" s="131"/>
      <c r="U93" s="131"/>
      <c r="V93" s="131"/>
      <c r="W93" s="131"/>
      <c r="X93" s="131"/>
      <c r="Y93" s="131"/>
      <c r="Z93" s="131"/>
      <c r="AJ93" s="283"/>
      <c r="AK93" s="283"/>
      <c r="AL93" s="283"/>
      <c r="AM93" s="283"/>
      <c r="AN93" s="283"/>
    </row>
    <row r="94" spans="1:40" hidden="1" x14ac:dyDescent="0.35">
      <c r="A94" s="326"/>
      <c r="B94" s="327" t="s">
        <v>962</v>
      </c>
      <c r="C94" s="328"/>
      <c r="D94" s="328"/>
      <c r="E94" s="329"/>
      <c r="F94" s="330"/>
      <c r="G94" s="331"/>
      <c r="H94" s="331"/>
      <c r="I94" s="382"/>
      <c r="J94" s="326"/>
      <c r="K94" s="326"/>
      <c r="L94" s="326"/>
      <c r="M94" s="326"/>
      <c r="N94" s="326"/>
      <c r="O94" s="326"/>
      <c r="P94" s="326"/>
      <c r="Q94" s="402"/>
      <c r="R94" s="131"/>
      <c r="S94" s="131"/>
      <c r="T94" s="131"/>
      <c r="U94" s="131"/>
      <c r="V94" s="131"/>
      <c r="W94" s="131"/>
      <c r="X94" s="131"/>
      <c r="Y94" s="131"/>
      <c r="Z94" s="131"/>
      <c r="AJ94" s="283"/>
      <c r="AK94" s="283"/>
      <c r="AL94" s="283"/>
      <c r="AM94" s="283"/>
      <c r="AN94" s="283"/>
    </row>
    <row r="95" spans="1:40" hidden="1" x14ac:dyDescent="0.35">
      <c r="A95" s="326"/>
      <c r="B95" s="392" t="s">
        <v>963</v>
      </c>
      <c r="C95" s="393"/>
      <c r="D95" s="393"/>
      <c r="E95" s="393"/>
      <c r="F95" s="393"/>
      <c r="G95" s="393"/>
      <c r="H95" s="393"/>
      <c r="I95" s="332"/>
      <c r="J95" s="402"/>
      <c r="K95" s="402"/>
      <c r="L95" s="431"/>
      <c r="M95" s="431"/>
      <c r="N95" s="431"/>
      <c r="O95" s="431"/>
      <c r="P95" s="431"/>
      <c r="Q95" s="431"/>
      <c r="R95" s="131"/>
      <c r="S95" s="131"/>
      <c r="T95" s="131"/>
      <c r="U95" s="131"/>
      <c r="V95" s="131"/>
      <c r="W95" s="131"/>
      <c r="X95" s="131"/>
      <c r="Y95" s="131"/>
      <c r="Z95" s="131"/>
      <c r="AJ95" s="283"/>
      <c r="AK95" s="283"/>
      <c r="AL95" s="283"/>
      <c r="AM95" s="283"/>
      <c r="AN95" s="283"/>
    </row>
    <row r="96" spans="1:40" ht="43.5" hidden="1" x14ac:dyDescent="0.35">
      <c r="A96" s="326"/>
      <c r="B96" s="276" t="s">
        <v>826</v>
      </c>
      <c r="C96" s="164" t="s">
        <v>766</v>
      </c>
      <c r="D96" s="770" t="s">
        <v>926</v>
      </c>
      <c r="E96" s="253" t="s">
        <v>698</v>
      </c>
      <c r="F96" s="253" t="s">
        <v>699</v>
      </c>
      <c r="G96" s="163" t="s">
        <v>881</v>
      </c>
      <c r="H96" s="163" t="s">
        <v>882</v>
      </c>
      <c r="I96" s="253" t="s">
        <v>883</v>
      </c>
      <c r="J96" s="326"/>
      <c r="K96" s="549" t="s">
        <v>972</v>
      </c>
      <c r="L96" s="770" t="s">
        <v>926</v>
      </c>
      <c r="M96" s="253" t="s">
        <v>698</v>
      </c>
      <c r="N96" s="253" t="s">
        <v>699</v>
      </c>
      <c r="O96" s="163" t="s">
        <v>881</v>
      </c>
      <c r="P96" s="163" t="s">
        <v>882</v>
      </c>
      <c r="Q96" s="253" t="s">
        <v>883</v>
      </c>
      <c r="R96" s="131"/>
      <c r="S96" s="131"/>
      <c r="T96" s="131"/>
      <c r="U96" s="131"/>
      <c r="V96" s="131"/>
      <c r="W96" s="131"/>
      <c r="X96" s="131"/>
      <c r="Y96" s="131"/>
      <c r="Z96" s="131"/>
      <c r="AJ96" s="283"/>
      <c r="AK96" s="283"/>
      <c r="AL96" s="283"/>
      <c r="AM96" s="283"/>
      <c r="AN96" s="283"/>
    </row>
    <row r="97" spans="1:40" hidden="1" x14ac:dyDescent="0.35">
      <c r="A97" s="326"/>
      <c r="B97" s="345"/>
      <c r="C97" s="147">
        <f>'Inputs and eligible population'!F87</f>
        <v>0</v>
      </c>
      <c r="D97" s="126">
        <f>'Financial impact (cash)'!D13*'Capacity (national prices)'!$C97</f>
        <v>0</v>
      </c>
      <c r="E97" s="126">
        <f>'Financial impact (cash)'!E13*'Capacity (national prices)'!$C97</f>
        <v>0</v>
      </c>
      <c r="F97" s="126">
        <f>'Financial impact (cash)'!F13*'Capacity (national prices)'!$C97</f>
        <v>0</v>
      </c>
      <c r="G97" s="126">
        <f>'Financial impact (cash)'!G13*'Capacity (national prices)'!$C97</f>
        <v>0</v>
      </c>
      <c r="H97" s="126">
        <f>'Financial impact (cash)'!H13*'Capacity (national prices)'!$C97</f>
        <v>0</v>
      </c>
      <c r="I97" s="126">
        <f>'Financial impact (cash)'!I13*'Capacity (national prices)'!$C97</f>
        <v>0</v>
      </c>
      <c r="J97" s="326"/>
      <c r="K97" s="289">
        <f>(C97*'Unit costs'!$N$29)/1000</f>
        <v>0</v>
      </c>
      <c r="L97" s="289">
        <f>(D97*'Unit costs'!$N$35)/1000</f>
        <v>0</v>
      </c>
      <c r="M97" s="289">
        <f>(E97*'Unit costs'!$N$35)/1000</f>
        <v>0</v>
      </c>
      <c r="N97" s="289">
        <f>(F97*'Unit costs'!$N$35)/1000</f>
        <v>0</v>
      </c>
      <c r="O97" s="289">
        <f>(G97*'Unit costs'!$N$35)/1000</f>
        <v>0</v>
      </c>
      <c r="P97" s="289">
        <f>(H97*'Unit costs'!$N$35)/1000</f>
        <v>0</v>
      </c>
      <c r="Q97" s="289">
        <f>(I97*'Unit costs'!$N$35)/1000</f>
        <v>0</v>
      </c>
      <c r="R97" s="131"/>
      <c r="S97" s="131"/>
      <c r="T97" s="131"/>
      <c r="U97" s="131"/>
      <c r="V97" s="131"/>
      <c r="W97" s="131"/>
      <c r="X97" s="131"/>
      <c r="Y97" s="131"/>
      <c r="Z97" s="131"/>
      <c r="AJ97" s="283"/>
      <c r="AK97" s="283"/>
      <c r="AL97" s="283"/>
      <c r="AM97" s="283"/>
      <c r="AN97" s="283"/>
    </row>
    <row r="98" spans="1:40" hidden="1" x14ac:dyDescent="0.35">
      <c r="A98" s="326"/>
      <c r="B98" s="345"/>
      <c r="C98" s="147">
        <f>'Inputs and eligible population'!G87</f>
        <v>0</v>
      </c>
      <c r="D98" s="126">
        <f>'Financial impact (cash)'!D14*'Capacity (national prices)'!$C98</f>
        <v>0</v>
      </c>
      <c r="E98" s="126">
        <f>'Financial impact (cash)'!E14*'Capacity (national prices)'!$C98</f>
        <v>0</v>
      </c>
      <c r="F98" s="126">
        <f>'Financial impact (cash)'!F14*'Capacity (national prices)'!$C98</f>
        <v>0</v>
      </c>
      <c r="G98" s="126">
        <f>'Financial impact (cash)'!G14*'Capacity (national prices)'!$C98</f>
        <v>0</v>
      </c>
      <c r="H98" s="126">
        <f>'Financial impact (cash)'!H14*'Capacity (national prices)'!$C98</f>
        <v>0</v>
      </c>
      <c r="I98" s="126">
        <f>'Financial impact (cash)'!I14*'Capacity (national prices)'!$C98</f>
        <v>0</v>
      </c>
      <c r="J98" s="326"/>
      <c r="K98" s="289">
        <f>(C98*'Unit costs'!$N$29)/1000</f>
        <v>0</v>
      </c>
      <c r="L98" s="289">
        <f>(D98*'Unit costs'!$N$35)/1000</f>
        <v>0</v>
      </c>
      <c r="M98" s="289">
        <f>(E98*'Unit costs'!$N$35)/1000</f>
        <v>0</v>
      </c>
      <c r="N98" s="289">
        <f>(F98*'Unit costs'!$N$35)/1000</f>
        <v>0</v>
      </c>
      <c r="O98" s="289">
        <f>(G98*'Unit costs'!$N$35)/1000</f>
        <v>0</v>
      </c>
      <c r="P98" s="289">
        <f>(H98*'Unit costs'!$N$35)/1000</f>
        <v>0</v>
      </c>
      <c r="Q98" s="289">
        <f>(I98*'Unit costs'!$N$35)/1000</f>
        <v>0</v>
      </c>
      <c r="R98" s="131"/>
      <c r="S98" s="131"/>
      <c r="T98" s="131"/>
      <c r="U98" s="131"/>
      <c r="V98" s="131"/>
      <c r="W98" s="131"/>
      <c r="X98" s="131"/>
      <c r="Y98" s="131"/>
      <c r="Z98" s="131"/>
      <c r="AJ98" s="283"/>
      <c r="AK98" s="283"/>
      <c r="AL98" s="283"/>
      <c r="AM98" s="283"/>
      <c r="AN98" s="283"/>
    </row>
    <row r="99" spans="1:40" hidden="1" x14ac:dyDescent="0.35">
      <c r="A99" s="326"/>
      <c r="B99" s="345"/>
      <c r="C99" s="147">
        <f>'Inputs and eligible population'!H87</f>
        <v>0</v>
      </c>
      <c r="D99" s="126">
        <f>'Financial impact (cash)'!D15*'Capacity (national prices)'!$C99</f>
        <v>0</v>
      </c>
      <c r="E99" s="126">
        <f>'Financial impact (cash)'!E15*'Capacity (national prices)'!$C99</f>
        <v>0</v>
      </c>
      <c r="F99" s="126">
        <f>'Financial impact (cash)'!F15*'Capacity (national prices)'!$C99</f>
        <v>0</v>
      </c>
      <c r="G99" s="126">
        <f>'Financial impact (cash)'!G15*'Capacity (national prices)'!$C99</f>
        <v>0</v>
      </c>
      <c r="H99" s="126">
        <f>'Financial impact (cash)'!H15*'Capacity (national prices)'!$C99</f>
        <v>0</v>
      </c>
      <c r="I99" s="126">
        <f>'Financial impact (cash)'!I15*'Capacity (national prices)'!$C99</f>
        <v>0</v>
      </c>
      <c r="J99" s="326"/>
      <c r="K99" s="289">
        <f>(C99*'Unit costs'!$N$29)/1000</f>
        <v>0</v>
      </c>
      <c r="L99" s="289">
        <f>(D99*'Unit costs'!$N$35)/1000</f>
        <v>0</v>
      </c>
      <c r="M99" s="289">
        <f>(E99*'Unit costs'!$N$35)/1000</f>
        <v>0</v>
      </c>
      <c r="N99" s="289">
        <f>(F99*'Unit costs'!$N$35)/1000</f>
        <v>0</v>
      </c>
      <c r="O99" s="289">
        <f>(G99*'Unit costs'!$N$35)/1000</f>
        <v>0</v>
      </c>
      <c r="P99" s="289">
        <f>(H99*'Unit costs'!$N$35)/1000</f>
        <v>0</v>
      </c>
      <c r="Q99" s="289">
        <f>(I99*'Unit costs'!$N$35)/1000</f>
        <v>0</v>
      </c>
      <c r="R99" s="131"/>
      <c r="S99" s="131"/>
      <c r="T99" s="131"/>
      <c r="U99" s="131"/>
      <c r="V99" s="131"/>
      <c r="W99" s="131"/>
      <c r="X99" s="131"/>
      <c r="Y99" s="131"/>
      <c r="Z99" s="131"/>
      <c r="AJ99" s="283"/>
      <c r="AK99" s="283"/>
      <c r="AL99" s="283"/>
      <c r="AM99" s="283"/>
      <c r="AN99" s="283"/>
    </row>
    <row r="100" spans="1:40" hidden="1" x14ac:dyDescent="0.35">
      <c r="A100" s="326"/>
      <c r="B100" s="280"/>
      <c r="C100" s="205"/>
      <c r="D100" s="184">
        <f t="shared" ref="D100:I100" si="56">SUM(D97:D99)</f>
        <v>0</v>
      </c>
      <c r="E100" s="184">
        <f t="shared" si="56"/>
        <v>0</v>
      </c>
      <c r="F100" s="184">
        <f t="shared" si="56"/>
        <v>0</v>
      </c>
      <c r="G100" s="184">
        <f t="shared" si="56"/>
        <v>0</v>
      </c>
      <c r="H100" s="184">
        <f t="shared" si="56"/>
        <v>0</v>
      </c>
      <c r="I100" s="184">
        <f t="shared" si="56"/>
        <v>0</v>
      </c>
      <c r="J100" s="326"/>
      <c r="K100" s="290">
        <f>SUM(K97:K99)</f>
        <v>0</v>
      </c>
      <c r="L100" s="290">
        <f>SUM(L97:L99)</f>
        <v>0</v>
      </c>
      <c r="M100" s="290">
        <f t="shared" ref="M100:Q100" si="57">SUM(M97:M99)</f>
        <v>0</v>
      </c>
      <c r="N100" s="290">
        <f t="shared" si="57"/>
        <v>0</v>
      </c>
      <c r="O100" s="290">
        <f t="shared" si="57"/>
        <v>0</v>
      </c>
      <c r="P100" s="290">
        <f t="shared" si="57"/>
        <v>0</v>
      </c>
      <c r="Q100" s="290">
        <f t="shared" si="57"/>
        <v>0</v>
      </c>
      <c r="R100" s="131"/>
      <c r="S100" s="131"/>
      <c r="T100" s="131"/>
      <c r="U100" s="131"/>
      <c r="V100" s="131"/>
      <c r="W100" s="131"/>
      <c r="X100" s="131"/>
      <c r="Y100" s="131"/>
      <c r="Z100" s="131"/>
      <c r="AJ100" s="283"/>
      <c r="AK100" s="283"/>
      <c r="AL100" s="283"/>
      <c r="AM100" s="283"/>
      <c r="AN100" s="283"/>
    </row>
    <row r="101" spans="1:40" hidden="1" x14ac:dyDescent="0.35">
      <c r="A101" s="326"/>
      <c r="B101" s="305"/>
      <c r="C101" s="254"/>
      <c r="D101" s="282" t="s">
        <v>964</v>
      </c>
      <c r="E101" s="184">
        <f>E100-$D$100</f>
        <v>0</v>
      </c>
      <c r="F101" s="184">
        <f>F100-$D$100</f>
        <v>0</v>
      </c>
      <c r="G101" s="184">
        <f>G100-$D$100</f>
        <v>0</v>
      </c>
      <c r="H101" s="184">
        <f>H100-$D$100</f>
        <v>0</v>
      </c>
      <c r="I101" s="184">
        <f>I100-$D$100</f>
        <v>0</v>
      </c>
      <c r="J101" s="326"/>
      <c r="K101" s="326"/>
      <c r="L101" s="537"/>
      <c r="M101" s="290">
        <f>M100-$L$100</f>
        <v>0</v>
      </c>
      <c r="N101" s="290">
        <f t="shared" ref="N101:Q101" si="58">N100-$L$100</f>
        <v>0</v>
      </c>
      <c r="O101" s="290">
        <f t="shared" si="58"/>
        <v>0</v>
      </c>
      <c r="P101" s="290">
        <f t="shared" si="58"/>
        <v>0</v>
      </c>
      <c r="Q101" s="290">
        <f t="shared" si="58"/>
        <v>0</v>
      </c>
      <c r="V101" s="131"/>
    </row>
    <row r="102" spans="1:40" hidden="1" x14ac:dyDescent="0.35">
      <c r="A102" s="326"/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6"/>
      <c r="P102" s="326"/>
      <c r="Q102" s="326"/>
      <c r="V102" s="131"/>
    </row>
    <row r="103" spans="1:40" x14ac:dyDescent="0.35">
      <c r="A103" s="287"/>
      <c r="B103" s="323" t="s">
        <v>965</v>
      </c>
      <c r="C103" s="307"/>
      <c r="D103" s="308"/>
      <c r="E103" s="309"/>
      <c r="F103" s="310"/>
      <c r="G103" s="310"/>
      <c r="H103" s="310"/>
      <c r="I103" s="432"/>
      <c r="J103" s="287"/>
      <c r="K103" s="287"/>
      <c r="L103" s="287"/>
      <c r="M103" s="287"/>
      <c r="N103" s="287"/>
      <c r="O103" s="287"/>
      <c r="P103" s="287"/>
      <c r="Q103" s="219"/>
      <c r="R103" s="131"/>
      <c r="S103" s="131"/>
      <c r="T103" s="131"/>
      <c r="U103" s="131"/>
      <c r="V103" s="131"/>
      <c r="W103" s="131"/>
      <c r="X103" s="131"/>
      <c r="Y103" s="131"/>
      <c r="Z103" s="131"/>
      <c r="AJ103" s="283"/>
      <c r="AK103" s="283"/>
      <c r="AL103" s="283"/>
      <c r="AM103" s="283"/>
      <c r="AN103" s="283"/>
    </row>
    <row r="104" spans="1:40" x14ac:dyDescent="0.35">
      <c r="A104" s="287"/>
      <c r="B104" s="394" t="s">
        <v>769</v>
      </c>
      <c r="C104" s="395"/>
      <c r="D104" s="395"/>
      <c r="E104" s="395"/>
      <c r="F104" s="395"/>
      <c r="G104" s="395"/>
      <c r="H104" s="395"/>
      <c r="I104" s="218"/>
      <c r="J104" s="219"/>
      <c r="K104" s="287"/>
      <c r="L104" s="287"/>
      <c r="M104" s="287"/>
      <c r="N104" s="287"/>
      <c r="O104" s="287"/>
      <c r="P104" s="287"/>
      <c r="Q104" s="219"/>
      <c r="R104" s="131"/>
      <c r="S104" s="131"/>
      <c r="T104" s="131"/>
      <c r="U104" s="131"/>
      <c r="V104" s="131"/>
      <c r="W104" s="131"/>
      <c r="X104" s="131"/>
      <c r="Y104" s="131"/>
      <c r="Z104" s="131"/>
      <c r="AJ104" s="283"/>
      <c r="AK104" s="283"/>
      <c r="AL104" s="283"/>
      <c r="AM104" s="283"/>
      <c r="AN104" s="283"/>
    </row>
    <row r="105" spans="1:40" ht="43.5" x14ac:dyDescent="0.35">
      <c r="A105" s="287"/>
      <c r="B105" s="276" t="s">
        <v>826</v>
      </c>
      <c r="C105" s="164" t="s">
        <v>769</v>
      </c>
      <c r="D105" s="770" t="s">
        <v>926</v>
      </c>
      <c r="E105" s="253" t="s">
        <v>698</v>
      </c>
      <c r="F105" s="253" t="s">
        <v>699</v>
      </c>
      <c r="G105" s="163" t="s">
        <v>881</v>
      </c>
      <c r="H105" s="163" t="s">
        <v>882</v>
      </c>
      <c r="I105" s="253" t="s">
        <v>883</v>
      </c>
      <c r="J105" s="287"/>
      <c r="K105" s="287"/>
      <c r="L105" s="287"/>
      <c r="M105" s="287"/>
      <c r="N105" s="287"/>
      <c r="O105" s="287"/>
      <c r="P105" s="287"/>
      <c r="Q105" s="219"/>
      <c r="R105" s="131"/>
      <c r="S105" s="131"/>
      <c r="T105" s="131"/>
      <c r="U105" s="131"/>
      <c r="V105" s="131"/>
      <c r="W105" s="131"/>
      <c r="X105" s="131"/>
      <c r="Y105" s="131"/>
      <c r="Z105" s="131"/>
      <c r="AJ105" s="283"/>
      <c r="AK105" s="283"/>
      <c r="AL105" s="283"/>
      <c r="AM105" s="283"/>
      <c r="AN105" s="283"/>
    </row>
    <row r="106" spans="1:40" x14ac:dyDescent="0.35">
      <c r="A106" s="287"/>
      <c r="B106" s="345" t="s">
        <v>736</v>
      </c>
      <c r="C106" s="147">
        <f>'Inputs and eligible population'!F89</f>
        <v>12</v>
      </c>
      <c r="D106" s="126">
        <f>D$7*'Inputs and eligible population'!E66*'Capacity (national prices)'!$C106</f>
        <v>0</v>
      </c>
      <c r="E106" s="126">
        <f>E$7*'Inputs and eligible population'!F66*'Capacity (national prices)'!$C106</f>
        <v>716.048116224095</v>
      </c>
      <c r="F106" s="126">
        <f>F$7*'Inputs and eligible population'!G66*'Capacity (national prices)'!$C106</f>
        <v>1626.6422571651824</v>
      </c>
      <c r="G106" s="126">
        <f>G$7*'Inputs and eligible population'!H66*'Capacity (national prices)'!$C106</f>
        <v>1733.5663635448741</v>
      </c>
      <c r="H106" s="126">
        <f>H$7*'Inputs and eligible population'!I66*'Capacity (national prices)'!$C106</f>
        <v>1750.2810766481171</v>
      </c>
      <c r="I106" s="126">
        <f>I$7*'Inputs and eligible population'!J66*'Capacity (national prices)'!$C106</f>
        <v>1767.1569497969163</v>
      </c>
      <c r="J106" s="287"/>
      <c r="K106" s="287"/>
      <c r="L106" s="287"/>
      <c r="M106" s="287"/>
      <c r="N106" s="287"/>
      <c r="O106" s="287"/>
      <c r="P106" s="287"/>
      <c r="Q106" s="219"/>
      <c r="R106" s="131"/>
      <c r="S106" s="131"/>
      <c r="T106" s="131"/>
      <c r="U106" s="131"/>
      <c r="V106" s="131"/>
      <c r="W106" s="131"/>
      <c r="X106" s="131"/>
      <c r="Y106" s="131"/>
      <c r="Z106" s="131"/>
      <c r="AJ106" s="283"/>
      <c r="AK106" s="283"/>
      <c r="AL106" s="283"/>
      <c r="AM106" s="283"/>
      <c r="AN106" s="283"/>
    </row>
    <row r="107" spans="1:40" x14ac:dyDescent="0.35">
      <c r="A107" s="287"/>
      <c r="B107" s="345" t="s">
        <v>737</v>
      </c>
      <c r="C107" s="147">
        <f>'Inputs and eligible population'!G89</f>
        <v>12</v>
      </c>
      <c r="D107" s="126">
        <f>D$7*'Inputs and eligible population'!E67*'Capacity (national prices)'!$C107</f>
        <v>2659.5376855333802</v>
      </c>
      <c r="E107" s="126">
        <f>E$7*'Inputs and eligible population'!F67*'Capacity (national prices)'!$C107</f>
        <v>1969.1323196162612</v>
      </c>
      <c r="F107" s="126">
        <f>F$7*'Inputs and eligible population'!G67*'Capacity (national prices)'!$C107</f>
        <v>1807.3802857390915</v>
      </c>
      <c r="G107" s="126">
        <f>G$7*'Inputs and eligible population'!H67*'Capacity (national prices)'!$C107</f>
        <v>1733.5663635448741</v>
      </c>
      <c r="H107" s="126">
        <f>H$7*'Inputs and eligible population'!I67*'Capacity (national prices)'!$C107</f>
        <v>1750.2810766481171</v>
      </c>
      <c r="I107" s="126">
        <f>I$7*'Inputs and eligible population'!J67*'Capacity (national prices)'!$C107</f>
        <v>1767.1569497969163</v>
      </c>
      <c r="J107" s="287"/>
      <c r="K107" s="287"/>
      <c r="L107" s="287"/>
      <c r="M107" s="287"/>
      <c r="N107" s="287"/>
      <c r="O107" s="287"/>
      <c r="P107" s="287"/>
      <c r="Q107" s="219"/>
      <c r="R107" s="131"/>
      <c r="S107" s="131"/>
      <c r="T107" s="131"/>
      <c r="U107" s="131"/>
      <c r="V107" s="131"/>
      <c r="W107" s="131"/>
      <c r="X107" s="131"/>
      <c r="Y107" s="131"/>
      <c r="Z107" s="131"/>
      <c r="AJ107" s="283"/>
      <c r="AK107" s="283"/>
      <c r="AL107" s="283"/>
      <c r="AM107" s="283"/>
      <c r="AN107" s="283"/>
    </row>
    <row r="108" spans="1:40" x14ac:dyDescent="0.35">
      <c r="A108" s="287"/>
      <c r="B108" s="345" t="s">
        <v>738</v>
      </c>
      <c r="C108" s="147">
        <f>'Inputs and eligible population'!H89</f>
        <v>12</v>
      </c>
      <c r="D108" s="126">
        <f>D$7*'Inputs and eligible population'!E68*'Capacity (national prices)'!$C108</f>
        <v>886.51256184446004</v>
      </c>
      <c r="E108" s="126">
        <f>E$7*'Inputs and eligible population'!F68*'Capacity (national prices)'!$C108</f>
        <v>895.0601452801186</v>
      </c>
      <c r="F108" s="126">
        <f>F$7*'Inputs and eligible population'!G68*'Capacity (national prices)'!$C108</f>
        <v>180.73802857390916</v>
      </c>
      <c r="G108" s="126">
        <f>G$7*'Inputs and eligible population'!H68*'Capacity (national prices)'!$C108</f>
        <v>182.4806698468289</v>
      </c>
      <c r="H108" s="126">
        <f>H$7*'Inputs and eligible population'!I68*'Capacity (national prices)'!$C108</f>
        <v>184.24011333138077</v>
      </c>
      <c r="I108" s="126">
        <f>I$7*'Inputs and eligible population'!J68*'Capacity (national prices)'!$C108</f>
        <v>186.01652103125434</v>
      </c>
      <c r="J108" s="287"/>
      <c r="K108" s="287"/>
      <c r="L108" s="287"/>
      <c r="M108" s="287"/>
      <c r="N108" s="287"/>
      <c r="O108" s="287"/>
      <c r="P108" s="287"/>
      <c r="Q108" s="219"/>
      <c r="R108" s="131"/>
      <c r="S108" s="131"/>
      <c r="T108" s="131"/>
      <c r="U108" s="131"/>
      <c r="V108" s="131"/>
      <c r="W108" s="131"/>
      <c r="X108" s="131"/>
      <c r="Y108" s="131"/>
      <c r="Z108" s="131"/>
      <c r="AJ108" s="283"/>
      <c r="AK108" s="283"/>
      <c r="AL108" s="283"/>
      <c r="AM108" s="283"/>
      <c r="AN108" s="283"/>
    </row>
    <row r="109" spans="1:40" x14ac:dyDescent="0.35">
      <c r="A109" s="287"/>
      <c r="B109" s="280"/>
      <c r="C109" s="205"/>
      <c r="D109" s="184">
        <f>SUM(D106:D108)</f>
        <v>3546.0502473778402</v>
      </c>
      <c r="E109" s="184">
        <f t="shared" ref="E109:I109" si="59">SUM(E106:E108)</f>
        <v>3580.2405811204744</v>
      </c>
      <c r="F109" s="184">
        <f t="shared" si="59"/>
        <v>3614.760571478183</v>
      </c>
      <c r="G109" s="184">
        <f t="shared" si="59"/>
        <v>3649.6133969365769</v>
      </c>
      <c r="H109" s="184">
        <f t="shared" si="59"/>
        <v>3684.8022666276147</v>
      </c>
      <c r="I109" s="184">
        <f t="shared" si="59"/>
        <v>3720.3304206250868</v>
      </c>
      <c r="J109" s="287"/>
      <c r="K109" s="287"/>
      <c r="L109" s="287"/>
      <c r="M109" s="287"/>
      <c r="N109" s="287"/>
      <c r="O109" s="287"/>
      <c r="P109" s="287"/>
      <c r="Q109" s="219"/>
      <c r="R109" s="131"/>
      <c r="S109" s="131"/>
      <c r="T109" s="131"/>
      <c r="U109" s="131"/>
      <c r="V109" s="131"/>
      <c r="W109" s="131"/>
      <c r="X109" s="131"/>
      <c r="Y109" s="131"/>
      <c r="Z109" s="131"/>
      <c r="AJ109" s="283"/>
      <c r="AK109" s="283"/>
      <c r="AL109" s="283"/>
      <c r="AM109" s="283"/>
      <c r="AN109" s="283"/>
    </row>
    <row r="110" spans="1:40" x14ac:dyDescent="0.35">
      <c r="A110" s="287"/>
      <c r="B110" s="305"/>
      <c r="C110" s="254"/>
      <c r="D110" s="282" t="s">
        <v>917</v>
      </c>
      <c r="E110" s="184">
        <f>E109-$D$109</f>
        <v>34.190333742634266</v>
      </c>
      <c r="F110" s="184">
        <f>F109-$D$109</f>
        <v>68.710324100342859</v>
      </c>
      <c r="G110" s="184">
        <f>G109-$D$109</f>
        <v>103.56314955873677</v>
      </c>
      <c r="H110" s="184">
        <f>H109-$D$109</f>
        <v>138.75201924977455</v>
      </c>
      <c r="I110" s="184">
        <f>I109-$D$109</f>
        <v>174.28017324724669</v>
      </c>
      <c r="J110" s="287"/>
      <c r="K110" s="287"/>
      <c r="L110" s="287"/>
      <c r="M110" s="287"/>
      <c r="N110" s="287"/>
      <c r="O110" s="287"/>
      <c r="P110" s="287"/>
      <c r="Q110" s="219"/>
      <c r="V110" s="131"/>
    </row>
    <row r="111" spans="1:40" x14ac:dyDescent="0.35">
      <c r="A111" s="287"/>
      <c r="B111" s="324"/>
      <c r="C111" s="219"/>
      <c r="D111" s="219"/>
      <c r="E111" s="219"/>
      <c r="F111" s="219"/>
      <c r="G111" s="219"/>
      <c r="H111" s="219"/>
      <c r="I111" s="219"/>
      <c r="J111" s="287"/>
      <c r="K111" s="287"/>
      <c r="L111" s="219"/>
      <c r="M111" s="219"/>
      <c r="N111" s="219"/>
      <c r="O111" s="219"/>
      <c r="P111" s="219"/>
      <c r="Q111" s="219"/>
      <c r="V111" s="131"/>
    </row>
    <row r="112" spans="1:40" hidden="1" x14ac:dyDescent="0.35">
      <c r="A112" s="287"/>
      <c r="B112" s="394" t="s">
        <v>966</v>
      </c>
      <c r="C112" s="395"/>
      <c r="D112" s="395"/>
      <c r="E112" s="395"/>
      <c r="F112" s="395"/>
      <c r="G112" s="395"/>
      <c r="H112" s="395"/>
      <c r="I112" s="218"/>
      <c r="J112" s="287"/>
      <c r="K112" s="287"/>
      <c r="L112" s="219"/>
      <c r="M112" s="219"/>
      <c r="N112" s="219"/>
      <c r="O112" s="219"/>
      <c r="P112" s="219"/>
      <c r="Q112" s="219"/>
      <c r="R112" s="131"/>
      <c r="S112" s="131"/>
      <c r="T112" s="131"/>
      <c r="U112" s="131"/>
      <c r="V112" s="131"/>
      <c r="W112" s="131"/>
      <c r="X112" s="131"/>
      <c r="Y112" s="131"/>
      <c r="Z112" s="131"/>
      <c r="AJ112" s="283"/>
      <c r="AK112" s="283"/>
      <c r="AL112" s="283"/>
      <c r="AM112" s="283"/>
      <c r="AN112" s="283"/>
    </row>
    <row r="113" spans="1:40" ht="43.5" hidden="1" x14ac:dyDescent="0.35">
      <c r="A113" s="287"/>
      <c r="B113" s="276" t="s">
        <v>826</v>
      </c>
      <c r="C113" s="164" t="s">
        <v>967</v>
      </c>
      <c r="D113" s="770" t="s">
        <v>926</v>
      </c>
      <c r="E113" s="253" t="s">
        <v>698</v>
      </c>
      <c r="F113" s="253" t="s">
        <v>699</v>
      </c>
      <c r="G113" s="163" t="s">
        <v>881</v>
      </c>
      <c r="H113" s="163" t="s">
        <v>882</v>
      </c>
      <c r="I113" s="253" t="s">
        <v>883</v>
      </c>
      <c r="J113" s="287"/>
      <c r="K113" s="287"/>
      <c r="L113" s="219"/>
      <c r="M113" s="219"/>
      <c r="N113" s="219"/>
      <c r="O113" s="219"/>
      <c r="P113" s="219"/>
      <c r="Q113" s="219"/>
      <c r="R113" s="131"/>
      <c r="S113" s="131"/>
      <c r="T113" s="131"/>
      <c r="U113" s="131"/>
      <c r="V113" s="131"/>
      <c r="W113" s="131"/>
      <c r="X113" s="131"/>
      <c r="Y113" s="131"/>
      <c r="Z113" s="131"/>
      <c r="AJ113" s="283"/>
      <c r="AK113" s="283"/>
      <c r="AL113" s="283"/>
      <c r="AM113" s="283"/>
      <c r="AN113" s="283"/>
    </row>
    <row r="114" spans="1:40" hidden="1" x14ac:dyDescent="0.35">
      <c r="A114" s="287"/>
      <c r="B114" s="345"/>
      <c r="C114" s="147">
        <f>'Inputs and eligible population'!F91</f>
        <v>0</v>
      </c>
      <c r="D114" s="126">
        <f>D$7*'Inputs and eligible population'!E66*'Capacity (national prices)'!$C114</f>
        <v>0</v>
      </c>
      <c r="E114" s="126">
        <f>E$7*'Inputs and eligible population'!F66*'Capacity (national prices)'!$C114</f>
        <v>0</v>
      </c>
      <c r="F114" s="126">
        <f>F$7*'Inputs and eligible population'!G66*'Capacity (national prices)'!$C114</f>
        <v>0</v>
      </c>
      <c r="G114" s="126">
        <f>G$7*'Inputs and eligible population'!H66*'Capacity (national prices)'!$C114</f>
        <v>0</v>
      </c>
      <c r="H114" s="126">
        <f>H$7*'Inputs and eligible population'!I66*'Capacity (national prices)'!$C114</f>
        <v>0</v>
      </c>
      <c r="I114" s="126">
        <f>I$7*'Inputs and eligible population'!J66*'Capacity (national prices)'!$C114</f>
        <v>0</v>
      </c>
      <c r="J114" s="287"/>
      <c r="K114" s="287"/>
      <c r="L114" s="219"/>
      <c r="M114" s="219"/>
      <c r="N114" s="219"/>
      <c r="O114" s="219"/>
      <c r="P114" s="219"/>
      <c r="Q114" s="219"/>
      <c r="R114" s="131"/>
      <c r="S114" s="131"/>
      <c r="T114" s="131"/>
      <c r="U114" s="131"/>
      <c r="V114" s="131"/>
      <c r="W114" s="131"/>
      <c r="X114" s="131"/>
      <c r="Y114" s="131"/>
      <c r="Z114" s="131"/>
      <c r="AJ114" s="283"/>
      <c r="AK114" s="283"/>
      <c r="AL114" s="283"/>
      <c r="AM114" s="283"/>
      <c r="AN114" s="283"/>
    </row>
    <row r="115" spans="1:40" hidden="1" x14ac:dyDescent="0.35">
      <c r="A115" s="287"/>
      <c r="B115" s="345"/>
      <c r="C115" s="147">
        <f>'Inputs and eligible population'!G91</f>
        <v>0</v>
      </c>
      <c r="D115" s="126">
        <f>D$7*'Inputs and eligible population'!E67*'Capacity (national prices)'!$C115</f>
        <v>0</v>
      </c>
      <c r="E115" s="126">
        <f>E$7*'Inputs and eligible population'!F67*'Capacity (national prices)'!$C115</f>
        <v>0</v>
      </c>
      <c r="F115" s="126">
        <f>F$7*'Inputs and eligible population'!G67*'Capacity (national prices)'!$C115</f>
        <v>0</v>
      </c>
      <c r="G115" s="126">
        <f>G$7*'Inputs and eligible population'!H67*'Capacity (national prices)'!$C115</f>
        <v>0</v>
      </c>
      <c r="H115" s="126">
        <f>H$7*'Inputs and eligible population'!I67*'Capacity (national prices)'!$C115</f>
        <v>0</v>
      </c>
      <c r="I115" s="126">
        <f>I$7*'Inputs and eligible population'!J67*'Capacity (national prices)'!$C115</f>
        <v>0</v>
      </c>
      <c r="J115" s="287"/>
      <c r="K115" s="287"/>
      <c r="L115" s="219"/>
      <c r="M115" s="219"/>
      <c r="N115" s="219"/>
      <c r="O115" s="219"/>
      <c r="P115" s="219"/>
      <c r="Q115" s="219"/>
      <c r="R115" s="131"/>
      <c r="S115" s="131"/>
      <c r="T115" s="131"/>
      <c r="U115" s="131"/>
      <c r="V115" s="131"/>
      <c r="W115" s="131"/>
      <c r="X115" s="131"/>
      <c r="Y115" s="131"/>
      <c r="Z115" s="131"/>
      <c r="AJ115" s="283"/>
      <c r="AK115" s="283"/>
      <c r="AL115" s="283"/>
      <c r="AM115" s="283"/>
      <c r="AN115" s="283"/>
    </row>
    <row r="116" spans="1:40" hidden="1" x14ac:dyDescent="0.35">
      <c r="A116" s="287"/>
      <c r="B116" s="345"/>
      <c r="C116" s="147">
        <f>'Inputs and eligible population'!H91</f>
        <v>0</v>
      </c>
      <c r="D116" s="126">
        <f>D$7*'Inputs and eligible population'!E68*'Capacity (national prices)'!$C116</f>
        <v>0</v>
      </c>
      <c r="E116" s="126">
        <f>E$7*'Inputs and eligible population'!F68*'Capacity (national prices)'!$C116</f>
        <v>0</v>
      </c>
      <c r="F116" s="126">
        <f>F$7*'Inputs and eligible population'!G68*'Capacity (national prices)'!$C116</f>
        <v>0</v>
      </c>
      <c r="G116" s="126">
        <f>G$7*'Inputs and eligible population'!H68*'Capacity (national prices)'!$C116</f>
        <v>0</v>
      </c>
      <c r="H116" s="126">
        <f>H$7*'Inputs and eligible population'!I68*'Capacity (national prices)'!$C116</f>
        <v>0</v>
      </c>
      <c r="I116" s="126">
        <f>I$7*'Inputs and eligible population'!J68*'Capacity (national prices)'!$C116</f>
        <v>0</v>
      </c>
      <c r="J116" s="287"/>
      <c r="K116" s="287"/>
      <c r="L116" s="219"/>
      <c r="M116" s="219"/>
      <c r="N116" s="219"/>
      <c r="O116" s="219"/>
      <c r="P116" s="219"/>
      <c r="Q116" s="219"/>
      <c r="R116" s="131"/>
      <c r="S116" s="131"/>
      <c r="T116" s="131"/>
      <c r="U116" s="131"/>
      <c r="V116" s="131"/>
      <c r="W116" s="131"/>
      <c r="X116" s="131"/>
      <c r="Y116" s="131"/>
      <c r="Z116" s="131"/>
      <c r="AJ116" s="283"/>
      <c r="AK116" s="283"/>
      <c r="AL116" s="283"/>
      <c r="AM116" s="283"/>
      <c r="AN116" s="283"/>
    </row>
    <row r="117" spans="1:40" hidden="1" x14ac:dyDescent="0.35">
      <c r="A117" s="287"/>
      <c r="B117" s="280"/>
      <c r="C117" s="205"/>
      <c r="D117" s="184">
        <f t="shared" ref="D117:I117" si="60">SUM(D114:D116)</f>
        <v>0</v>
      </c>
      <c r="E117" s="184">
        <f t="shared" si="60"/>
        <v>0</v>
      </c>
      <c r="F117" s="184">
        <f t="shared" si="60"/>
        <v>0</v>
      </c>
      <c r="G117" s="184">
        <f t="shared" si="60"/>
        <v>0</v>
      </c>
      <c r="H117" s="184">
        <f t="shared" si="60"/>
        <v>0</v>
      </c>
      <c r="I117" s="184">
        <f t="shared" si="60"/>
        <v>0</v>
      </c>
      <c r="J117" s="287"/>
      <c r="K117" s="287"/>
      <c r="L117" s="219"/>
      <c r="M117" s="219"/>
      <c r="N117" s="219"/>
      <c r="O117" s="219"/>
      <c r="P117" s="219"/>
      <c r="Q117" s="219"/>
      <c r="R117" s="131"/>
      <c r="S117" s="131"/>
      <c r="T117" s="131"/>
      <c r="U117" s="131"/>
      <c r="V117" s="131"/>
      <c r="W117" s="131"/>
      <c r="X117" s="131"/>
      <c r="Y117" s="131"/>
      <c r="Z117" s="131"/>
      <c r="AJ117" s="283"/>
      <c r="AK117" s="283"/>
      <c r="AL117" s="283"/>
      <c r="AM117" s="283"/>
      <c r="AN117" s="283"/>
    </row>
    <row r="118" spans="1:40" hidden="1" x14ac:dyDescent="0.35">
      <c r="A118" s="287"/>
      <c r="B118" s="305"/>
      <c r="C118" s="254"/>
      <c r="D118" s="282" t="s">
        <v>918</v>
      </c>
      <c r="E118" s="184">
        <f>E117-$D$117</f>
        <v>0</v>
      </c>
      <c r="F118" s="184">
        <f>F117-$D$117</f>
        <v>0</v>
      </c>
      <c r="G118" s="184">
        <f>G117-$D$117</f>
        <v>0</v>
      </c>
      <c r="H118" s="184">
        <f>H117-$D$117</f>
        <v>0</v>
      </c>
      <c r="I118" s="184">
        <f>I117-$D$117</f>
        <v>0</v>
      </c>
      <c r="J118" s="287"/>
      <c r="K118" s="287"/>
      <c r="L118" s="219"/>
      <c r="M118" s="219"/>
      <c r="N118" s="219"/>
      <c r="O118" s="219"/>
      <c r="P118" s="219"/>
      <c r="Q118" s="219"/>
      <c r="V118" s="131"/>
    </row>
    <row r="119" spans="1:40" hidden="1" x14ac:dyDescent="0.35">
      <c r="A119" s="287"/>
      <c r="B119" s="324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V119" s="131"/>
    </row>
    <row r="120" spans="1:40" hidden="1" x14ac:dyDescent="0.35">
      <c r="A120" s="287"/>
      <c r="B120" s="394" t="s">
        <v>968</v>
      </c>
      <c r="C120" s="395"/>
      <c r="D120" s="395"/>
      <c r="E120" s="395"/>
      <c r="F120" s="395"/>
      <c r="G120" s="395"/>
      <c r="H120" s="395"/>
      <c r="I120" s="218"/>
      <c r="J120" s="219"/>
      <c r="K120" s="219"/>
      <c r="L120" s="219"/>
      <c r="M120" s="219"/>
      <c r="N120" s="219"/>
      <c r="O120" s="219"/>
      <c r="P120" s="219"/>
      <c r="Q120" s="219"/>
      <c r="R120" s="131"/>
      <c r="S120" s="131"/>
      <c r="T120" s="131"/>
      <c r="U120" s="131"/>
      <c r="V120" s="131"/>
      <c r="W120" s="131"/>
      <c r="X120" s="131"/>
      <c r="Y120" s="131"/>
      <c r="Z120" s="131"/>
      <c r="AJ120" s="283"/>
      <c r="AK120" s="283"/>
      <c r="AL120" s="283"/>
      <c r="AM120" s="283"/>
      <c r="AN120" s="283"/>
    </row>
    <row r="121" spans="1:40" ht="43.5" hidden="1" x14ac:dyDescent="0.35">
      <c r="A121" s="287"/>
      <c r="B121" s="276" t="s">
        <v>826</v>
      </c>
      <c r="C121" s="164" t="s">
        <v>968</v>
      </c>
      <c r="D121" s="770" t="s">
        <v>926</v>
      </c>
      <c r="E121" s="253" t="s">
        <v>698</v>
      </c>
      <c r="F121" s="253" t="s">
        <v>699</v>
      </c>
      <c r="G121" s="163" t="s">
        <v>881</v>
      </c>
      <c r="H121" s="163" t="s">
        <v>882</v>
      </c>
      <c r="I121" s="253" t="s">
        <v>883</v>
      </c>
      <c r="J121" s="287"/>
      <c r="K121" s="287"/>
      <c r="L121" s="219"/>
      <c r="M121" s="219"/>
      <c r="N121" s="219"/>
      <c r="O121" s="219"/>
      <c r="P121" s="219"/>
      <c r="Q121" s="219"/>
      <c r="R121" s="131"/>
      <c r="S121" s="131"/>
      <c r="T121" s="131"/>
      <c r="U121" s="131"/>
      <c r="V121" s="131"/>
      <c r="W121" s="131"/>
      <c r="X121" s="131"/>
      <c r="Y121" s="131"/>
      <c r="Z121" s="131"/>
      <c r="AJ121" s="283"/>
      <c r="AK121" s="283"/>
      <c r="AL121" s="283"/>
      <c r="AM121" s="283"/>
      <c r="AN121" s="283"/>
    </row>
    <row r="122" spans="1:40" hidden="1" x14ac:dyDescent="0.35">
      <c r="A122" s="287"/>
      <c r="B122" s="345"/>
      <c r="C122" s="147">
        <f>'Inputs and eligible population'!F93</f>
        <v>0</v>
      </c>
      <c r="D122" s="126">
        <f>'Financial impact (cash)'!D13*'Capacity (national prices)'!$C122</f>
        <v>0</v>
      </c>
      <c r="E122" s="126">
        <f>'Financial impact (cash)'!E13*'Capacity (national prices)'!$C122</f>
        <v>0</v>
      </c>
      <c r="F122" s="126">
        <f>'Financial impact (cash)'!F13*'Capacity (national prices)'!$C122</f>
        <v>0</v>
      </c>
      <c r="G122" s="126">
        <f>'Financial impact (cash)'!G13*'Capacity (national prices)'!$C122</f>
        <v>0</v>
      </c>
      <c r="H122" s="126">
        <f>'Financial impact (cash)'!H13*'Capacity (national prices)'!$C122</f>
        <v>0</v>
      </c>
      <c r="I122" s="126">
        <f>'Financial impact (cash)'!I13*'Capacity (national prices)'!$C122</f>
        <v>0</v>
      </c>
      <c r="J122" s="287"/>
      <c r="K122" s="287"/>
      <c r="L122" s="219"/>
      <c r="M122" s="219"/>
      <c r="N122" s="219"/>
      <c r="O122" s="219"/>
      <c r="P122" s="219"/>
      <c r="Q122" s="219"/>
      <c r="R122" s="131"/>
      <c r="S122" s="131"/>
      <c r="T122" s="131"/>
      <c r="U122" s="131"/>
      <c r="V122" s="131"/>
      <c r="W122" s="131"/>
      <c r="X122" s="131"/>
      <c r="Y122" s="131"/>
      <c r="Z122" s="131"/>
      <c r="AJ122" s="283"/>
      <c r="AK122" s="283"/>
      <c r="AL122" s="283"/>
      <c r="AM122" s="283"/>
      <c r="AN122" s="283"/>
    </row>
    <row r="123" spans="1:40" hidden="1" x14ac:dyDescent="0.35">
      <c r="A123" s="287"/>
      <c r="B123" s="345"/>
      <c r="C123" s="147">
        <f>'Inputs and eligible population'!G93</f>
        <v>0</v>
      </c>
      <c r="D123" s="126">
        <f>'Financial impact (cash)'!D14*'Capacity (national prices)'!$C123</f>
        <v>0</v>
      </c>
      <c r="E123" s="126">
        <f>'Financial impact (cash)'!E14*'Capacity (national prices)'!$C123</f>
        <v>0</v>
      </c>
      <c r="F123" s="126">
        <f>'Financial impact (cash)'!F14*'Capacity (national prices)'!$C123</f>
        <v>0</v>
      </c>
      <c r="G123" s="126">
        <f>'Financial impact (cash)'!G14*'Capacity (national prices)'!$C123</f>
        <v>0</v>
      </c>
      <c r="H123" s="126">
        <f>'Financial impact (cash)'!H14*'Capacity (national prices)'!$C123</f>
        <v>0</v>
      </c>
      <c r="I123" s="126">
        <f>'Financial impact (cash)'!I14*'Capacity (national prices)'!$C123</f>
        <v>0</v>
      </c>
      <c r="J123" s="287"/>
      <c r="K123" s="287"/>
      <c r="L123" s="219"/>
      <c r="M123" s="219"/>
      <c r="N123" s="219"/>
      <c r="O123" s="219"/>
      <c r="P123" s="219"/>
      <c r="Q123" s="219"/>
      <c r="R123" s="131"/>
      <c r="S123" s="131"/>
      <c r="T123" s="131"/>
      <c r="U123" s="131"/>
      <c r="V123" s="131"/>
      <c r="W123" s="131"/>
      <c r="X123" s="131"/>
      <c r="Y123" s="131"/>
      <c r="Z123" s="131"/>
      <c r="AJ123" s="283"/>
      <c r="AK123" s="283"/>
      <c r="AL123" s="283"/>
      <c r="AM123" s="283"/>
      <c r="AN123" s="283"/>
    </row>
    <row r="124" spans="1:40" hidden="1" x14ac:dyDescent="0.35">
      <c r="A124" s="287"/>
      <c r="B124" s="345"/>
      <c r="C124" s="147">
        <f>'Inputs and eligible population'!H93</f>
        <v>0</v>
      </c>
      <c r="D124" s="126">
        <f>'Financial impact (cash)'!D15*'Capacity (national prices)'!$C124</f>
        <v>0</v>
      </c>
      <c r="E124" s="126">
        <f>'Financial impact (cash)'!E15*'Capacity (national prices)'!$C124</f>
        <v>0</v>
      </c>
      <c r="F124" s="126">
        <f>'Financial impact (cash)'!F15*'Capacity (national prices)'!$C124</f>
        <v>0</v>
      </c>
      <c r="G124" s="126">
        <f>'Financial impact (cash)'!G15*'Capacity (national prices)'!$C124</f>
        <v>0</v>
      </c>
      <c r="H124" s="126">
        <f>'Financial impact (cash)'!H15*'Capacity (national prices)'!$C124</f>
        <v>0</v>
      </c>
      <c r="I124" s="126">
        <f>'Financial impact (cash)'!I15*'Capacity (national prices)'!$C124</f>
        <v>0</v>
      </c>
      <c r="J124" s="287"/>
      <c r="K124" s="287"/>
      <c r="L124" s="219"/>
      <c r="M124" s="219"/>
      <c r="N124" s="219"/>
      <c r="O124" s="219"/>
      <c r="P124" s="219"/>
      <c r="Q124" s="219"/>
      <c r="R124" s="131"/>
      <c r="S124" s="131"/>
      <c r="T124" s="131"/>
      <c r="U124" s="131"/>
      <c r="V124" s="131"/>
      <c r="W124" s="131"/>
      <c r="X124" s="131"/>
      <c r="Y124" s="131"/>
      <c r="Z124" s="131"/>
      <c r="AJ124" s="283"/>
      <c r="AK124" s="283"/>
      <c r="AL124" s="283"/>
      <c r="AM124" s="283"/>
      <c r="AN124" s="283"/>
    </row>
    <row r="125" spans="1:40" hidden="1" x14ac:dyDescent="0.35">
      <c r="A125" s="287"/>
      <c r="B125" s="280"/>
      <c r="C125" s="205"/>
      <c r="D125" s="184">
        <f t="shared" ref="D125:I125" si="61">SUM(D122:D124)</f>
        <v>0</v>
      </c>
      <c r="E125" s="184">
        <f t="shared" si="61"/>
        <v>0</v>
      </c>
      <c r="F125" s="184">
        <f t="shared" si="61"/>
        <v>0</v>
      </c>
      <c r="G125" s="184">
        <f t="shared" si="61"/>
        <v>0</v>
      </c>
      <c r="H125" s="184">
        <f t="shared" si="61"/>
        <v>0</v>
      </c>
      <c r="I125" s="184">
        <f t="shared" si="61"/>
        <v>0</v>
      </c>
      <c r="J125" s="287"/>
      <c r="K125" s="287"/>
      <c r="L125" s="219"/>
      <c r="M125" s="219"/>
      <c r="N125" s="219"/>
      <c r="O125" s="219"/>
      <c r="P125" s="219"/>
      <c r="Q125" s="219"/>
      <c r="R125" s="131"/>
      <c r="S125" s="131"/>
      <c r="T125" s="131"/>
      <c r="U125" s="131"/>
      <c r="V125" s="131"/>
      <c r="W125" s="131"/>
      <c r="X125" s="131"/>
      <c r="Y125" s="131"/>
      <c r="Z125" s="131"/>
      <c r="AJ125" s="283"/>
      <c r="AK125" s="283"/>
      <c r="AL125" s="283"/>
      <c r="AM125" s="283"/>
      <c r="AN125" s="283"/>
    </row>
    <row r="126" spans="1:40" hidden="1" x14ac:dyDescent="0.35">
      <c r="A126" s="287"/>
      <c r="B126" s="305"/>
      <c r="C126" s="254"/>
      <c r="D126" s="282" t="s">
        <v>919</v>
      </c>
      <c r="E126" s="184">
        <f>E125-$D$125</f>
        <v>0</v>
      </c>
      <c r="F126" s="184">
        <f>F125-$D$125</f>
        <v>0</v>
      </c>
      <c r="G126" s="184">
        <f>G125-$D$125</f>
        <v>0</v>
      </c>
      <c r="H126" s="184">
        <f>H125-$D$125</f>
        <v>0</v>
      </c>
      <c r="I126" s="184">
        <f>I125-$D$125</f>
        <v>0</v>
      </c>
      <c r="J126" s="287"/>
      <c r="K126" s="287"/>
      <c r="L126" s="219"/>
      <c r="M126" s="219"/>
      <c r="N126" s="219"/>
      <c r="O126" s="219"/>
      <c r="P126" s="219"/>
      <c r="Q126" s="219"/>
      <c r="V126" s="131"/>
    </row>
    <row r="127" spans="1:40" hidden="1" x14ac:dyDescent="0.35">
      <c r="A127" s="287"/>
      <c r="B127" s="287"/>
      <c r="C127" s="219"/>
      <c r="D127" s="287"/>
      <c r="E127" s="287"/>
      <c r="F127" s="287"/>
      <c r="G127" s="287"/>
      <c r="H127" s="287"/>
      <c r="I127" s="219"/>
      <c r="J127" s="219"/>
      <c r="K127" s="219"/>
      <c r="L127" s="219"/>
      <c r="M127" s="219"/>
      <c r="N127" s="219"/>
      <c r="O127" s="219"/>
      <c r="P127" s="219"/>
      <c r="Q127" s="219"/>
      <c r="V127" s="131"/>
    </row>
    <row r="128" spans="1:40" hidden="1" x14ac:dyDescent="0.35">
      <c r="A128" s="287"/>
      <c r="B128" s="394" t="s">
        <v>969</v>
      </c>
      <c r="C128" s="395"/>
      <c r="D128" s="395"/>
      <c r="E128" s="395"/>
      <c r="F128" s="395"/>
      <c r="G128" s="395"/>
      <c r="H128" s="395"/>
      <c r="I128" s="218"/>
      <c r="J128" s="219"/>
      <c r="K128" s="219"/>
      <c r="L128" s="426"/>
      <c r="M128" s="426"/>
      <c r="N128" s="426"/>
      <c r="O128" s="426"/>
      <c r="P128" s="426"/>
      <c r="Q128" s="426"/>
      <c r="V128" s="131"/>
    </row>
    <row r="129" spans="1:40" ht="72.5" hidden="1" x14ac:dyDescent="0.35">
      <c r="A129" s="287"/>
      <c r="B129" s="276" t="s">
        <v>826</v>
      </c>
      <c r="C129" s="164" t="s">
        <v>970</v>
      </c>
      <c r="D129" s="770" t="s">
        <v>926</v>
      </c>
      <c r="E129" s="253" t="s">
        <v>698</v>
      </c>
      <c r="F129" s="253" t="s">
        <v>699</v>
      </c>
      <c r="G129" s="163" t="s">
        <v>881</v>
      </c>
      <c r="H129" s="163" t="s">
        <v>882</v>
      </c>
      <c r="I129" s="253" t="s">
        <v>883</v>
      </c>
      <c r="J129" s="287"/>
      <c r="K129" s="549" t="s">
        <v>972</v>
      </c>
      <c r="L129" s="770" t="s">
        <v>926</v>
      </c>
      <c r="M129" s="253" t="s">
        <v>698</v>
      </c>
      <c r="N129" s="253" t="s">
        <v>699</v>
      </c>
      <c r="O129" s="163" t="s">
        <v>881</v>
      </c>
      <c r="P129" s="163" t="s">
        <v>882</v>
      </c>
      <c r="Q129" s="253" t="s">
        <v>883</v>
      </c>
      <c r="V129" s="131"/>
    </row>
    <row r="130" spans="1:40" hidden="1" x14ac:dyDescent="0.35">
      <c r="A130" s="287"/>
      <c r="B130" s="345"/>
      <c r="C130" s="147">
        <f>'Inputs and eligible population'!F94</f>
        <v>0</v>
      </c>
      <c r="D130" s="126">
        <f>($C122*$C130*'Financial impact (cash)'!D13)/60</f>
        <v>0</v>
      </c>
      <c r="E130" s="126">
        <f>($C122*$C130*'Financial impact (cash)'!E13)/60</f>
        <v>0</v>
      </c>
      <c r="F130" s="126">
        <f>($C122*$C130*'Financial impact (cash)'!F13)/60</f>
        <v>0</v>
      </c>
      <c r="G130" s="126">
        <f>($C122*$C130*'Financial impact (cash)'!G13)/60</f>
        <v>0</v>
      </c>
      <c r="H130" s="126">
        <f>($C122*$C130*'Financial impact (cash)'!H13)/60</f>
        <v>0</v>
      </c>
      <c r="I130" s="126">
        <f>($C122*$C130*'Financial impact (cash)'!I13)/60</f>
        <v>0</v>
      </c>
      <c r="J130" s="287"/>
      <c r="K130" s="289">
        <f>(C130*'Unit costs'!$N$29)/1000</f>
        <v>0</v>
      </c>
      <c r="L130" s="289">
        <f>(D130*C130*'Inputs and eligible population'!$F$94/60*'Inputs and eligible population'!$K$94)/1000</f>
        <v>0</v>
      </c>
      <c r="M130" s="289">
        <f>(E130*D130*'Inputs and eligible population'!$F$94/60*'Inputs and eligible population'!$K$94)/1000</f>
        <v>0</v>
      </c>
      <c r="N130" s="289">
        <f>(F130*E130*'Inputs and eligible population'!$F$94/60*'Inputs and eligible population'!$K$94)/1000</f>
        <v>0</v>
      </c>
      <c r="O130" s="289">
        <f>(G130*F130*'Inputs and eligible population'!$F$94/60*'Inputs and eligible population'!$K$94)/1000</f>
        <v>0</v>
      </c>
      <c r="P130" s="289">
        <f>(H130*G130*'Inputs and eligible population'!$F$94/60*'Inputs and eligible population'!$K$94)/1000</f>
        <v>0</v>
      </c>
      <c r="Q130" s="289">
        <f>(I130*H130*'Inputs and eligible population'!$F$94/60*'Inputs and eligible population'!$K$94)/1000</f>
        <v>0</v>
      </c>
      <c r="V130" s="131"/>
    </row>
    <row r="131" spans="1:40" hidden="1" x14ac:dyDescent="0.35">
      <c r="A131" s="287"/>
      <c r="B131" s="345"/>
      <c r="C131" s="147">
        <f>'Inputs and eligible population'!G94</f>
        <v>0</v>
      </c>
      <c r="D131" s="126">
        <f>($C123*$C131*'Financial impact (cash)'!D14)/60</f>
        <v>0</v>
      </c>
      <c r="E131" s="126">
        <f>($C123*$C131*'Financial impact (cash)'!E14)/60</f>
        <v>0</v>
      </c>
      <c r="F131" s="126">
        <f>($C123*$C131*'Financial impact (cash)'!F14)/60</f>
        <v>0</v>
      </c>
      <c r="G131" s="126">
        <f>($C123*$C131*'Financial impact (cash)'!G14)/60</f>
        <v>0</v>
      </c>
      <c r="H131" s="126">
        <f>($C123*$C131*'Financial impact (cash)'!H14)/60</f>
        <v>0</v>
      </c>
      <c r="I131" s="126">
        <f>($C123*$C131*'Financial impact (cash)'!I14)/60</f>
        <v>0</v>
      </c>
      <c r="J131" s="287"/>
      <c r="K131" s="289">
        <f>(C131*'Unit costs'!$N$29)/1000</f>
        <v>0</v>
      </c>
      <c r="L131" s="289">
        <f>(D131*C131*'Inputs and eligible population'!$G$94/60*'Inputs and eligible population'!$K$94)/1000</f>
        <v>0</v>
      </c>
      <c r="M131" s="289">
        <f>(E131*D131*'Inputs and eligible population'!$G$94/60*'Inputs and eligible population'!$K$94)/1000</f>
        <v>0</v>
      </c>
      <c r="N131" s="289">
        <f>(F131*E131*'Inputs and eligible population'!$G$94/60*'Inputs and eligible population'!$K$94)/1000</f>
        <v>0</v>
      </c>
      <c r="O131" s="289">
        <f>(G131*F131*'Inputs and eligible population'!$G$94/60*'Inputs and eligible population'!$K$94)/1000</f>
        <v>0</v>
      </c>
      <c r="P131" s="289">
        <f>(H131*G131*'Inputs and eligible population'!$G$94/60*'Inputs and eligible population'!$K$94)/1000</f>
        <v>0</v>
      </c>
      <c r="Q131" s="289">
        <f>(I131*H131*'Inputs and eligible population'!$G$94/60*'Inputs and eligible population'!$K$94)/1000</f>
        <v>0</v>
      </c>
      <c r="V131" s="131"/>
    </row>
    <row r="132" spans="1:40" hidden="1" x14ac:dyDescent="0.35">
      <c r="A132" s="287"/>
      <c r="B132" s="345"/>
      <c r="C132" s="147">
        <f>'Inputs and eligible population'!H94</f>
        <v>0</v>
      </c>
      <c r="D132" s="126">
        <f>($C124*$C132*'Financial impact (cash)'!D15)/60</f>
        <v>0</v>
      </c>
      <c r="E132" s="126">
        <f>($C124*$C132*'Financial impact (cash)'!E15)/60</f>
        <v>0</v>
      </c>
      <c r="F132" s="126">
        <f>($C124*$C132*'Financial impact (cash)'!F15)/60</f>
        <v>0</v>
      </c>
      <c r="G132" s="126">
        <f>($C124*$C132*'Financial impact (cash)'!G15)/60</f>
        <v>0</v>
      </c>
      <c r="H132" s="126">
        <f>($C124*$C132*'Financial impact (cash)'!H15)/60</f>
        <v>0</v>
      </c>
      <c r="I132" s="126">
        <f>($C124*$C132*'Financial impact (cash)'!I15)/60</f>
        <v>0</v>
      </c>
      <c r="J132" s="287"/>
      <c r="K132" s="289">
        <f>(C132*'Unit costs'!$N$29)/1000</f>
        <v>0</v>
      </c>
      <c r="L132" s="289">
        <f>(D132*C132*'Inputs and eligible population'!$H$94/60*'Inputs and eligible population'!$K$94)/1000</f>
        <v>0</v>
      </c>
      <c r="M132" s="289">
        <f>(E132*D132*'Inputs and eligible population'!$H$94/60*'Inputs and eligible population'!$K$94)/1000</f>
        <v>0</v>
      </c>
      <c r="N132" s="289">
        <f>(F132*E132*'Inputs and eligible population'!$H$94/60*'Inputs and eligible population'!$K$94)/1000</f>
        <v>0</v>
      </c>
      <c r="O132" s="289">
        <f>(G132*F132*'Inputs and eligible population'!$H$94/60*'Inputs and eligible population'!$K$94)/1000</f>
        <v>0</v>
      </c>
      <c r="P132" s="289">
        <f>(H132*G132*'Inputs and eligible population'!$H$94/60*'Inputs and eligible population'!$K$94)/1000</f>
        <v>0</v>
      </c>
      <c r="Q132" s="289">
        <f>(I132*H132*'Inputs and eligible population'!$H$94/60*'Inputs and eligible population'!$K$94)/1000</f>
        <v>0</v>
      </c>
      <c r="V132" s="131"/>
    </row>
    <row r="133" spans="1:40" hidden="1" x14ac:dyDescent="0.35">
      <c r="A133" s="287"/>
      <c r="B133" s="280"/>
      <c r="C133" s="205"/>
      <c r="D133" s="184">
        <f t="shared" ref="D133:I133" si="62">SUM(D130:D132)</f>
        <v>0</v>
      </c>
      <c r="E133" s="184">
        <f t="shared" si="62"/>
        <v>0</v>
      </c>
      <c r="F133" s="184">
        <f t="shared" si="62"/>
        <v>0</v>
      </c>
      <c r="G133" s="184">
        <f t="shared" si="62"/>
        <v>0</v>
      </c>
      <c r="H133" s="184">
        <f t="shared" si="62"/>
        <v>0</v>
      </c>
      <c r="I133" s="184">
        <f t="shared" si="62"/>
        <v>0</v>
      </c>
      <c r="J133" s="287"/>
      <c r="K133" s="290">
        <f>SUM(K130:K132)</f>
        <v>0</v>
      </c>
      <c r="L133" s="290">
        <f>SUM(L130:L132)</f>
        <v>0</v>
      </c>
      <c r="M133" s="290">
        <f t="shared" ref="M133:Q133" si="63">SUM(M130:M132)</f>
        <v>0</v>
      </c>
      <c r="N133" s="290">
        <f t="shared" si="63"/>
        <v>0</v>
      </c>
      <c r="O133" s="290">
        <f t="shared" si="63"/>
        <v>0</v>
      </c>
      <c r="P133" s="290">
        <f t="shared" si="63"/>
        <v>0</v>
      </c>
      <c r="Q133" s="290">
        <f t="shared" si="63"/>
        <v>0</v>
      </c>
      <c r="V133" s="131"/>
    </row>
    <row r="134" spans="1:40" hidden="1" x14ac:dyDescent="0.35">
      <c r="A134" s="287"/>
      <c r="B134" s="305"/>
      <c r="C134" s="254"/>
      <c r="D134" s="282" t="s">
        <v>977</v>
      </c>
      <c r="E134" s="184">
        <f>E133-$D$133</f>
        <v>0</v>
      </c>
      <c r="F134" s="184">
        <f>F133-$D$133</f>
        <v>0</v>
      </c>
      <c r="G134" s="184">
        <f>G133-$D$133</f>
        <v>0</v>
      </c>
      <c r="H134" s="184">
        <f>H133-$D$133</f>
        <v>0</v>
      </c>
      <c r="I134" s="184">
        <f>I133-$D$133</f>
        <v>0</v>
      </c>
      <c r="J134" s="287"/>
      <c r="K134" s="287"/>
      <c r="L134" s="538"/>
      <c r="M134" s="290">
        <f>M133-$L$133</f>
        <v>0</v>
      </c>
      <c r="N134" s="290">
        <f t="shared" ref="N134:Q134" si="64">N133-$L$133</f>
        <v>0</v>
      </c>
      <c r="O134" s="290">
        <f t="shared" si="64"/>
        <v>0</v>
      </c>
      <c r="P134" s="290">
        <f t="shared" si="64"/>
        <v>0</v>
      </c>
      <c r="Q134" s="290">
        <f t="shared" si="64"/>
        <v>0</v>
      </c>
      <c r="V134" s="131"/>
    </row>
    <row r="135" spans="1:40" hidden="1" x14ac:dyDescent="0.35">
      <c r="A135" s="287"/>
      <c r="B135" s="287"/>
      <c r="C135" s="219"/>
      <c r="D135" s="287"/>
      <c r="E135" s="287"/>
      <c r="F135" s="287"/>
      <c r="G135" s="287"/>
      <c r="H135" s="287"/>
      <c r="I135" s="219"/>
      <c r="J135" s="219"/>
      <c r="K135" s="219"/>
      <c r="L135" s="219"/>
      <c r="M135" s="219"/>
      <c r="N135" s="219"/>
      <c r="O135" s="219"/>
      <c r="P135" s="219"/>
      <c r="Q135" s="219"/>
      <c r="V135" s="131"/>
    </row>
    <row r="136" spans="1:40" x14ac:dyDescent="0.35">
      <c r="A136" s="288"/>
      <c r="B136" s="325" t="s">
        <v>774</v>
      </c>
      <c r="C136" s="311"/>
      <c r="D136" s="312"/>
      <c r="E136" s="313"/>
      <c r="F136" s="314"/>
      <c r="G136" s="314"/>
      <c r="H136" s="314"/>
      <c r="I136" s="427"/>
      <c r="J136" s="435"/>
      <c r="K136" s="288"/>
      <c r="L136" s="288"/>
      <c r="M136" s="288"/>
      <c r="N136" s="288"/>
      <c r="O136" s="288"/>
      <c r="P136" s="288"/>
      <c r="Q136" s="288"/>
      <c r="R136" s="131"/>
      <c r="S136" s="131"/>
      <c r="T136" s="131"/>
      <c r="U136" s="131"/>
      <c r="V136" s="131"/>
      <c r="W136" s="131"/>
      <c r="X136" s="131"/>
      <c r="Y136" s="131"/>
      <c r="Z136" s="131"/>
      <c r="AJ136" s="283"/>
      <c r="AK136" s="283"/>
      <c r="AL136" s="283"/>
      <c r="AM136" s="283"/>
      <c r="AN136" s="283"/>
    </row>
    <row r="137" spans="1:40" x14ac:dyDescent="0.35">
      <c r="A137" s="288"/>
      <c r="B137" s="396" t="s">
        <v>971</v>
      </c>
      <c r="C137" s="397"/>
      <c r="D137" s="397"/>
      <c r="E137" s="397"/>
      <c r="F137" s="397"/>
      <c r="G137" s="397"/>
      <c r="H137" s="397"/>
      <c r="I137" s="220"/>
      <c r="J137" s="433"/>
      <c r="K137" s="433"/>
      <c r="L137" s="434"/>
      <c r="M137" s="434"/>
      <c r="N137" s="434"/>
      <c r="O137" s="434"/>
      <c r="P137" s="434"/>
      <c r="Q137" s="434"/>
      <c r="R137" s="131"/>
      <c r="S137" s="131"/>
      <c r="T137" s="131"/>
      <c r="U137" s="131"/>
      <c r="V137" s="131"/>
      <c r="W137" s="131"/>
      <c r="X137" s="131"/>
      <c r="Y137" s="131"/>
      <c r="Z137" s="131"/>
      <c r="AJ137" s="283"/>
      <c r="AK137" s="283"/>
      <c r="AL137" s="283"/>
      <c r="AM137" s="283"/>
      <c r="AN137" s="283"/>
    </row>
    <row r="138" spans="1:40" ht="43.5" x14ac:dyDescent="0.35">
      <c r="A138" s="288"/>
      <c r="B138" s="276" t="s">
        <v>826</v>
      </c>
      <c r="C138" s="206"/>
      <c r="D138" s="770" t="s">
        <v>926</v>
      </c>
      <c r="E138" s="253" t="s">
        <v>698</v>
      </c>
      <c r="F138" s="253" t="s">
        <v>699</v>
      </c>
      <c r="G138" s="163" t="s">
        <v>881</v>
      </c>
      <c r="H138" s="163" t="s">
        <v>882</v>
      </c>
      <c r="I138" s="253" t="s">
        <v>883</v>
      </c>
      <c r="J138" s="288"/>
      <c r="K138" s="549" t="s">
        <v>972</v>
      </c>
      <c r="L138" s="770" t="s">
        <v>926</v>
      </c>
      <c r="M138" s="253" t="s">
        <v>698</v>
      </c>
      <c r="N138" s="253" t="s">
        <v>699</v>
      </c>
      <c r="O138" s="163" t="s">
        <v>881</v>
      </c>
      <c r="P138" s="163" t="s">
        <v>882</v>
      </c>
      <c r="Q138" s="253" t="s">
        <v>883</v>
      </c>
      <c r="R138" s="131"/>
      <c r="S138" s="131"/>
      <c r="T138" s="131"/>
      <c r="U138" s="131"/>
      <c r="V138" s="131"/>
      <c r="W138" s="131"/>
      <c r="X138" s="131"/>
      <c r="Y138" s="131"/>
      <c r="Z138" s="131"/>
      <c r="AJ138" s="283"/>
      <c r="AK138" s="283"/>
      <c r="AL138" s="283"/>
      <c r="AM138" s="283"/>
      <c r="AN138" s="283"/>
    </row>
    <row r="139" spans="1:40" x14ac:dyDescent="0.35">
      <c r="A139" s="288"/>
      <c r="B139" s="247" t="s">
        <v>865</v>
      </c>
      <c r="C139" s="166"/>
      <c r="D139" s="126">
        <f>('Unit costs'!$C49*'Financial impact (cash)'!D$13)+('Unit costs'!$D49*'Financial impact (cash)'!D$14)+('Unit costs'!$E49*'Financial impact (cash)'!D$15)</f>
        <v>86.878231060757088</v>
      </c>
      <c r="E139" s="126">
        <f>('Unit costs'!$C49*'Financial impact (cash)'!E$13)+('Unit costs'!$D49*'Financial impact (cash)'!E$14)+('Unit costs'!$E49*'Financial impact (cash)'!E$15)</f>
        <v>73.9319680001378</v>
      </c>
      <c r="F139" s="126">
        <f>('Unit costs'!$C49*'Financial impact (cash)'!F$13)+('Unit costs'!$D49*'Financial impact (cash)'!F$14)+('Unit costs'!$E49*'Financial impact (cash)'!F$15)</f>
        <v>80.86520628444319</v>
      </c>
      <c r="G139" s="126">
        <f>('Unit costs'!$C49*'Financial impact (cash)'!G$13)+('Unit costs'!$D49*'Financial impact (cash)'!G$14)+('Unit costs'!$E49*'Financial impact (cash)'!G$15)</f>
        <v>79.888516586692958</v>
      </c>
      <c r="H139" s="126">
        <f>('Unit costs'!$C49*'Financial impact (cash)'!H$13)+('Unit costs'!$D49*'Financial impact (cash)'!H$14)+('Unit costs'!$E49*'Financial impact (cash)'!H$15)</f>
        <v>80.658786282200737</v>
      </c>
      <c r="I139" s="126">
        <f>('Unit costs'!$C49*'Financial impact (cash)'!I$13)+('Unit costs'!$D49*'Financial impact (cash)'!I$14)+('Unit costs'!$E49*'Financial impact (cash)'!I$15)</f>
        <v>81.436482769807895</v>
      </c>
      <c r="J139" s="288"/>
      <c r="K139" s="289">
        <f>'Unit costs'!G49</f>
        <v>258</v>
      </c>
      <c r="L139" s="289">
        <f>(D139*'Unit costs'!$G49)/1000</f>
        <v>22.414583613675326</v>
      </c>
      <c r="M139" s="289">
        <f>(E139*'Unit costs'!$G49)/1000</f>
        <v>19.074447744035552</v>
      </c>
      <c r="N139" s="289">
        <f>(F139*'Unit costs'!$G49)/1000</f>
        <v>20.863223221386342</v>
      </c>
      <c r="O139" s="289">
        <f>(G139*'Unit costs'!$G49)/1000</f>
        <v>20.611237279366783</v>
      </c>
      <c r="P139" s="289">
        <f>(H139*'Unit costs'!$G49)/1000</f>
        <v>20.809966860807791</v>
      </c>
      <c r="Q139" s="289">
        <f>(I139*'Unit costs'!$G49)/1000</f>
        <v>21.010612554610439</v>
      </c>
      <c r="R139" s="131"/>
      <c r="S139" s="131"/>
      <c r="T139" s="131"/>
      <c r="U139" s="131"/>
      <c r="V139" s="131"/>
      <c r="W139" s="131"/>
      <c r="X139" s="131"/>
      <c r="Y139" s="131"/>
      <c r="Z139" s="131"/>
      <c r="AJ139" s="283"/>
      <c r="AK139" s="283"/>
      <c r="AL139" s="283"/>
      <c r="AM139" s="283"/>
      <c r="AN139" s="283"/>
    </row>
    <row r="140" spans="1:40" x14ac:dyDescent="0.35">
      <c r="A140" s="288"/>
      <c r="B140" s="247" t="s">
        <v>867</v>
      </c>
      <c r="C140" s="166"/>
      <c r="D140" s="126">
        <f>('Unit costs'!$C50*'Financial impact (cash)'!D$13)+('Unit costs'!$D50*'Financial impact (cash)'!D$14)+('Unit costs'!$E50*'Financial impact (cash)'!D$15)</f>
        <v>46.320281356373037</v>
      </c>
      <c r="E140" s="126">
        <f>('Unit costs'!$C50*'Financial impact (cash)'!E$13)+('Unit costs'!$D50*'Financial impact (cash)'!E$14)+('Unit costs'!$E50*'Financial impact (cash)'!E$15)</f>
        <v>39.845094134053284</v>
      </c>
      <c r="F140" s="126">
        <f>('Unit costs'!$C50*'Financial impact (cash)'!F$13)+('Unit costs'!$D50*'Financial impact (cash)'!F$14)+('Unit costs'!$E50*'Financial impact (cash)'!F$15)</f>
        <v>44.085017469652669</v>
      </c>
      <c r="G140" s="126">
        <f>('Unit costs'!$C50*'Financial impact (cash)'!G$13)+('Unit costs'!$D50*'Financial impact (cash)'!G$14)+('Unit costs'!$E50*'Financial impact (cash)'!G$15)</f>
        <v>43.628086815879328</v>
      </c>
      <c r="H140" s="126">
        <f>('Unit costs'!$C50*'Financial impact (cash)'!H$13)+('Unit costs'!$D50*'Financial impact (cash)'!H$14)+('Unit costs'!$E50*'Financial impact (cash)'!H$15)</f>
        <v>44.048740428977609</v>
      </c>
      <c r="I140" s="126">
        <f>('Unit costs'!$C50*'Financial impact (cash)'!I$13)+('Unit costs'!$D50*'Financial impact (cash)'!I$14)+('Unit costs'!$E50*'Financial impact (cash)'!I$15)</f>
        <v>44.473449903222388</v>
      </c>
      <c r="J140" s="288"/>
      <c r="K140" s="289">
        <f>'Unit costs'!G50</f>
        <v>737.86</v>
      </c>
      <c r="L140" s="289">
        <f>(D140*'Unit costs'!$G50)/1000</f>
        <v>34.177882801613407</v>
      </c>
      <c r="M140" s="289">
        <f>(E140*'Unit costs'!$G50)/1000</f>
        <v>29.400101157752555</v>
      </c>
      <c r="N140" s="289">
        <f>(F140*'Unit costs'!$G50)/1000</f>
        <v>32.528570990157917</v>
      </c>
      <c r="O140" s="289">
        <f>(G140*'Unit costs'!$G50)/1000</f>
        <v>32.19142013796472</v>
      </c>
      <c r="P140" s="289">
        <f>(H140*'Unit costs'!$G50)/1000</f>
        <v>32.501803612925421</v>
      </c>
      <c r="Q140" s="289">
        <f>(I140*'Unit costs'!$G50)/1000</f>
        <v>32.815179745591678</v>
      </c>
      <c r="R140" s="131"/>
      <c r="S140" s="131"/>
      <c r="T140" s="131"/>
      <c r="U140" s="131"/>
      <c r="V140" s="131"/>
      <c r="W140" s="131"/>
      <c r="X140" s="131"/>
      <c r="Y140" s="131"/>
      <c r="Z140" s="131"/>
      <c r="AJ140" s="283"/>
      <c r="AK140" s="283"/>
      <c r="AL140" s="283"/>
      <c r="AM140" s="283"/>
      <c r="AN140" s="283"/>
    </row>
    <row r="141" spans="1:40" x14ac:dyDescent="0.35">
      <c r="A141" s="288"/>
      <c r="B141" s="247" t="s">
        <v>869</v>
      </c>
      <c r="C141" s="166"/>
      <c r="D141" s="126">
        <f>('Unit costs'!$C51*'Financial impact (cash)'!D$13)+('Unit costs'!$D51*'Financial impact (cash)'!D$14)+('Unit costs'!$E51*'Financial impact (cash)'!D$15)</f>
        <v>1.5513969832278052</v>
      </c>
      <c r="E141" s="126">
        <f>('Unit costs'!$C51*'Financial impact (cash)'!E$13)+('Unit costs'!$D51*'Financial impact (cash)'!E$14)+('Unit costs'!$E51*'Financial impact (cash)'!E$15)</f>
        <v>1.447013901536192</v>
      </c>
      <c r="F141" s="126">
        <f>('Unit costs'!$C51*'Financial impact (cash)'!F$13)+('Unit costs'!$D51*'Financial impact (cash)'!F$14)+('Unit costs'!$E51*'Financial impact (cash)'!F$15)</f>
        <v>1.7320727738332962</v>
      </c>
      <c r="G141" s="126">
        <f>('Unit costs'!$C51*'Financial impact (cash)'!G$13)+('Unit costs'!$D51*'Financial impact (cash)'!G$14)+('Unit costs'!$E51*'Financial impact (cash)'!G$15)</f>
        <v>1.7335663635448744</v>
      </c>
      <c r="H141" s="126">
        <f>('Unit costs'!$C51*'Financial impact (cash)'!H$13)+('Unit costs'!$D51*'Financial impact (cash)'!H$14)+('Unit costs'!$E51*'Financial impact (cash)'!H$15)</f>
        <v>1.7502810766481172</v>
      </c>
      <c r="I141" s="126">
        <f>('Unit costs'!$C51*'Financial impact (cash)'!I$13)+('Unit costs'!$D51*'Financial impact (cash)'!I$14)+('Unit costs'!$E51*'Financial impact (cash)'!I$15)</f>
        <v>1.7671569497969162</v>
      </c>
      <c r="J141" s="288"/>
      <c r="K141" s="289">
        <f>'Unit costs'!G51</f>
        <v>307</v>
      </c>
      <c r="L141" s="289">
        <f>(D141*'Unit costs'!$G51)/1000</f>
        <v>0.4762788738509362</v>
      </c>
      <c r="M141" s="289">
        <f>(E141*'Unit costs'!$G51)/1000</f>
        <v>0.44423326777161093</v>
      </c>
      <c r="N141" s="289">
        <f>(F141*'Unit costs'!$G51)/1000</f>
        <v>0.53174634156682188</v>
      </c>
      <c r="O141" s="289">
        <f>(G141*'Unit costs'!$G51)/1000</f>
        <v>0.5322048736082764</v>
      </c>
      <c r="P141" s="289">
        <f>(H141*'Unit costs'!$G51)/1000</f>
        <v>0.53733629053097198</v>
      </c>
      <c r="Q141" s="289">
        <f>(I141*'Unit costs'!$G51)/1000</f>
        <v>0.54251718358765322</v>
      </c>
      <c r="R141" s="131"/>
      <c r="S141" s="131"/>
      <c r="T141" s="131"/>
      <c r="U141" s="131"/>
      <c r="V141" s="131"/>
      <c r="W141" s="131"/>
      <c r="X141" s="131"/>
      <c r="Y141" s="131"/>
      <c r="Z141" s="131"/>
      <c r="AJ141" s="283"/>
      <c r="AK141" s="283"/>
      <c r="AL141" s="283"/>
      <c r="AM141" s="283"/>
      <c r="AN141" s="283"/>
    </row>
    <row r="142" spans="1:40" x14ac:dyDescent="0.35">
      <c r="A142" s="288"/>
      <c r="B142" s="247" t="s">
        <v>871</v>
      </c>
      <c r="C142" s="166"/>
      <c r="D142" s="126">
        <f>('Unit costs'!$C52*'Financial impact (cash)'!D$13)+('Unit costs'!$D52*'Financial impact (cash)'!D$14)+('Unit costs'!$E52*'Financial impact (cash)'!D$15)</f>
        <v>32.579336647783904</v>
      </c>
      <c r="E142" s="126">
        <f>('Unit costs'!$C52*'Financial impact (cash)'!E$13)+('Unit costs'!$D52*'Financial impact (cash)'!E$14)+('Unit costs'!$E52*'Financial impact (cash)'!E$15)</f>
        <v>25.016931060579317</v>
      </c>
      <c r="F142" s="126">
        <f>('Unit costs'!$C52*'Financial impact (cash)'!F$13)+('Unit costs'!$D52*'Financial impact (cash)'!F$14)+('Unit costs'!$E52*'Financial impact (cash)'!F$15)</f>
        <v>24.173711321760347</v>
      </c>
      <c r="G142" s="126">
        <f>('Unit costs'!$C52*'Financial impact (cash)'!G$13)+('Unit costs'!$D52*'Financial impact (cash)'!G$14)+('Unit costs'!$E52*'Financial impact (cash)'!G$15)</f>
        <v>23.403145907855802</v>
      </c>
      <c r="H142" s="126">
        <f>('Unit costs'!$C52*'Financial impact (cash)'!H$13)+('Unit costs'!$D52*'Financial impact (cash)'!H$14)+('Unit costs'!$E52*'Financial impact (cash)'!H$15)</f>
        <v>23.628794534749581</v>
      </c>
      <c r="I142" s="126">
        <f>('Unit costs'!$C52*'Financial impact (cash)'!I$13)+('Unit costs'!$D52*'Financial impact (cash)'!I$14)+('Unit costs'!$E52*'Financial impact (cash)'!I$15)</f>
        <v>23.856618822258369</v>
      </c>
      <c r="J142" s="288"/>
      <c r="K142" s="289">
        <f>'Unit costs'!G52</f>
        <v>358</v>
      </c>
      <c r="L142" s="289">
        <f>(D142*'Unit costs'!$G52)/1000</f>
        <v>11.663402519906638</v>
      </c>
      <c r="M142" s="289">
        <f>(E142*'Unit costs'!$G52)/1000</f>
        <v>8.9560613196873948</v>
      </c>
      <c r="N142" s="289">
        <f>(F142*'Unit costs'!$G52)/1000</f>
        <v>8.6541886531902037</v>
      </c>
      <c r="O142" s="289">
        <f>(G142*'Unit costs'!$G52)/1000</f>
        <v>8.3783262350123771</v>
      </c>
      <c r="P142" s="289">
        <f>(H142*'Unit costs'!$G52)/1000</f>
        <v>8.4591084434403498</v>
      </c>
      <c r="Q142" s="289">
        <f>(I142*'Unit costs'!$G52)/1000</f>
        <v>8.5406695383684959</v>
      </c>
      <c r="R142" s="131"/>
      <c r="S142" s="131"/>
      <c r="T142" s="131"/>
      <c r="U142" s="131"/>
      <c r="V142" s="131"/>
      <c r="W142" s="131"/>
      <c r="X142" s="131"/>
      <c r="Y142" s="131"/>
      <c r="Z142" s="131"/>
      <c r="AJ142" s="283"/>
      <c r="AK142" s="283"/>
      <c r="AL142" s="283"/>
      <c r="AM142" s="283"/>
      <c r="AN142" s="283"/>
    </row>
    <row r="143" spans="1:40" x14ac:dyDescent="0.35">
      <c r="A143" s="288"/>
      <c r="B143" s="247" t="s">
        <v>873</v>
      </c>
      <c r="C143" s="166"/>
      <c r="D143" s="126">
        <f>('Unit costs'!$C53*'Financial impact (cash)'!D$13)+('Unit costs'!$D53*'Financial impact (cash)'!D$14)+('Unit costs'!$E53*'Financial impact (cash)'!D$15)</f>
        <v>3.7676783878389553</v>
      </c>
      <c r="E143" s="126">
        <f>('Unit costs'!$C53*'Financial impact (cash)'!E$13)+('Unit costs'!$D53*'Financial impact (cash)'!E$14)+('Unit costs'!$E53*'Financial impact (cash)'!E$15)</f>
        <v>3.3863108829764497</v>
      </c>
      <c r="F143" s="126">
        <f>('Unit costs'!$C53*'Financial impact (cash)'!F$13)+('Unit costs'!$D53*'Financial impact (cash)'!F$14)+('Unit costs'!$E53*'Financial impact (cash)'!F$15)</f>
        <v>3.9159906191013656</v>
      </c>
      <c r="G143" s="126">
        <f>('Unit costs'!$C53*'Financial impact (cash)'!G$13)+('Unit costs'!$D53*'Financial impact (cash)'!G$14)+('Unit costs'!$E53*'Financial impact (cash)'!G$15)</f>
        <v>3.9005243179759672</v>
      </c>
      <c r="H143" s="126">
        <f>('Unit costs'!$C53*'Financial impact (cash)'!H$13)+('Unit costs'!$D53*'Financial impact (cash)'!H$14)+('Unit costs'!$E53*'Financial impact (cash)'!H$15)</f>
        <v>3.9381324224582639</v>
      </c>
      <c r="I143" s="126">
        <f>('Unit costs'!$C53*'Financial impact (cash)'!I$13)+('Unit costs'!$D53*'Financial impact (cash)'!I$14)+('Unit costs'!$E53*'Financial impact (cash)'!I$15)</f>
        <v>3.9761031370430615</v>
      </c>
      <c r="J143" s="288"/>
      <c r="K143" s="289">
        <f>'Unit costs'!G53</f>
        <v>0.7</v>
      </c>
      <c r="L143" s="289">
        <f>(D143*'Unit costs'!$G53)/1000</f>
        <v>2.6373748714872683E-3</v>
      </c>
      <c r="M143" s="289">
        <f>(E143*'Unit costs'!$G53)/1000</f>
        <v>2.370417618083515E-3</v>
      </c>
      <c r="N143" s="289">
        <f>(F143*'Unit costs'!$G53)/1000</f>
        <v>2.7411934333709557E-3</v>
      </c>
      <c r="O143" s="289">
        <f>(G143*'Unit costs'!$G53)/1000</f>
        <v>2.7303670225831767E-3</v>
      </c>
      <c r="P143" s="289">
        <f>(H143*'Unit costs'!$G53)/1000</f>
        <v>2.7566926957207846E-3</v>
      </c>
      <c r="Q143" s="289">
        <f>(I143*'Unit costs'!$G53)/1000</f>
        <v>2.783272195930143E-3</v>
      </c>
      <c r="R143" s="131"/>
      <c r="S143" s="131"/>
      <c r="T143" s="131"/>
      <c r="U143" s="131"/>
      <c r="V143" s="131"/>
      <c r="W143" s="131"/>
      <c r="X143" s="131"/>
      <c r="Y143" s="131"/>
      <c r="Z143" s="131"/>
      <c r="AJ143" s="283"/>
      <c r="AK143" s="283"/>
      <c r="AL143" s="283"/>
      <c r="AM143" s="283"/>
      <c r="AN143" s="283"/>
    </row>
    <row r="144" spans="1:40" x14ac:dyDescent="0.35">
      <c r="A144" s="288"/>
      <c r="B144" s="247" t="s">
        <v>874</v>
      </c>
      <c r="C144" s="166"/>
      <c r="D144" s="126">
        <f>('Unit costs'!$C54*'Financial impact (cash)'!D$13)+('Unit costs'!$D54*'Financial impact (cash)'!D$14)+('Unit costs'!$E54*'Financial impact (cash)'!D$15)</f>
        <v>14.627457270433592</v>
      </c>
      <c r="E144" s="126">
        <f>('Unit costs'!$C54*'Financial impact (cash)'!E$13)+('Unit costs'!$D54*'Financial impact (cash)'!E$14)+('Unit costs'!$E54*'Financial impact (cash)'!E$15)</f>
        <v>12.262323990337627</v>
      </c>
      <c r="F144" s="126">
        <f>('Unit costs'!$C54*'Financial impact (cash)'!F$13)+('Unit costs'!$D54*'Financial impact (cash)'!F$14)+('Unit costs'!$E54*'Financial impact (cash)'!F$15)</f>
        <v>13.193876085895369</v>
      </c>
      <c r="G144" s="126">
        <f>('Unit costs'!$C54*'Financial impact (cash)'!G$13)+('Unit costs'!$D54*'Financial impact (cash)'!G$14)+('Unit costs'!$E54*'Financial impact (cash)'!G$15)</f>
        <v>13.001747726586556</v>
      </c>
      <c r="H144" s="126">
        <f>('Unit costs'!$C54*'Financial impact (cash)'!H$13)+('Unit costs'!$D54*'Financial impact (cash)'!H$14)+('Unit costs'!$E54*'Financial impact (cash)'!H$15)</f>
        <v>13.12710807486088</v>
      </c>
      <c r="I144" s="126">
        <f>('Unit costs'!$C54*'Financial impact (cash)'!I$13)+('Unit costs'!$D54*'Financial impact (cash)'!I$14)+('Unit costs'!$E54*'Financial impact (cash)'!I$15)</f>
        <v>13.253677123476873</v>
      </c>
      <c r="J144" s="288"/>
      <c r="K144" s="289">
        <f>'Unit costs'!G54</f>
        <v>319</v>
      </c>
      <c r="L144" s="289">
        <f>(D144*'Unit costs'!$G54)/1000</f>
        <v>4.6661588692683154</v>
      </c>
      <c r="M144" s="289">
        <f>(E144*'Unit costs'!$G54)/1000</f>
        <v>3.9116813529177028</v>
      </c>
      <c r="N144" s="289">
        <f>(F144*'Unit costs'!$G54)/1000</f>
        <v>4.208846471400622</v>
      </c>
      <c r="O144" s="289">
        <f>(G144*'Unit costs'!$G54)/1000</f>
        <v>4.1475575247811109</v>
      </c>
      <c r="P144" s="289">
        <f>(H144*'Unit costs'!$G54)/1000</f>
        <v>4.1875474758806206</v>
      </c>
      <c r="Q144" s="289">
        <f>(I144*'Unit costs'!$G54)/1000</f>
        <v>4.2279230023891223</v>
      </c>
      <c r="R144" s="131"/>
      <c r="S144" s="131"/>
      <c r="T144" s="131"/>
      <c r="U144" s="131"/>
      <c r="V144" s="131"/>
      <c r="W144" s="131"/>
      <c r="X144" s="131"/>
      <c r="Y144" s="131"/>
      <c r="Z144" s="131"/>
      <c r="AJ144" s="283"/>
      <c r="AK144" s="283"/>
      <c r="AL144" s="283"/>
      <c r="AM144" s="283"/>
      <c r="AN144" s="283"/>
    </row>
    <row r="145" spans="1:40" x14ac:dyDescent="0.35">
      <c r="A145" s="288"/>
      <c r="B145" s="247"/>
      <c r="C145" s="166"/>
      <c r="D145" s="126">
        <f>('Unit costs'!$C55*'Financial impact (cash)'!D$13)+('Unit costs'!$D55*'Financial impact (cash)'!D$14)+('Unit costs'!$E55*'Financial impact (cash)'!D$15)</f>
        <v>0</v>
      </c>
      <c r="E145" s="126">
        <f>('Unit costs'!$C55*'Financial impact (cash)'!E$13)+('Unit costs'!$D55*'Financial impact (cash)'!E$14)+('Unit costs'!$E55*'Financial impact (cash)'!E$15)</f>
        <v>0</v>
      </c>
      <c r="F145" s="126">
        <f>('Unit costs'!$C55*'Financial impact (cash)'!F$13)+('Unit costs'!$D55*'Financial impact (cash)'!F$14)+('Unit costs'!$E55*'Financial impact (cash)'!F$15)</f>
        <v>0</v>
      </c>
      <c r="G145" s="126">
        <f>('Unit costs'!$C55*'Financial impact (cash)'!G$13)+('Unit costs'!$D55*'Financial impact (cash)'!G$14)+('Unit costs'!$E55*'Financial impact (cash)'!G$15)</f>
        <v>0</v>
      </c>
      <c r="H145" s="126">
        <f>('Unit costs'!$C55*'Financial impact (cash)'!H$13)+('Unit costs'!$D55*'Financial impact (cash)'!H$14)+('Unit costs'!$E55*'Financial impact (cash)'!H$15)</f>
        <v>0</v>
      </c>
      <c r="I145" s="126">
        <f>('Unit costs'!$C55*'Financial impact (cash)'!I$13)+('Unit costs'!$D55*'Financial impact (cash)'!I$14)+('Unit costs'!$E55*'Financial impact (cash)'!I$15)</f>
        <v>0</v>
      </c>
      <c r="J145" s="288"/>
      <c r="K145" s="289">
        <f>'Unit costs'!G55</f>
        <v>0</v>
      </c>
      <c r="L145" s="289">
        <f>(D145*'Unit costs'!$G55)/1000</f>
        <v>0</v>
      </c>
      <c r="M145" s="289">
        <f>(E145*'Unit costs'!$G55)/1000</f>
        <v>0</v>
      </c>
      <c r="N145" s="289">
        <f>(F145*'Unit costs'!$G55)/1000</f>
        <v>0</v>
      </c>
      <c r="O145" s="289">
        <f>(G145*'Unit costs'!$G55)/1000</f>
        <v>0</v>
      </c>
      <c r="P145" s="289">
        <f>(H145*'Unit costs'!$G55)/1000</f>
        <v>0</v>
      </c>
      <c r="Q145" s="289">
        <f>(I145*'Unit costs'!$G55)/1000</f>
        <v>0</v>
      </c>
      <c r="R145" s="131"/>
      <c r="S145" s="131"/>
      <c r="T145" s="131"/>
      <c r="U145" s="131"/>
      <c r="V145" s="131"/>
      <c r="W145" s="131"/>
      <c r="X145" s="131"/>
      <c r="Y145" s="131"/>
      <c r="Z145" s="131"/>
      <c r="AJ145" s="283"/>
      <c r="AK145" s="283"/>
      <c r="AL145" s="283"/>
      <c r="AM145" s="283"/>
      <c r="AN145" s="283"/>
    </row>
    <row r="146" spans="1:40" x14ac:dyDescent="0.35">
      <c r="A146" s="288"/>
      <c r="B146" s="277"/>
      <c r="C146" s="206"/>
      <c r="D146" s="184">
        <f t="shared" ref="D146:I146" si="65">SUM(D139:D145)</f>
        <v>185.72438170641436</v>
      </c>
      <c r="E146" s="184">
        <f t="shared" si="65"/>
        <v>155.88964196962067</v>
      </c>
      <c r="F146" s="184">
        <f t="shared" si="65"/>
        <v>167.96587455468622</v>
      </c>
      <c r="G146" s="184">
        <f t="shared" si="65"/>
        <v>165.55558771853549</v>
      </c>
      <c r="H146" s="184">
        <f t="shared" si="65"/>
        <v>167.15184281989519</v>
      </c>
      <c r="I146" s="184">
        <f t="shared" si="65"/>
        <v>168.76348870560548</v>
      </c>
      <c r="J146" s="288"/>
      <c r="K146" s="288"/>
      <c r="L146" s="290">
        <f>SUM(L139:L145)</f>
        <v>73.400944053186109</v>
      </c>
      <c r="M146" s="290">
        <f t="shared" ref="M146:Q146" si="66">SUM(M139:M145)</f>
        <v>61.788895259782898</v>
      </c>
      <c r="N146" s="290">
        <f t="shared" si="66"/>
        <v>66.789316871135284</v>
      </c>
      <c r="O146" s="290">
        <f t="shared" si="66"/>
        <v>65.863476417755862</v>
      </c>
      <c r="P146" s="290">
        <f t="shared" si="66"/>
        <v>66.498519376280882</v>
      </c>
      <c r="Q146" s="290">
        <f t="shared" si="66"/>
        <v>67.139685296743323</v>
      </c>
      <c r="R146" s="131"/>
      <c r="S146" s="131"/>
      <c r="T146" s="131"/>
      <c r="U146" s="131"/>
      <c r="V146" s="131"/>
      <c r="W146" s="131"/>
      <c r="X146" s="131"/>
      <c r="Y146" s="131"/>
      <c r="Z146" s="131"/>
      <c r="AJ146" s="283"/>
      <c r="AK146" s="283"/>
      <c r="AL146" s="283"/>
      <c r="AM146" s="283"/>
      <c r="AN146" s="283"/>
    </row>
    <row r="147" spans="1:40" x14ac:dyDescent="0.35">
      <c r="A147" s="288"/>
      <c r="B147" s="305"/>
      <c r="C147" s="206"/>
      <c r="D147" s="282" t="s">
        <v>973</v>
      </c>
      <c r="E147" s="184">
        <f>E146-$D$146</f>
        <v>-29.834739736793694</v>
      </c>
      <c r="F147" s="184">
        <f>F146-$D$146</f>
        <v>-17.758507151728139</v>
      </c>
      <c r="G147" s="184">
        <f>G146-$D$146</f>
        <v>-20.168793987878871</v>
      </c>
      <c r="H147" s="184">
        <f>H146-$D$146</f>
        <v>-18.572538886519169</v>
      </c>
      <c r="I147" s="184">
        <f>I146-$D$146</f>
        <v>-16.960893000808881</v>
      </c>
      <c r="J147" s="288"/>
      <c r="K147" s="288"/>
      <c r="L147" s="539"/>
      <c r="M147" s="290">
        <f>M146-$L$146</f>
        <v>-11.612048793403211</v>
      </c>
      <c r="N147" s="290">
        <f t="shared" ref="N147:Q147" si="67">N146-$L$146</f>
        <v>-6.6116271820508246</v>
      </c>
      <c r="O147" s="290">
        <f t="shared" si="67"/>
        <v>-7.5374676354302466</v>
      </c>
      <c r="P147" s="290">
        <f t="shared" si="67"/>
        <v>-6.9024246769052269</v>
      </c>
      <c r="Q147" s="290">
        <f t="shared" si="67"/>
        <v>-6.2612587564427855</v>
      </c>
    </row>
    <row r="148" spans="1:40" x14ac:dyDescent="0.35">
      <c r="A148" s="288"/>
      <c r="B148" s="288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</row>
    <row r="149" spans="1:40" x14ac:dyDescent="0.35">
      <c r="B149"/>
    </row>
    <row r="150" spans="1:40" x14ac:dyDescent="0.35">
      <c r="B150"/>
    </row>
    <row r="151" spans="1:40" x14ac:dyDescent="0.35">
      <c r="B151"/>
    </row>
    <row r="152" spans="1:40" x14ac:dyDescent="0.35">
      <c r="B152"/>
    </row>
    <row r="153" spans="1:40" x14ac:dyDescent="0.35">
      <c r="B153"/>
    </row>
  </sheetData>
  <sheetProtection algorithmName="SHA-512" hashValue="otAfyMx1Y3cQ+Ha3QuHAe63aE3Eeu8MD33cLc4E7zgY3oPE9uyJEg5cPFHJc0ah9Lo+4HkH+r0zz1eFaXBjRcQ==" saltValue="rTBkhPBFPbaCig9uw3A7DQ==" spinCount="100000" sheet="1" objects="1" scenarios="1"/>
  <protectedRanges>
    <protectedRange sqref="B139:B145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93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caf4567-dc07-471f-892c-2bcb86ef35ae"/>
    <ds:schemaRef ds:uri="http://purl.org/dc/terms/"/>
    <ds:schemaRef ds:uri="http://purl.org/dc/dcmitype/"/>
    <ds:schemaRef ds:uri="0eb656aa-4e79-4e95-9076-bc119a23e0cc"/>
    <ds:schemaRef ds:uri="http://schemas.openxmlformats.org/package/2006/metadata/core-properties"/>
    <ds:schemaRef ds:uri="c1f338ac-e338-414f-952c-f74dcc6d59e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Population selection</vt:lpstr>
      <vt:lpstr>Cover</vt:lpstr>
      <vt:lpstr>Contents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TA1040 Olaparib for treating BRCA mutation-positive HER2-negative advanced breast cancer after chemotherapy: resource impact template 12/02/2025</dc:title>
  <dc:subject/>
  <dc:creator/>
  <cp:keywords/>
  <dc:description/>
  <cp:lastModifiedBy/>
  <cp:revision/>
  <dcterms:created xsi:type="dcterms:W3CDTF">2022-07-27T12:38:28Z</dcterms:created>
  <dcterms:modified xsi:type="dcterms:W3CDTF">2025-02-11T15:53:16Z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