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C25BE949-D4DF-4E2E-A3C8-CB6C8A8CEDC0}" xr6:coauthVersionLast="47" xr6:coauthVersionMax="47" xr10:uidLastSave="{00000000-0000-0000-0000-000000000000}"/>
  <bookViews>
    <workbookView xWindow="28680" yWindow="-120" windowWidth="29040" windowHeight="1584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prices)'!$B$1:$S$67</definedName>
    <definedName name="_xlnm.Print_Area" localSheetId="9">'Capacity (national prices)'!$B$1:$S$33</definedName>
    <definedName name="_xlnm.Print_Area" localSheetId="3">Contents!$A$1:$P$29</definedName>
    <definedName name="_xlnm.Print_Area" localSheetId="2">Cover!$A$1:$P$25</definedName>
    <definedName name="_xlnm.Print_Area" localSheetId="7">'Financial impact (cash)'!$B$1:$J$24</definedName>
    <definedName name="_xlnm.Print_Area" localSheetId="4">'Inputs and eligible population'!$A$2:$S$106</definedName>
    <definedName name="_xlnm.Print_Area" localSheetId="0">'Population selection'!$B$11:$J$17</definedName>
    <definedName name="_xlnm.Print_Area" localSheetId="6">Summary!$B$1:$K$50</definedName>
    <definedName name="_xlnm.Print_Area" localSheetId="5">'Unit costs'!$B$1:$T$72</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57" l="1"/>
  <c r="I47" i="57"/>
  <c r="H47" i="57"/>
  <c r="G47" i="57"/>
  <c r="F47" i="57"/>
  <c r="E47" i="57"/>
  <c r="D47" i="57"/>
  <c r="K46" i="57"/>
  <c r="I46" i="57"/>
  <c r="H46" i="57"/>
  <c r="G46" i="57"/>
  <c r="F46" i="57"/>
  <c r="E46" i="57"/>
  <c r="D46" i="57"/>
  <c r="C46" i="57"/>
  <c r="K45" i="57"/>
  <c r="I45" i="57"/>
  <c r="H45" i="57"/>
  <c r="G45" i="57"/>
  <c r="F45" i="57"/>
  <c r="E45" i="57"/>
  <c r="D45" i="57"/>
  <c r="K44" i="57"/>
  <c r="J44" i="57"/>
  <c r="I44" i="57"/>
  <c r="H44" i="57"/>
  <c r="G44" i="57"/>
  <c r="F44" i="57"/>
  <c r="E44" i="57"/>
  <c r="D44" i="57"/>
  <c r="K43" i="57"/>
  <c r="J43" i="57"/>
  <c r="I43" i="57"/>
  <c r="H43" i="57"/>
  <c r="G43" i="57"/>
  <c r="F43" i="57"/>
  <c r="E43" i="57"/>
  <c r="D43" i="57"/>
  <c r="C43" i="57"/>
  <c r="K42" i="57"/>
  <c r="J42" i="57"/>
  <c r="I42" i="57"/>
  <c r="H42" i="57"/>
  <c r="G42" i="57"/>
  <c r="F42" i="57"/>
  <c r="E42" i="57"/>
  <c r="D42" i="57"/>
  <c r="K41" i="57"/>
  <c r="I41" i="57"/>
  <c r="H41" i="57"/>
  <c r="G41" i="57"/>
  <c r="F41" i="57"/>
  <c r="E41" i="57"/>
  <c r="D41" i="57"/>
  <c r="C41" i="57"/>
  <c r="K40" i="57"/>
  <c r="I40" i="57"/>
  <c r="H40" i="57"/>
  <c r="G40" i="57"/>
  <c r="F40" i="57"/>
  <c r="E40" i="57"/>
  <c r="D40" i="57"/>
  <c r="C40" i="57"/>
  <c r="K39" i="57"/>
  <c r="I39" i="57"/>
  <c r="H39" i="57"/>
  <c r="G39" i="57"/>
  <c r="F39" i="57"/>
  <c r="E39" i="57"/>
  <c r="D39" i="57"/>
  <c r="C39" i="57"/>
  <c r="K38" i="57"/>
  <c r="I38" i="57"/>
  <c r="H38" i="57"/>
  <c r="G38" i="57"/>
  <c r="F38" i="57"/>
  <c r="E38" i="57"/>
  <c r="D38" i="57"/>
  <c r="C38" i="57"/>
  <c r="K37" i="57"/>
  <c r="I37" i="57"/>
  <c r="H37" i="57"/>
  <c r="G37" i="57"/>
  <c r="F37" i="57"/>
  <c r="E37" i="57"/>
  <c r="D37" i="57"/>
  <c r="C37" i="57"/>
  <c r="W36" i="57"/>
  <c r="K36" i="57"/>
  <c r="I36" i="57"/>
  <c r="H36" i="57"/>
  <c r="G36" i="57"/>
  <c r="F36" i="57"/>
  <c r="E36" i="57"/>
  <c r="D36" i="57"/>
  <c r="C36" i="57"/>
  <c r="K35" i="57"/>
  <c r="I35" i="57"/>
  <c r="H35" i="57"/>
  <c r="G35" i="57"/>
  <c r="F35" i="57"/>
  <c r="E35" i="57"/>
  <c r="D35" i="57"/>
  <c r="C35" i="57"/>
  <c r="K34" i="57"/>
  <c r="I34" i="57"/>
  <c r="H34" i="57"/>
  <c r="G34" i="57"/>
  <c r="F34" i="57"/>
  <c r="E34" i="57"/>
  <c r="D34" i="57"/>
  <c r="C34" i="57"/>
  <c r="K33" i="57"/>
  <c r="I33" i="57"/>
  <c r="H33" i="57"/>
  <c r="G33" i="57"/>
  <c r="F33" i="57"/>
  <c r="E33" i="57"/>
  <c r="D33" i="57"/>
  <c r="C33" i="57"/>
  <c r="K32" i="57"/>
  <c r="I32" i="57"/>
  <c r="H32" i="57"/>
  <c r="G32" i="57"/>
  <c r="F32" i="57"/>
  <c r="E32" i="57"/>
  <c r="D32" i="57"/>
  <c r="C32" i="57"/>
  <c r="K31" i="57"/>
  <c r="I31" i="57"/>
  <c r="H31" i="57"/>
  <c r="G31" i="57"/>
  <c r="F31" i="57"/>
  <c r="E31" i="57"/>
  <c r="D31" i="57"/>
  <c r="C31" i="57"/>
  <c r="K30" i="57"/>
  <c r="I30" i="57"/>
  <c r="H30" i="57"/>
  <c r="G30" i="57"/>
  <c r="F30" i="57"/>
  <c r="E30" i="57"/>
  <c r="D30" i="57"/>
  <c r="C30" i="57"/>
  <c r="K29" i="57"/>
  <c r="I29" i="57"/>
  <c r="H29" i="57"/>
  <c r="G29" i="57"/>
  <c r="F29" i="57"/>
  <c r="E29" i="57"/>
  <c r="D29" i="57"/>
  <c r="C29" i="57"/>
  <c r="W28" i="57"/>
  <c r="K28" i="57"/>
  <c r="I28" i="57"/>
  <c r="H28" i="57"/>
  <c r="G28" i="57"/>
  <c r="F28" i="57"/>
  <c r="E28" i="57"/>
  <c r="D28" i="57"/>
  <c r="C28" i="57"/>
  <c r="K27" i="57"/>
  <c r="I27" i="57"/>
  <c r="H27" i="57"/>
  <c r="G27" i="57"/>
  <c r="F27" i="57"/>
  <c r="E27" i="57"/>
  <c r="D27" i="57"/>
  <c r="C27" i="57"/>
  <c r="K26" i="57"/>
  <c r="I26" i="57"/>
  <c r="H26" i="57"/>
  <c r="G26" i="57"/>
  <c r="F26" i="57"/>
  <c r="E26" i="57"/>
  <c r="D26" i="57"/>
  <c r="C26" i="57"/>
  <c r="K25" i="57"/>
  <c r="I25" i="57"/>
  <c r="H25" i="57"/>
  <c r="G25" i="57"/>
  <c r="F25" i="57"/>
  <c r="E25" i="57"/>
  <c r="D25" i="57"/>
  <c r="C25" i="57"/>
  <c r="K24" i="57"/>
  <c r="I24" i="57"/>
  <c r="H24" i="57"/>
  <c r="G24" i="57"/>
  <c r="F24" i="57"/>
  <c r="E24" i="57"/>
  <c r="D24" i="57"/>
  <c r="C24" i="57"/>
  <c r="K23" i="57"/>
  <c r="I23" i="57"/>
  <c r="H23" i="57"/>
  <c r="G23" i="57"/>
  <c r="F23" i="57"/>
  <c r="E23" i="57"/>
  <c r="D23" i="57"/>
  <c r="C23" i="57"/>
  <c r="K22" i="57"/>
  <c r="I22" i="57"/>
  <c r="H22" i="57"/>
  <c r="G22" i="57"/>
  <c r="F22" i="57"/>
  <c r="E22" i="57"/>
  <c r="D22" i="57"/>
  <c r="C22" i="57"/>
  <c r="K21" i="57"/>
  <c r="I21" i="57"/>
  <c r="H21" i="57"/>
  <c r="G21" i="57"/>
  <c r="F21" i="57"/>
  <c r="E21" i="57"/>
  <c r="D21" i="57"/>
  <c r="C21" i="57"/>
  <c r="K20" i="57"/>
  <c r="I20" i="57"/>
  <c r="H20" i="57"/>
  <c r="G20" i="57"/>
  <c r="F20" i="57"/>
  <c r="E20" i="57"/>
  <c r="D20" i="57"/>
  <c r="C20" i="57"/>
  <c r="W19" i="57"/>
  <c r="K19" i="57"/>
  <c r="I19" i="57"/>
  <c r="H19" i="57"/>
  <c r="G19" i="57"/>
  <c r="F19" i="57"/>
  <c r="E19" i="57"/>
  <c r="D19" i="57"/>
  <c r="C19" i="57"/>
  <c r="K18" i="57"/>
  <c r="I18" i="57"/>
  <c r="H18" i="57"/>
  <c r="G18" i="57"/>
  <c r="F18" i="57"/>
  <c r="E18" i="57"/>
  <c r="D18" i="57"/>
  <c r="C18" i="57"/>
  <c r="K17" i="57"/>
  <c r="I17" i="57"/>
  <c r="H17" i="57"/>
  <c r="G17" i="57"/>
  <c r="F17" i="57"/>
  <c r="E17" i="57"/>
  <c r="D17" i="57"/>
  <c r="C17" i="57"/>
  <c r="K16" i="57"/>
  <c r="I16" i="57"/>
  <c r="H16" i="57"/>
  <c r="G16" i="57"/>
  <c r="F16" i="57"/>
  <c r="E16" i="57"/>
  <c r="D16" i="57"/>
  <c r="C16" i="57"/>
  <c r="K15" i="57"/>
  <c r="I15" i="57"/>
  <c r="H15" i="57"/>
  <c r="G15" i="57"/>
  <c r="F15" i="57"/>
  <c r="E15" i="57"/>
  <c r="D15" i="57"/>
  <c r="C15" i="57"/>
  <c r="K14" i="57"/>
  <c r="I14" i="57"/>
  <c r="H14" i="57"/>
  <c r="G14" i="57"/>
  <c r="F14" i="57"/>
  <c r="E14" i="57"/>
  <c r="D14" i="57"/>
  <c r="C14" i="57"/>
  <c r="K13" i="57"/>
  <c r="I13" i="57"/>
  <c r="H13" i="57"/>
  <c r="G13" i="57"/>
  <c r="F13" i="57"/>
  <c r="E13" i="57"/>
  <c r="D13" i="57"/>
  <c r="C13" i="57"/>
  <c r="K12" i="57"/>
  <c r="I12" i="57"/>
  <c r="H12" i="57"/>
  <c r="G12" i="57"/>
  <c r="F12" i="57"/>
  <c r="E12" i="57"/>
  <c r="D12" i="57"/>
  <c r="C12" i="57"/>
  <c r="K30" i="56"/>
  <c r="C30" i="56"/>
  <c r="K29" i="56"/>
  <c r="C29" i="56"/>
  <c r="K28" i="56"/>
  <c r="C28" i="56"/>
  <c r="K27" i="56"/>
  <c r="C27" i="56"/>
  <c r="B1" i="56"/>
  <c r="C64" i="46"/>
  <c r="C63" i="46"/>
  <c r="C56" i="46"/>
  <c r="C55" i="46"/>
  <c r="C49" i="46"/>
  <c r="C48" i="46"/>
  <c r="C42" i="46"/>
  <c r="C41" i="46"/>
  <c r="C34" i="46"/>
  <c r="C33" i="46"/>
  <c r="C32" i="46"/>
  <c r="C31" i="46"/>
  <c r="B14" i="46"/>
  <c r="B13" i="46"/>
  <c r="B12" i="46"/>
  <c r="B11" i="46"/>
  <c r="B1" i="46"/>
  <c r="B1" i="42"/>
  <c r="H6" i="47"/>
  <c r="G6" i="47"/>
  <c r="F6" i="47"/>
  <c r="E6" i="47"/>
  <c r="D6" i="47"/>
  <c r="C6" i="47"/>
  <c r="B1" i="47"/>
  <c r="P29" i="21"/>
  <c r="P28" i="21"/>
  <c r="P27" i="21"/>
  <c r="N27" i="21"/>
  <c r="R16" i="21"/>
  <c r="N16" i="21"/>
  <c r="M16" i="21"/>
  <c r="L16" i="21"/>
  <c r="H16" i="21"/>
  <c r="R15" i="21"/>
  <c r="N15" i="21"/>
  <c r="M15" i="21"/>
  <c r="O15" i="21" s="1"/>
  <c r="P15" i="21" s="1"/>
  <c r="L15" i="21"/>
  <c r="H15" i="21"/>
  <c r="R10" i="21"/>
  <c r="L10" i="21"/>
  <c r="H10" i="21"/>
  <c r="R9" i="21"/>
  <c r="L9" i="21"/>
  <c r="H9" i="21"/>
  <c r="B1" i="21"/>
  <c r="K78" i="50"/>
  <c r="K77" i="50"/>
  <c r="K76" i="50"/>
  <c r="K75" i="50"/>
  <c r="J64" i="50"/>
  <c r="J65" i="50" s="1"/>
  <c r="I64" i="50"/>
  <c r="I65" i="50" s="1"/>
  <c r="H64" i="50"/>
  <c r="H65" i="50" s="1"/>
  <c r="G64" i="50"/>
  <c r="G65" i="50" s="1"/>
  <c r="F64" i="50"/>
  <c r="F65" i="50" s="1"/>
  <c r="E64" i="50"/>
  <c r="K51" i="50"/>
  <c r="K50" i="50"/>
  <c r="K49" i="50"/>
  <c r="N10" i="21" s="1"/>
  <c r="O10" i="21" s="1"/>
  <c r="P10" i="21" s="1"/>
  <c r="K48" i="50"/>
  <c r="N9" i="21" s="1"/>
  <c r="O9" i="21" s="1"/>
  <c r="P9" i="21" s="1"/>
  <c r="L42" i="50"/>
  <c r="C42" i="50"/>
  <c r="C41" i="50"/>
  <c r="G40" i="50"/>
  <c r="H40" i="50" s="1"/>
  <c r="I40" i="50" s="1"/>
  <c r="J40" i="50" s="1"/>
  <c r="K40" i="50" s="1"/>
  <c r="H39" i="50"/>
  <c r="I39" i="50" s="1"/>
  <c r="J39" i="50" s="1"/>
  <c r="K39" i="50" s="1"/>
  <c r="G39" i="50"/>
  <c r="G37" i="50"/>
  <c r="G36" i="50"/>
  <c r="C36" i="50"/>
  <c r="F20" i="50"/>
  <c r="F19" i="50"/>
  <c r="F18" i="50"/>
  <c r="F17" i="50"/>
  <c r="C17" i="50"/>
  <c r="F16" i="50"/>
  <c r="F15" i="50"/>
  <c r="G13" i="50"/>
  <c r="H12" i="50"/>
  <c r="N27" i="58"/>
  <c r="N24" i="58"/>
  <c r="M24" i="58"/>
  <c r="L24" i="58"/>
  <c r="K24" i="58"/>
  <c r="J24" i="58"/>
  <c r="I24" i="58"/>
  <c r="H24" i="58"/>
  <c r="G24" i="58"/>
  <c r="F24" i="58"/>
  <c r="E24" i="58"/>
  <c r="D24" i="58"/>
  <c r="C24" i="58"/>
  <c r="N23" i="58"/>
  <c r="M23" i="58"/>
  <c r="L23" i="58"/>
  <c r="K23" i="58"/>
  <c r="J23" i="58"/>
  <c r="I23" i="58"/>
  <c r="H23" i="58"/>
  <c r="G23" i="58"/>
  <c r="F23" i="58"/>
  <c r="E23" i="58"/>
  <c r="D23" i="58"/>
  <c r="C23" i="58"/>
  <c r="N21" i="58"/>
  <c r="M21" i="58"/>
  <c r="L21" i="58"/>
  <c r="K21" i="58"/>
  <c r="J21" i="58"/>
  <c r="I21" i="58"/>
  <c r="H21" i="58"/>
  <c r="G21" i="58"/>
  <c r="F21" i="58"/>
  <c r="E21" i="58"/>
  <c r="D21" i="58"/>
  <c r="C21" i="58"/>
  <c r="Y20" i="58"/>
  <c r="Y19" i="58"/>
  <c r="Y18" i="58"/>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K563" i="32"/>
  <c r="J563" i="32"/>
  <c r="K562" i="32"/>
  <c r="J562" i="32"/>
  <c r="K561" i="32"/>
  <c r="J561" i="32"/>
  <c r="K560" i="32"/>
  <c r="J560" i="32"/>
  <c r="K559" i="32"/>
  <c r="J559" i="32"/>
  <c r="K558" i="32"/>
  <c r="J558" i="32"/>
  <c r="K557" i="32"/>
  <c r="J557" i="32"/>
  <c r="K556" i="32"/>
  <c r="J556" i="32"/>
  <c r="K555" i="32"/>
  <c r="J555" i="32"/>
  <c r="K554" i="32"/>
  <c r="J554" i="32"/>
  <c r="K553" i="32"/>
  <c r="J553" i="32"/>
  <c r="K552" i="32"/>
  <c r="J552" i="32"/>
  <c r="K551" i="32"/>
  <c r="J551" i="32"/>
  <c r="K550" i="32"/>
  <c r="J550" i="32"/>
  <c r="F544" i="32"/>
  <c r="F543" i="32"/>
  <c r="F542" i="32"/>
  <c r="E542" i="32"/>
  <c r="L532" i="32"/>
  <c r="K532" i="32"/>
  <c r="J532" i="32"/>
  <c r="I532" i="32"/>
  <c r="H532" i="32"/>
  <c r="G532" i="32"/>
  <c r="F532" i="32"/>
  <c r="E532" i="32"/>
  <c r="D532" i="32"/>
  <c r="L531" i="32"/>
  <c r="K531" i="32"/>
  <c r="J531" i="32"/>
  <c r="I531" i="32"/>
  <c r="H531" i="32"/>
  <c r="G531" i="32"/>
  <c r="F531" i="32"/>
  <c r="E531" i="32"/>
  <c r="D531" i="32"/>
  <c r="C531" i="32"/>
  <c r="L530" i="32"/>
  <c r="K530" i="32"/>
  <c r="J530" i="32"/>
  <c r="I530" i="32"/>
  <c r="H530" i="32"/>
  <c r="G530" i="32"/>
  <c r="F530" i="32"/>
  <c r="E530" i="32"/>
  <c r="D530" i="32"/>
  <c r="C530" i="32"/>
  <c r="L529" i="32"/>
  <c r="K529" i="32"/>
  <c r="J529" i="32"/>
  <c r="I529" i="32"/>
  <c r="H529" i="32"/>
  <c r="G529" i="32"/>
  <c r="F529" i="32"/>
  <c r="E529" i="32"/>
  <c r="D529" i="32"/>
  <c r="C529" i="32"/>
  <c r="L528" i="32"/>
  <c r="K528" i="32"/>
  <c r="J528" i="32"/>
  <c r="I528" i="32"/>
  <c r="H528" i="32"/>
  <c r="G528" i="32"/>
  <c r="F528" i="32"/>
  <c r="E528" i="32"/>
  <c r="D528" i="32"/>
  <c r="C528" i="32"/>
  <c r="L527" i="32"/>
  <c r="K527" i="32"/>
  <c r="J527" i="32"/>
  <c r="I527" i="32"/>
  <c r="H527" i="32"/>
  <c r="G527" i="32"/>
  <c r="F527" i="32"/>
  <c r="E527" i="32"/>
  <c r="D527" i="32"/>
  <c r="C527" i="32"/>
  <c r="L526" i="32"/>
  <c r="K526" i="32"/>
  <c r="J526" i="32"/>
  <c r="I526" i="32"/>
  <c r="H526" i="32"/>
  <c r="G526" i="32"/>
  <c r="F526" i="32"/>
  <c r="E526" i="32"/>
  <c r="D526" i="32"/>
  <c r="C526" i="32"/>
  <c r="L525" i="32"/>
  <c r="K525" i="32"/>
  <c r="J525" i="32"/>
  <c r="I525" i="32"/>
  <c r="H525" i="32"/>
  <c r="G525" i="32"/>
  <c r="F525" i="32"/>
  <c r="E525" i="32"/>
  <c r="D525" i="32"/>
  <c r="C525" i="32"/>
  <c r="L524" i="32"/>
  <c r="K524" i="32"/>
  <c r="J524" i="32"/>
  <c r="I524" i="32"/>
  <c r="H524" i="32"/>
  <c r="G524" i="32"/>
  <c r="F524" i="32"/>
  <c r="E524" i="32"/>
  <c r="D524" i="32"/>
  <c r="C524" i="32"/>
  <c r="L523" i="32"/>
  <c r="K523" i="32"/>
  <c r="J523" i="32"/>
  <c r="I523" i="32"/>
  <c r="H523" i="32"/>
  <c r="G523" i="32"/>
  <c r="F523" i="32"/>
  <c r="E523" i="32"/>
  <c r="D523" i="32"/>
  <c r="C523" i="32"/>
  <c r="L522" i="32"/>
  <c r="K522" i="32"/>
  <c r="J522" i="32"/>
  <c r="I522" i="32"/>
  <c r="H522" i="32"/>
  <c r="G522" i="32"/>
  <c r="F522" i="32"/>
  <c r="E522" i="32"/>
  <c r="D522" i="32"/>
  <c r="C522" i="32"/>
  <c r="L521" i="32"/>
  <c r="K521" i="32"/>
  <c r="J521" i="32"/>
  <c r="I521" i="32"/>
  <c r="H521" i="32"/>
  <c r="G521" i="32"/>
  <c r="F521" i="32"/>
  <c r="E521" i="32"/>
  <c r="D521" i="32"/>
  <c r="C521" i="32"/>
  <c r="L520" i="32"/>
  <c r="K520" i="32"/>
  <c r="J520" i="32"/>
  <c r="I520" i="32"/>
  <c r="H520" i="32"/>
  <c r="G520" i="32"/>
  <c r="F520" i="32"/>
  <c r="E520" i="32"/>
  <c r="D520" i="32"/>
  <c r="L519" i="32"/>
  <c r="K519" i="32"/>
  <c r="J519" i="32"/>
  <c r="I519" i="32"/>
  <c r="H519" i="32"/>
  <c r="G519" i="32"/>
  <c r="F519" i="32"/>
  <c r="E519" i="32"/>
  <c r="D519" i="32"/>
  <c r="C519" i="32"/>
  <c r="L518" i="32"/>
  <c r="K518" i="32"/>
  <c r="J518" i="32"/>
  <c r="I518" i="32"/>
  <c r="H518" i="32"/>
  <c r="G518" i="32"/>
  <c r="F518" i="32"/>
  <c r="E518" i="32"/>
  <c r="D518" i="32"/>
  <c r="C518" i="32"/>
  <c r="L517" i="32"/>
  <c r="K517" i="32"/>
  <c r="J517" i="32"/>
  <c r="I517" i="32"/>
  <c r="H517" i="32"/>
  <c r="G517" i="32"/>
  <c r="F517" i="32"/>
  <c r="E517" i="32"/>
  <c r="D517" i="32"/>
  <c r="C517" i="32"/>
  <c r="L516" i="32"/>
  <c r="K516" i="32"/>
  <c r="J516" i="32"/>
  <c r="I516" i="32"/>
  <c r="H516" i="32"/>
  <c r="G516" i="32"/>
  <c r="F516" i="32"/>
  <c r="E516" i="32"/>
  <c r="D516" i="32"/>
  <c r="C516" i="32"/>
  <c r="L515" i="32"/>
  <c r="K515" i="32"/>
  <c r="J515" i="32"/>
  <c r="I515" i="32"/>
  <c r="H515" i="32"/>
  <c r="G515" i="32"/>
  <c r="F515" i="32"/>
  <c r="E515" i="32"/>
  <c r="D515" i="32"/>
  <c r="C515" i="32"/>
  <c r="L514" i="32"/>
  <c r="K514" i="32"/>
  <c r="J514" i="32"/>
  <c r="I514" i="32"/>
  <c r="H514" i="32"/>
  <c r="G514" i="32"/>
  <c r="F514" i="32"/>
  <c r="E514" i="32"/>
  <c r="D514" i="32"/>
  <c r="C514" i="32"/>
  <c r="L513" i="32"/>
  <c r="K513" i="32"/>
  <c r="J513" i="32"/>
  <c r="I513" i="32"/>
  <c r="H513" i="32"/>
  <c r="G513" i="32"/>
  <c r="F513" i="32"/>
  <c r="E513" i="32"/>
  <c r="D513" i="32"/>
  <c r="C513" i="32"/>
  <c r="L512" i="32"/>
  <c r="K512" i="32"/>
  <c r="J512" i="32"/>
  <c r="I512" i="32"/>
  <c r="H512" i="32"/>
  <c r="G512" i="32"/>
  <c r="F512" i="32"/>
  <c r="E512" i="32"/>
  <c r="D512" i="32"/>
  <c r="C512" i="32"/>
  <c r="L511" i="32"/>
  <c r="K511" i="32"/>
  <c r="J511" i="32"/>
  <c r="I511" i="32"/>
  <c r="H511" i="32"/>
  <c r="G511" i="32"/>
  <c r="F511" i="32"/>
  <c r="E511" i="32"/>
  <c r="D511" i="32"/>
  <c r="C511" i="32"/>
  <c r="L510" i="32"/>
  <c r="K510" i="32"/>
  <c r="J510" i="32"/>
  <c r="I510" i="32"/>
  <c r="H510" i="32"/>
  <c r="G510" i="32"/>
  <c r="F510" i="32"/>
  <c r="E510" i="32"/>
  <c r="D510" i="32"/>
  <c r="C510" i="32"/>
  <c r="L509" i="32"/>
  <c r="K509" i="32"/>
  <c r="J509" i="32"/>
  <c r="I509" i="32"/>
  <c r="H509" i="32"/>
  <c r="G509" i="32"/>
  <c r="F509" i="32"/>
  <c r="E509" i="32"/>
  <c r="D509" i="32"/>
  <c r="C509" i="32"/>
  <c r="L508" i="32"/>
  <c r="K508" i="32"/>
  <c r="J508" i="32"/>
  <c r="I508" i="32"/>
  <c r="H508" i="32"/>
  <c r="G508" i="32"/>
  <c r="F508" i="32"/>
  <c r="E508" i="32"/>
  <c r="D508" i="32"/>
  <c r="C508" i="32"/>
  <c r="L507" i="32"/>
  <c r="K507" i="32"/>
  <c r="J507" i="32"/>
  <c r="I507" i="32"/>
  <c r="H507" i="32"/>
  <c r="G507" i="32"/>
  <c r="F507" i="32"/>
  <c r="E507" i="32"/>
  <c r="D507" i="32"/>
  <c r="C507" i="32"/>
  <c r="L506" i="32"/>
  <c r="K506" i="32"/>
  <c r="J506" i="32"/>
  <c r="I506" i="32"/>
  <c r="H506" i="32"/>
  <c r="G506" i="32"/>
  <c r="F506" i="32"/>
  <c r="E506" i="32"/>
  <c r="D506" i="32"/>
  <c r="C506" i="32"/>
  <c r="L505" i="32"/>
  <c r="K505" i="32"/>
  <c r="J505" i="32"/>
  <c r="I505" i="32"/>
  <c r="H505" i="32"/>
  <c r="G505" i="32"/>
  <c r="F505" i="32"/>
  <c r="E505" i="32"/>
  <c r="D505" i="32"/>
  <c r="C505" i="32"/>
  <c r="L504" i="32"/>
  <c r="K504" i="32"/>
  <c r="J504" i="32"/>
  <c r="I504" i="32"/>
  <c r="H504" i="32"/>
  <c r="G504" i="32"/>
  <c r="F504" i="32"/>
  <c r="E504" i="32"/>
  <c r="D504" i="32"/>
  <c r="C504" i="32"/>
  <c r="L503" i="32"/>
  <c r="K503" i="32"/>
  <c r="J503" i="32"/>
  <c r="I503" i="32"/>
  <c r="H503" i="32"/>
  <c r="G503" i="32"/>
  <c r="F503" i="32"/>
  <c r="E503" i="32"/>
  <c r="D503" i="32"/>
  <c r="C503" i="32"/>
  <c r="L502" i="32"/>
  <c r="K502" i="32"/>
  <c r="J502" i="32"/>
  <c r="I502" i="32"/>
  <c r="H502" i="32"/>
  <c r="G502" i="32"/>
  <c r="F502" i="32"/>
  <c r="E502" i="32"/>
  <c r="D502" i="32"/>
  <c r="C502" i="32"/>
  <c r="L501" i="32"/>
  <c r="K501" i="32"/>
  <c r="J501" i="32"/>
  <c r="I501" i="32"/>
  <c r="H501" i="32"/>
  <c r="G501" i="32"/>
  <c r="F501" i="32"/>
  <c r="E501" i="32"/>
  <c r="D501" i="32"/>
  <c r="C501" i="32"/>
  <c r="L500" i="32"/>
  <c r="K500" i="32"/>
  <c r="J500" i="32"/>
  <c r="I500" i="32"/>
  <c r="H500" i="32"/>
  <c r="G500" i="32"/>
  <c r="F500" i="32"/>
  <c r="E500" i="32"/>
  <c r="D500" i="32"/>
  <c r="C500" i="32"/>
  <c r="L499" i="32"/>
  <c r="K499" i="32"/>
  <c r="J499" i="32"/>
  <c r="I499" i="32"/>
  <c r="H499" i="32"/>
  <c r="G499" i="32"/>
  <c r="F499" i="32"/>
  <c r="E499" i="32"/>
  <c r="D499" i="32"/>
  <c r="C499" i="32"/>
  <c r="L498" i="32"/>
  <c r="K498" i="32"/>
  <c r="J498" i="32"/>
  <c r="I498" i="32"/>
  <c r="H498" i="32"/>
  <c r="G498" i="32"/>
  <c r="F498" i="32"/>
  <c r="E498" i="32"/>
  <c r="D498" i="32"/>
  <c r="C498" i="32"/>
  <c r="L497" i="32"/>
  <c r="K497" i="32"/>
  <c r="J497" i="32"/>
  <c r="I497" i="32"/>
  <c r="H497" i="32"/>
  <c r="G497" i="32"/>
  <c r="F497" i="32"/>
  <c r="E497" i="32"/>
  <c r="D497" i="32"/>
  <c r="L496" i="32"/>
  <c r="K496" i="32"/>
  <c r="J496" i="32"/>
  <c r="I496" i="32"/>
  <c r="H496" i="32"/>
  <c r="G496" i="32"/>
  <c r="F496" i="32"/>
  <c r="E496" i="32"/>
  <c r="D496" i="32"/>
  <c r="C496" i="32"/>
  <c r="L495" i="32"/>
  <c r="K495" i="32"/>
  <c r="J495" i="32"/>
  <c r="I495" i="32"/>
  <c r="H495" i="32"/>
  <c r="G495" i="32"/>
  <c r="F495" i="32"/>
  <c r="E495" i="32"/>
  <c r="D495" i="32"/>
  <c r="C495" i="32"/>
  <c r="L494" i="32"/>
  <c r="K494" i="32"/>
  <c r="J494" i="32"/>
  <c r="I494" i="32"/>
  <c r="H494" i="32"/>
  <c r="G494" i="32"/>
  <c r="F494" i="32"/>
  <c r="E494" i="32"/>
  <c r="D494" i="32"/>
  <c r="C494" i="32"/>
  <c r="L493" i="32"/>
  <c r="K493" i="32"/>
  <c r="J493" i="32"/>
  <c r="I493" i="32"/>
  <c r="H493" i="32"/>
  <c r="G493" i="32"/>
  <c r="F493" i="32"/>
  <c r="E493" i="32"/>
  <c r="D493" i="32"/>
  <c r="C493" i="32"/>
  <c r="L492" i="32"/>
  <c r="K492" i="32"/>
  <c r="J492" i="32"/>
  <c r="I492" i="32"/>
  <c r="H492" i="32"/>
  <c r="G492" i="32"/>
  <c r="F492" i="32"/>
  <c r="E492" i="32"/>
  <c r="D492" i="32"/>
  <c r="C492" i="32"/>
  <c r="L491" i="32"/>
  <c r="K491" i="32"/>
  <c r="J491" i="32"/>
  <c r="I491" i="32"/>
  <c r="H491" i="32"/>
  <c r="G491" i="32"/>
  <c r="F491" i="32"/>
  <c r="E491" i="32"/>
  <c r="D491" i="32"/>
  <c r="C491" i="32"/>
  <c r="L490" i="32"/>
  <c r="K490" i="32"/>
  <c r="J490" i="32"/>
  <c r="I490" i="32"/>
  <c r="H490" i="32"/>
  <c r="G490" i="32"/>
  <c r="F490" i="32"/>
  <c r="E490" i="32"/>
  <c r="D490" i="32"/>
  <c r="C490" i="32"/>
  <c r="L489" i="32"/>
  <c r="K489" i="32"/>
  <c r="J489" i="32"/>
  <c r="I489" i="32"/>
  <c r="H489" i="32"/>
  <c r="G489" i="32"/>
  <c r="F489" i="32"/>
  <c r="E489" i="32"/>
  <c r="D489" i="32"/>
  <c r="C489" i="32"/>
  <c r="L488" i="32"/>
  <c r="K488" i="32"/>
  <c r="J488" i="32"/>
  <c r="I488" i="32"/>
  <c r="H488" i="32"/>
  <c r="G488" i="32"/>
  <c r="F488" i="32"/>
  <c r="E488" i="32"/>
  <c r="D488" i="32"/>
  <c r="C488" i="32"/>
  <c r="L487" i="32"/>
  <c r="K487" i="32"/>
  <c r="J487" i="32"/>
  <c r="I487" i="32"/>
  <c r="H487" i="32"/>
  <c r="G487" i="32"/>
  <c r="F487" i="32"/>
  <c r="E487" i="32"/>
  <c r="D487" i="32"/>
  <c r="C487" i="32"/>
  <c r="L486" i="32"/>
  <c r="K486" i="32"/>
  <c r="J486" i="32"/>
  <c r="I486" i="32"/>
  <c r="H486" i="32"/>
  <c r="G486" i="32"/>
  <c r="F486" i="32"/>
  <c r="E486" i="32"/>
  <c r="D486" i="32"/>
  <c r="C486" i="32"/>
  <c r="L485" i="32"/>
  <c r="K485" i="32"/>
  <c r="J485" i="32"/>
  <c r="I485" i="32"/>
  <c r="H485" i="32"/>
  <c r="G485" i="32"/>
  <c r="F485" i="32"/>
  <c r="E485" i="32"/>
  <c r="D485" i="32"/>
  <c r="C485" i="32"/>
  <c r="L484" i="32"/>
  <c r="K484" i="32"/>
  <c r="J484" i="32"/>
  <c r="I484" i="32"/>
  <c r="H484" i="32"/>
  <c r="G484" i="32"/>
  <c r="F484" i="32"/>
  <c r="E484" i="32"/>
  <c r="D484" i="32"/>
  <c r="C484" i="32"/>
  <c r="L483" i="32"/>
  <c r="K483" i="32"/>
  <c r="J483" i="32"/>
  <c r="I483" i="32"/>
  <c r="H483" i="32"/>
  <c r="G483" i="32"/>
  <c r="F483" i="32"/>
  <c r="E483" i="32"/>
  <c r="D483" i="32"/>
  <c r="C483" i="32"/>
  <c r="L482" i="32"/>
  <c r="K482" i="32"/>
  <c r="J482" i="32"/>
  <c r="I482" i="32"/>
  <c r="H482" i="32"/>
  <c r="G482" i="32"/>
  <c r="F482" i="32"/>
  <c r="E482" i="32"/>
  <c r="D482" i="32"/>
  <c r="C482" i="32"/>
  <c r="L481" i="32"/>
  <c r="K481" i="32"/>
  <c r="J481" i="32"/>
  <c r="I481" i="32"/>
  <c r="H481" i="32"/>
  <c r="G481" i="32"/>
  <c r="F481" i="32"/>
  <c r="E481" i="32"/>
  <c r="D481" i="32"/>
  <c r="C481" i="32"/>
  <c r="L480" i="32"/>
  <c r="K480" i="32"/>
  <c r="J480" i="32"/>
  <c r="I480" i="32"/>
  <c r="H480" i="32"/>
  <c r="G480" i="32"/>
  <c r="F480" i="32"/>
  <c r="E480" i="32"/>
  <c r="D480" i="32"/>
  <c r="C480" i="32"/>
  <c r="L479" i="32"/>
  <c r="K479" i="32"/>
  <c r="J479" i="32"/>
  <c r="I479" i="32"/>
  <c r="H479" i="32"/>
  <c r="G479" i="32"/>
  <c r="F479" i="32"/>
  <c r="E479" i="32"/>
  <c r="D479" i="32"/>
  <c r="C479" i="32"/>
  <c r="L478" i="32"/>
  <c r="K478" i="32"/>
  <c r="J478" i="32"/>
  <c r="I478" i="32"/>
  <c r="H478" i="32"/>
  <c r="G478" i="32"/>
  <c r="F478" i="32"/>
  <c r="E478" i="32"/>
  <c r="D478" i="32"/>
  <c r="C478" i="32"/>
  <c r="L477" i="32"/>
  <c r="K477" i="32"/>
  <c r="J477" i="32"/>
  <c r="I477" i="32"/>
  <c r="H477" i="32"/>
  <c r="G477" i="32"/>
  <c r="F477" i="32"/>
  <c r="E477" i="32"/>
  <c r="D477" i="32"/>
  <c r="C477" i="32"/>
  <c r="L476" i="32"/>
  <c r="K476" i="32"/>
  <c r="J476" i="32"/>
  <c r="I476" i="32"/>
  <c r="H476" i="32"/>
  <c r="G476" i="32"/>
  <c r="F476" i="32"/>
  <c r="E476" i="32"/>
  <c r="D476" i="32"/>
  <c r="C476" i="32"/>
  <c r="L475" i="32"/>
  <c r="K475" i="32"/>
  <c r="J475" i="32"/>
  <c r="I475" i="32"/>
  <c r="H475" i="32"/>
  <c r="G475" i="32"/>
  <c r="F475" i="32"/>
  <c r="E475" i="32"/>
  <c r="D475" i="32"/>
  <c r="C475" i="32"/>
  <c r="L474" i="32"/>
  <c r="K474" i="32"/>
  <c r="J474" i="32"/>
  <c r="I474" i="32"/>
  <c r="H474" i="32"/>
  <c r="G474" i="32"/>
  <c r="F474" i="32"/>
  <c r="E474" i="32"/>
  <c r="D474" i="32"/>
  <c r="C474" i="32"/>
  <c r="L473" i="32"/>
  <c r="K473" i="32"/>
  <c r="J473" i="32"/>
  <c r="I473" i="32"/>
  <c r="H473" i="32"/>
  <c r="G473" i="32"/>
  <c r="F473" i="32"/>
  <c r="E473" i="32"/>
  <c r="D473" i="32"/>
  <c r="C473" i="32"/>
  <c r="L472" i="32"/>
  <c r="K472" i="32"/>
  <c r="J472" i="32"/>
  <c r="I472" i="32"/>
  <c r="H472" i="32"/>
  <c r="G472" i="32"/>
  <c r="F472" i="32"/>
  <c r="E472" i="32"/>
  <c r="D472" i="32"/>
  <c r="C472" i="32"/>
  <c r="L471" i="32"/>
  <c r="K471" i="32"/>
  <c r="J471" i="32"/>
  <c r="I471" i="32"/>
  <c r="H471" i="32"/>
  <c r="G471" i="32"/>
  <c r="F471" i="32"/>
  <c r="E471" i="32"/>
  <c r="D471" i="32"/>
  <c r="C471" i="32"/>
  <c r="L470" i="32"/>
  <c r="K470" i="32"/>
  <c r="J470" i="32"/>
  <c r="I470" i="32"/>
  <c r="H470" i="32"/>
  <c r="G470" i="32"/>
  <c r="F470" i="32"/>
  <c r="E470" i="32"/>
  <c r="D470" i="32"/>
  <c r="C470" i="32"/>
  <c r="L469" i="32"/>
  <c r="K469" i="32"/>
  <c r="J469" i="32"/>
  <c r="I469" i="32"/>
  <c r="H469" i="32"/>
  <c r="G469" i="32"/>
  <c r="F469" i="32"/>
  <c r="E469" i="32"/>
  <c r="D469" i="32"/>
  <c r="C469" i="32"/>
  <c r="L468" i="32"/>
  <c r="K468" i="32"/>
  <c r="J468" i="32"/>
  <c r="I468" i="32"/>
  <c r="H468" i="32"/>
  <c r="G468" i="32"/>
  <c r="F468" i="32"/>
  <c r="E468" i="32"/>
  <c r="D468" i="32"/>
  <c r="C468" i="32"/>
  <c r="L467" i="32"/>
  <c r="K467" i="32"/>
  <c r="J467" i="32"/>
  <c r="I467" i="32"/>
  <c r="H467" i="32"/>
  <c r="G467" i="32"/>
  <c r="F467" i="32"/>
  <c r="E467" i="32"/>
  <c r="D467" i="32"/>
  <c r="C467" i="32"/>
  <c r="L466" i="32"/>
  <c r="K466" i="32"/>
  <c r="J466" i="32"/>
  <c r="I466" i="32"/>
  <c r="H466" i="32"/>
  <c r="G466" i="32"/>
  <c r="F466" i="32"/>
  <c r="E466" i="32"/>
  <c r="D466" i="32"/>
  <c r="C466" i="32"/>
  <c r="L465" i="32"/>
  <c r="K465" i="32"/>
  <c r="J465" i="32"/>
  <c r="I465" i="32"/>
  <c r="H465" i="32"/>
  <c r="G465" i="32"/>
  <c r="F465" i="32"/>
  <c r="E465" i="32"/>
  <c r="D465" i="32"/>
  <c r="C465" i="32"/>
  <c r="L464" i="32"/>
  <c r="K464" i="32"/>
  <c r="J464" i="32"/>
  <c r="I464" i="32"/>
  <c r="H464" i="32"/>
  <c r="G464" i="32"/>
  <c r="F464" i="32"/>
  <c r="E464" i="32"/>
  <c r="D464" i="32"/>
  <c r="C464" i="32"/>
  <c r="L463" i="32"/>
  <c r="K463" i="32"/>
  <c r="J463" i="32"/>
  <c r="I463" i="32"/>
  <c r="H463" i="32"/>
  <c r="G463" i="32"/>
  <c r="F463" i="32"/>
  <c r="E463" i="32"/>
  <c r="D463" i="32"/>
  <c r="C463" i="32"/>
  <c r="L462" i="32"/>
  <c r="K462" i="32"/>
  <c r="J462" i="32"/>
  <c r="I462" i="32"/>
  <c r="H462" i="32"/>
  <c r="G462" i="32"/>
  <c r="F462" i="32"/>
  <c r="E462" i="32"/>
  <c r="D462" i="32"/>
  <c r="C462" i="32"/>
  <c r="L461" i="32"/>
  <c r="K461" i="32"/>
  <c r="J461" i="32"/>
  <c r="I461" i="32"/>
  <c r="H461" i="32"/>
  <c r="G461" i="32"/>
  <c r="F461" i="32"/>
  <c r="E461" i="32"/>
  <c r="D461" i="32"/>
  <c r="C461" i="32"/>
  <c r="L460" i="32"/>
  <c r="K460" i="32"/>
  <c r="J460" i="32"/>
  <c r="I460" i="32"/>
  <c r="H460" i="32"/>
  <c r="G460" i="32"/>
  <c r="F460" i="32"/>
  <c r="E460" i="32"/>
  <c r="D460" i="32"/>
  <c r="C460" i="32"/>
  <c r="L459" i="32"/>
  <c r="K459" i="32"/>
  <c r="J459" i="32"/>
  <c r="I459" i="32"/>
  <c r="H459" i="32"/>
  <c r="G459" i="32"/>
  <c r="F459" i="32"/>
  <c r="E459" i="32"/>
  <c r="D459" i="32"/>
  <c r="C459" i="32"/>
  <c r="L458" i="32"/>
  <c r="K458" i="32"/>
  <c r="J458" i="32"/>
  <c r="I458" i="32"/>
  <c r="H458" i="32"/>
  <c r="G458" i="32"/>
  <c r="F458" i="32"/>
  <c r="E458" i="32"/>
  <c r="D458" i="32"/>
  <c r="C458" i="32"/>
  <c r="L457" i="32"/>
  <c r="K457" i="32"/>
  <c r="J457" i="32"/>
  <c r="I457" i="32"/>
  <c r="H457" i="32"/>
  <c r="G457" i="32"/>
  <c r="F457" i="32"/>
  <c r="E457" i="32"/>
  <c r="D457" i="32"/>
  <c r="C457" i="32"/>
  <c r="L456" i="32"/>
  <c r="K456" i="32"/>
  <c r="J456" i="32"/>
  <c r="I456" i="32"/>
  <c r="H456" i="32"/>
  <c r="G456" i="32"/>
  <c r="F456" i="32"/>
  <c r="E456" i="32"/>
  <c r="D456" i="32"/>
  <c r="C456" i="32"/>
  <c r="L455" i="32"/>
  <c r="K455" i="32"/>
  <c r="J455" i="32"/>
  <c r="I455" i="32"/>
  <c r="H455" i="32"/>
  <c r="G455" i="32"/>
  <c r="F455" i="32"/>
  <c r="E455" i="32"/>
  <c r="D455" i="32"/>
  <c r="C455" i="32"/>
  <c r="L454" i="32"/>
  <c r="K454" i="32"/>
  <c r="J454" i="32"/>
  <c r="I454" i="32"/>
  <c r="H454" i="32"/>
  <c r="G454" i="32"/>
  <c r="F454" i="32"/>
  <c r="E454" i="32"/>
  <c r="D454" i="32"/>
  <c r="C454" i="32"/>
  <c r="L453" i="32"/>
  <c r="K453" i="32"/>
  <c r="J453" i="32"/>
  <c r="I453" i="32"/>
  <c r="H453" i="32"/>
  <c r="G453" i="32"/>
  <c r="F453" i="32"/>
  <c r="E453" i="32"/>
  <c r="D453" i="32"/>
  <c r="C453" i="32"/>
  <c r="L452" i="32"/>
  <c r="K452" i="32"/>
  <c r="J452" i="32"/>
  <c r="I452" i="32"/>
  <c r="H452" i="32"/>
  <c r="G452" i="32"/>
  <c r="F452" i="32"/>
  <c r="E452" i="32"/>
  <c r="D452" i="32"/>
  <c r="C452" i="32"/>
  <c r="L451" i="32"/>
  <c r="K451" i="32"/>
  <c r="J451" i="32"/>
  <c r="I451" i="32"/>
  <c r="H451" i="32"/>
  <c r="G451" i="32"/>
  <c r="F451" i="32"/>
  <c r="E451" i="32"/>
  <c r="D451" i="32"/>
  <c r="C451" i="32"/>
  <c r="L450" i="32"/>
  <c r="K450" i="32"/>
  <c r="J450" i="32"/>
  <c r="I450" i="32"/>
  <c r="H450" i="32"/>
  <c r="G450" i="32"/>
  <c r="F450" i="32"/>
  <c r="E450" i="32"/>
  <c r="D450" i="32"/>
  <c r="C450" i="32"/>
  <c r="L449" i="32"/>
  <c r="K449" i="32"/>
  <c r="J449" i="32"/>
  <c r="I449" i="32"/>
  <c r="H449" i="32"/>
  <c r="G449" i="32"/>
  <c r="F449" i="32"/>
  <c r="E449" i="32"/>
  <c r="D449" i="32"/>
  <c r="C449" i="32"/>
  <c r="L448" i="32"/>
  <c r="K448" i="32"/>
  <c r="J448" i="32"/>
  <c r="I448" i="32"/>
  <c r="H448" i="32"/>
  <c r="G448" i="32"/>
  <c r="F448" i="32"/>
  <c r="E448" i="32"/>
  <c r="D448" i="32"/>
  <c r="C448" i="32"/>
  <c r="L447" i="32"/>
  <c r="K447" i="32"/>
  <c r="J447" i="32"/>
  <c r="I447" i="32"/>
  <c r="H447" i="32"/>
  <c r="G447" i="32"/>
  <c r="F447" i="32"/>
  <c r="E447" i="32"/>
  <c r="D447" i="32"/>
  <c r="C447" i="32"/>
  <c r="L446" i="32"/>
  <c r="K446" i="32"/>
  <c r="J446" i="32"/>
  <c r="I446" i="32"/>
  <c r="H446" i="32"/>
  <c r="G446" i="32"/>
  <c r="F446" i="32"/>
  <c r="E446" i="32"/>
  <c r="D446" i="32"/>
  <c r="C446" i="32"/>
  <c r="L445" i="32"/>
  <c r="K445" i="32"/>
  <c r="J445" i="32"/>
  <c r="I445" i="32"/>
  <c r="H445" i="32"/>
  <c r="G445" i="32"/>
  <c r="F445" i="32"/>
  <c r="E445" i="32"/>
  <c r="D445" i="32"/>
  <c r="C445" i="32"/>
  <c r="L444" i="32"/>
  <c r="K444" i="32"/>
  <c r="J444" i="32"/>
  <c r="I444" i="32"/>
  <c r="H444" i="32"/>
  <c r="G444" i="32"/>
  <c r="F444" i="32"/>
  <c r="E444" i="32"/>
  <c r="D444" i="32"/>
  <c r="C444" i="32"/>
  <c r="L443" i="32"/>
  <c r="K443" i="32"/>
  <c r="J443" i="32"/>
  <c r="I443" i="32"/>
  <c r="H443" i="32"/>
  <c r="G443" i="32"/>
  <c r="F443" i="32"/>
  <c r="E443" i="32"/>
  <c r="D443" i="32"/>
  <c r="C443" i="32"/>
  <c r="L442" i="32"/>
  <c r="K442" i="32"/>
  <c r="J442" i="32"/>
  <c r="I442" i="32"/>
  <c r="H442" i="32"/>
  <c r="G442" i="32"/>
  <c r="F442" i="32"/>
  <c r="E442" i="32"/>
  <c r="D442" i="32"/>
  <c r="C442" i="32"/>
  <c r="L441" i="32"/>
  <c r="K441" i="32"/>
  <c r="J441" i="32"/>
  <c r="I441" i="32"/>
  <c r="H441" i="32"/>
  <c r="G441" i="32"/>
  <c r="F441" i="32"/>
  <c r="E441" i="32"/>
  <c r="D441" i="32"/>
  <c r="C441" i="32"/>
  <c r="L440" i="32"/>
  <c r="K440" i="32"/>
  <c r="J440" i="32"/>
  <c r="I440" i="32"/>
  <c r="H440" i="32"/>
  <c r="G440" i="32"/>
  <c r="F440" i="32"/>
  <c r="E440" i="32"/>
  <c r="D440" i="32"/>
  <c r="C440" i="32"/>
  <c r="L439" i="32"/>
  <c r="K439" i="32"/>
  <c r="J439" i="32"/>
  <c r="I439" i="32"/>
  <c r="H439" i="32"/>
  <c r="G439" i="32"/>
  <c r="F439" i="32"/>
  <c r="E439" i="32"/>
  <c r="D439" i="32"/>
  <c r="C439" i="32"/>
  <c r="L438" i="32"/>
  <c r="K438" i="32"/>
  <c r="J438" i="32"/>
  <c r="I438" i="32"/>
  <c r="H438" i="32"/>
  <c r="G438" i="32"/>
  <c r="F438" i="32"/>
  <c r="E438" i="32"/>
  <c r="D438" i="32"/>
  <c r="C438" i="32"/>
  <c r="L437" i="32"/>
  <c r="K437" i="32"/>
  <c r="J437" i="32"/>
  <c r="I437" i="32"/>
  <c r="H437" i="32"/>
  <c r="G437" i="32"/>
  <c r="F437" i="32"/>
  <c r="E437" i="32"/>
  <c r="D437" i="32"/>
  <c r="C437" i="32"/>
  <c r="L436" i="32"/>
  <c r="K436" i="32"/>
  <c r="J436" i="32"/>
  <c r="I436" i="32"/>
  <c r="H436" i="32"/>
  <c r="G436" i="32"/>
  <c r="F436" i="32"/>
  <c r="E436" i="32"/>
  <c r="D436" i="32"/>
  <c r="C436" i="32"/>
  <c r="L435" i="32"/>
  <c r="K435" i="32"/>
  <c r="J435" i="32"/>
  <c r="I435" i="32"/>
  <c r="H435" i="32"/>
  <c r="G435" i="32"/>
  <c r="F435" i="32"/>
  <c r="E435" i="32"/>
  <c r="D435" i="32"/>
  <c r="C435" i="32"/>
  <c r="L434" i="32"/>
  <c r="K434" i="32"/>
  <c r="J434" i="32"/>
  <c r="I434" i="32"/>
  <c r="H434" i="32"/>
  <c r="G434" i="32"/>
  <c r="F434" i="32"/>
  <c r="E434" i="32"/>
  <c r="D434" i="32"/>
  <c r="C434" i="32"/>
  <c r="L433" i="32"/>
  <c r="K433" i="32"/>
  <c r="J433" i="32"/>
  <c r="I433" i="32"/>
  <c r="H433" i="32"/>
  <c r="G433" i="32"/>
  <c r="F433" i="32"/>
  <c r="E433" i="32"/>
  <c r="D433" i="32"/>
  <c r="C433" i="32"/>
  <c r="L432" i="32"/>
  <c r="K432" i="32"/>
  <c r="J432" i="32"/>
  <c r="I432" i="32"/>
  <c r="H432" i="32"/>
  <c r="G432" i="32"/>
  <c r="F432" i="32"/>
  <c r="E432" i="32"/>
  <c r="D432" i="32"/>
  <c r="C432" i="32"/>
  <c r="L431" i="32"/>
  <c r="K431" i="32"/>
  <c r="J431" i="32"/>
  <c r="I431" i="32"/>
  <c r="H431" i="32"/>
  <c r="G431" i="32"/>
  <c r="F431" i="32"/>
  <c r="E431" i="32"/>
  <c r="D431" i="32"/>
  <c r="C431" i="32"/>
  <c r="L430" i="32"/>
  <c r="K430" i="32"/>
  <c r="J430" i="32"/>
  <c r="I430" i="32"/>
  <c r="H430" i="32"/>
  <c r="G430" i="32"/>
  <c r="F430" i="32"/>
  <c r="E430" i="32"/>
  <c r="D430" i="32"/>
  <c r="C430" i="32"/>
  <c r="L429" i="32"/>
  <c r="K429" i="32"/>
  <c r="J429" i="32"/>
  <c r="I429" i="32"/>
  <c r="H429" i="32"/>
  <c r="G429" i="32"/>
  <c r="F429" i="32"/>
  <c r="E429" i="32"/>
  <c r="D429" i="32"/>
  <c r="C429" i="32"/>
  <c r="L428" i="32"/>
  <c r="K428" i="32"/>
  <c r="J428" i="32"/>
  <c r="I428" i="32"/>
  <c r="H428" i="32"/>
  <c r="G428" i="32"/>
  <c r="F428" i="32"/>
  <c r="E428" i="32"/>
  <c r="D428" i="32"/>
  <c r="C428" i="32"/>
  <c r="L427" i="32"/>
  <c r="K427" i="32"/>
  <c r="J427" i="32"/>
  <c r="I427" i="32"/>
  <c r="H427" i="32"/>
  <c r="G427" i="32"/>
  <c r="F427" i="32"/>
  <c r="E427" i="32"/>
  <c r="D427" i="32"/>
  <c r="C427" i="32"/>
  <c r="L426" i="32"/>
  <c r="K426" i="32"/>
  <c r="J426" i="32"/>
  <c r="I426" i="32"/>
  <c r="H426" i="32"/>
  <c r="G426" i="32"/>
  <c r="F426" i="32"/>
  <c r="E426" i="32"/>
  <c r="D426" i="32"/>
  <c r="C426" i="32"/>
  <c r="L425" i="32"/>
  <c r="K425" i="32"/>
  <c r="J425" i="32"/>
  <c r="I425" i="32"/>
  <c r="H425" i="32"/>
  <c r="G425" i="32"/>
  <c r="F425" i="32"/>
  <c r="E425" i="32"/>
  <c r="D425" i="32"/>
  <c r="C425" i="32"/>
  <c r="L424" i="32"/>
  <c r="K424" i="32"/>
  <c r="J424" i="32"/>
  <c r="I424" i="32"/>
  <c r="H424" i="32"/>
  <c r="G424" i="32"/>
  <c r="F424" i="32"/>
  <c r="E424" i="32"/>
  <c r="D424" i="32"/>
  <c r="C424" i="32"/>
  <c r="L423" i="32"/>
  <c r="K423" i="32"/>
  <c r="J423" i="32"/>
  <c r="I423" i="32"/>
  <c r="H423" i="32"/>
  <c r="G423" i="32"/>
  <c r="F423" i="32"/>
  <c r="E423" i="32"/>
  <c r="D423" i="32"/>
  <c r="C423" i="32"/>
  <c r="L422" i="32"/>
  <c r="K422" i="32"/>
  <c r="J422" i="32"/>
  <c r="I422" i="32"/>
  <c r="H422" i="32"/>
  <c r="G422" i="32"/>
  <c r="F422" i="32"/>
  <c r="E422" i="32"/>
  <c r="D422" i="32"/>
  <c r="C422" i="32"/>
  <c r="L421" i="32"/>
  <c r="K421" i="32"/>
  <c r="J421" i="32"/>
  <c r="I421" i="32"/>
  <c r="H421" i="32"/>
  <c r="G421" i="32"/>
  <c r="F421" i="32"/>
  <c r="E421" i="32"/>
  <c r="D421" i="32"/>
  <c r="C421" i="32"/>
  <c r="L420" i="32"/>
  <c r="K420" i="32"/>
  <c r="J420" i="32"/>
  <c r="I420" i="32"/>
  <c r="H420" i="32"/>
  <c r="G420" i="32"/>
  <c r="F420" i="32"/>
  <c r="E420" i="32"/>
  <c r="D420" i="32"/>
  <c r="C420" i="32"/>
  <c r="L419" i="32"/>
  <c r="K419" i="32"/>
  <c r="J419" i="32"/>
  <c r="I419" i="32"/>
  <c r="H419" i="32"/>
  <c r="G419" i="32"/>
  <c r="F419" i="32"/>
  <c r="E419" i="32"/>
  <c r="D419" i="32"/>
  <c r="C419" i="32"/>
  <c r="L418" i="32"/>
  <c r="K418" i="32"/>
  <c r="J418" i="32"/>
  <c r="I418" i="32"/>
  <c r="H418" i="32"/>
  <c r="G418" i="32"/>
  <c r="F418" i="32"/>
  <c r="E418" i="32"/>
  <c r="D418" i="32"/>
  <c r="C418" i="32"/>
  <c r="L417" i="32"/>
  <c r="K417" i="32"/>
  <c r="J417" i="32"/>
  <c r="I417" i="32"/>
  <c r="H417" i="32"/>
  <c r="G417" i="32"/>
  <c r="F417" i="32"/>
  <c r="E417" i="32"/>
  <c r="D417" i="32"/>
  <c r="C417" i="32"/>
  <c r="L416" i="32"/>
  <c r="K416" i="32"/>
  <c r="J416" i="32"/>
  <c r="I416" i="32"/>
  <c r="H416" i="32"/>
  <c r="G416" i="32"/>
  <c r="F416" i="32"/>
  <c r="E416" i="32"/>
  <c r="D416" i="32"/>
  <c r="C416" i="32"/>
  <c r="L415" i="32"/>
  <c r="K415" i="32"/>
  <c r="J415" i="32"/>
  <c r="I415" i="32"/>
  <c r="H415" i="32"/>
  <c r="G415" i="32"/>
  <c r="F415" i="32"/>
  <c r="E415" i="32"/>
  <c r="D415" i="32"/>
  <c r="C415" i="32"/>
  <c r="L414" i="32"/>
  <c r="K414" i="32"/>
  <c r="J414" i="32"/>
  <c r="I414" i="32"/>
  <c r="H414" i="32"/>
  <c r="G414" i="32"/>
  <c r="F414" i="32"/>
  <c r="E414" i="32"/>
  <c r="D414" i="32"/>
  <c r="C414" i="32"/>
  <c r="L413" i="32"/>
  <c r="K413" i="32"/>
  <c r="J413" i="32"/>
  <c r="I413" i="32"/>
  <c r="H413" i="32"/>
  <c r="G413" i="32"/>
  <c r="F413" i="32"/>
  <c r="E413" i="32"/>
  <c r="D413" i="32"/>
  <c r="C413" i="32"/>
  <c r="L412" i="32"/>
  <c r="K412" i="32"/>
  <c r="J412" i="32"/>
  <c r="I412" i="32"/>
  <c r="H412" i="32"/>
  <c r="G412" i="32"/>
  <c r="F412" i="32"/>
  <c r="E412" i="32"/>
  <c r="D412" i="32"/>
  <c r="C412" i="32"/>
  <c r="L411" i="32"/>
  <c r="K411" i="32"/>
  <c r="J411" i="32"/>
  <c r="I411" i="32"/>
  <c r="H411" i="32"/>
  <c r="G411" i="32"/>
  <c r="F411" i="32"/>
  <c r="E411" i="32"/>
  <c r="D411" i="32"/>
  <c r="C411" i="32"/>
  <c r="L410" i="32"/>
  <c r="K410" i="32"/>
  <c r="J410" i="32"/>
  <c r="I410" i="32"/>
  <c r="H410" i="32"/>
  <c r="G410" i="32"/>
  <c r="F410" i="32"/>
  <c r="E410" i="32"/>
  <c r="D410" i="32"/>
  <c r="C410" i="32"/>
  <c r="L409" i="32"/>
  <c r="K409" i="32"/>
  <c r="J409" i="32"/>
  <c r="I409" i="32"/>
  <c r="H409" i="32"/>
  <c r="G409" i="32"/>
  <c r="F409" i="32"/>
  <c r="E409" i="32"/>
  <c r="D409" i="32"/>
  <c r="C409" i="32"/>
  <c r="L408" i="32"/>
  <c r="K408" i="32"/>
  <c r="J408" i="32"/>
  <c r="I408" i="32"/>
  <c r="H408" i="32"/>
  <c r="G408" i="32"/>
  <c r="F408" i="32"/>
  <c r="E408" i="32"/>
  <c r="D408" i="32"/>
  <c r="C408" i="32"/>
  <c r="L407" i="32"/>
  <c r="K407" i="32"/>
  <c r="J407" i="32"/>
  <c r="I407" i="32"/>
  <c r="H407" i="32"/>
  <c r="G407" i="32"/>
  <c r="F407" i="32"/>
  <c r="E407" i="32"/>
  <c r="D407" i="32"/>
  <c r="C407" i="32"/>
  <c r="L406" i="32"/>
  <c r="K406" i="32"/>
  <c r="J406" i="32"/>
  <c r="I406" i="32"/>
  <c r="H406" i="32"/>
  <c r="G406" i="32"/>
  <c r="F406" i="32"/>
  <c r="E406" i="32"/>
  <c r="D406" i="32"/>
  <c r="C406" i="32"/>
  <c r="L405" i="32"/>
  <c r="K405" i="32"/>
  <c r="J405" i="32"/>
  <c r="I405" i="32"/>
  <c r="H405" i="32"/>
  <c r="G405" i="32"/>
  <c r="F405" i="32"/>
  <c r="E405" i="32"/>
  <c r="D405" i="32"/>
  <c r="C405" i="32"/>
  <c r="L404" i="32"/>
  <c r="K404" i="32"/>
  <c r="J404" i="32"/>
  <c r="I404" i="32"/>
  <c r="H404" i="32"/>
  <c r="G404" i="32"/>
  <c r="F404" i="32"/>
  <c r="E404" i="32"/>
  <c r="D404" i="32"/>
  <c r="C404" i="32"/>
  <c r="L403" i="32"/>
  <c r="K403" i="32"/>
  <c r="J403" i="32"/>
  <c r="I403" i="32"/>
  <c r="H403" i="32"/>
  <c r="G403" i="32"/>
  <c r="F403" i="32"/>
  <c r="E403" i="32"/>
  <c r="D403" i="32"/>
  <c r="C403" i="32"/>
  <c r="L402" i="32"/>
  <c r="K402" i="32"/>
  <c r="J402" i="32"/>
  <c r="I402" i="32"/>
  <c r="H402" i="32"/>
  <c r="G402" i="32"/>
  <c r="F402" i="32"/>
  <c r="E402" i="32"/>
  <c r="D402" i="32"/>
  <c r="C402" i="32"/>
  <c r="L401" i="32"/>
  <c r="K401" i="32"/>
  <c r="J401" i="32"/>
  <c r="I401" i="32"/>
  <c r="H401" i="32"/>
  <c r="G401" i="32"/>
  <c r="F401" i="32"/>
  <c r="E401" i="32"/>
  <c r="D401" i="32"/>
  <c r="C401" i="32"/>
  <c r="L400" i="32"/>
  <c r="K400" i="32"/>
  <c r="J400" i="32"/>
  <c r="I400" i="32"/>
  <c r="H400" i="32"/>
  <c r="G400" i="32"/>
  <c r="F400" i="32"/>
  <c r="E400" i="32"/>
  <c r="D400" i="32"/>
  <c r="C400" i="32"/>
  <c r="L399" i="32"/>
  <c r="K399" i="32"/>
  <c r="J399" i="32"/>
  <c r="I399" i="32"/>
  <c r="H399" i="32"/>
  <c r="G399" i="32"/>
  <c r="F399" i="32"/>
  <c r="E399" i="32"/>
  <c r="D399" i="32"/>
  <c r="C399" i="32"/>
  <c r="L398" i="32"/>
  <c r="K398" i="32"/>
  <c r="J398" i="32"/>
  <c r="I398" i="32"/>
  <c r="H398" i="32"/>
  <c r="G398" i="32"/>
  <c r="F398" i="32"/>
  <c r="E398" i="32"/>
  <c r="D398" i="32"/>
  <c r="C398" i="32"/>
  <c r="L397" i="32"/>
  <c r="K397" i="32"/>
  <c r="J397" i="32"/>
  <c r="I397" i="32"/>
  <c r="H397" i="32"/>
  <c r="G397" i="32"/>
  <c r="F397" i="32"/>
  <c r="E397" i="32"/>
  <c r="D397" i="32"/>
  <c r="C397" i="32"/>
  <c r="L396" i="32"/>
  <c r="K396" i="32"/>
  <c r="J396" i="32"/>
  <c r="I396" i="32"/>
  <c r="H396" i="32"/>
  <c r="G396" i="32"/>
  <c r="F396" i="32"/>
  <c r="E396" i="32"/>
  <c r="D396" i="32"/>
  <c r="C396" i="32"/>
  <c r="L395" i="32"/>
  <c r="K395" i="32"/>
  <c r="J395" i="32"/>
  <c r="I395" i="32"/>
  <c r="H395" i="32"/>
  <c r="G395" i="32"/>
  <c r="F395" i="32"/>
  <c r="E395" i="32"/>
  <c r="D395" i="32"/>
  <c r="C395" i="32"/>
  <c r="L394" i="32"/>
  <c r="K394" i="32"/>
  <c r="J394" i="32"/>
  <c r="I394" i="32"/>
  <c r="H394" i="32"/>
  <c r="G394" i="32"/>
  <c r="F394" i="32"/>
  <c r="E394" i="32"/>
  <c r="D394" i="32"/>
  <c r="C394" i="32"/>
  <c r="L393" i="32"/>
  <c r="K393" i="32"/>
  <c r="J393" i="32"/>
  <c r="I393" i="32"/>
  <c r="H393" i="32"/>
  <c r="G393" i="32"/>
  <c r="F393" i="32"/>
  <c r="E393" i="32"/>
  <c r="D393" i="32"/>
  <c r="C393" i="32"/>
  <c r="L392" i="32"/>
  <c r="K392" i="32"/>
  <c r="J392" i="32"/>
  <c r="I392" i="32"/>
  <c r="H392" i="32"/>
  <c r="G392" i="32"/>
  <c r="F392" i="32"/>
  <c r="E392" i="32"/>
  <c r="D392" i="32"/>
  <c r="C392" i="32"/>
  <c r="L391" i="32"/>
  <c r="K391" i="32"/>
  <c r="J391" i="32"/>
  <c r="I391" i="32"/>
  <c r="H391" i="32"/>
  <c r="G391" i="32"/>
  <c r="F391" i="32"/>
  <c r="E391" i="32"/>
  <c r="D391" i="32"/>
  <c r="C391" i="32"/>
  <c r="L390" i="32"/>
  <c r="K390" i="32"/>
  <c r="J390" i="32"/>
  <c r="I390" i="32"/>
  <c r="H390" i="32"/>
  <c r="G390" i="32"/>
  <c r="F390" i="32"/>
  <c r="E390" i="32"/>
  <c r="D390" i="32"/>
  <c r="C390" i="32"/>
  <c r="L389" i="32"/>
  <c r="K389" i="32"/>
  <c r="J389" i="32"/>
  <c r="I389" i="32"/>
  <c r="H389" i="32"/>
  <c r="G389" i="32"/>
  <c r="F389" i="32"/>
  <c r="E389" i="32"/>
  <c r="D389" i="32"/>
  <c r="C389" i="32"/>
  <c r="L388" i="32"/>
  <c r="K388" i="32"/>
  <c r="J388" i="32"/>
  <c r="I388" i="32"/>
  <c r="H388" i="32"/>
  <c r="G388" i="32"/>
  <c r="F388" i="32"/>
  <c r="E388" i="32"/>
  <c r="D388" i="32"/>
  <c r="C388" i="32"/>
  <c r="L387" i="32"/>
  <c r="K387" i="32"/>
  <c r="J387" i="32"/>
  <c r="I387" i="32"/>
  <c r="H387" i="32"/>
  <c r="G387" i="32"/>
  <c r="F387" i="32"/>
  <c r="E387" i="32"/>
  <c r="D387" i="32"/>
  <c r="C387" i="32"/>
  <c r="L386" i="32"/>
  <c r="K386" i="32"/>
  <c r="J386" i="32"/>
  <c r="I386" i="32"/>
  <c r="H386" i="32"/>
  <c r="G386" i="32"/>
  <c r="F386" i="32"/>
  <c r="E386" i="32"/>
  <c r="D386" i="32"/>
  <c r="C386" i="32"/>
  <c r="L385" i="32"/>
  <c r="K385" i="32"/>
  <c r="J385" i="32"/>
  <c r="I385" i="32"/>
  <c r="H385" i="32"/>
  <c r="G385" i="32"/>
  <c r="F385" i="32"/>
  <c r="E385" i="32"/>
  <c r="D385" i="32"/>
  <c r="C385" i="32"/>
  <c r="L384" i="32"/>
  <c r="K384" i="32"/>
  <c r="J384" i="32"/>
  <c r="I384" i="32"/>
  <c r="H384" i="32"/>
  <c r="G384" i="32"/>
  <c r="F384" i="32"/>
  <c r="E384" i="32"/>
  <c r="D384" i="32"/>
  <c r="C384" i="32"/>
  <c r="L383" i="32"/>
  <c r="K383" i="32"/>
  <c r="J383" i="32"/>
  <c r="I383" i="32"/>
  <c r="H383" i="32"/>
  <c r="G383" i="32"/>
  <c r="F383" i="32"/>
  <c r="E383" i="32"/>
  <c r="D383" i="32"/>
  <c r="C383" i="32"/>
  <c r="L382" i="32"/>
  <c r="K382" i="32"/>
  <c r="J382" i="32"/>
  <c r="I382" i="32"/>
  <c r="H382" i="32"/>
  <c r="G382" i="32"/>
  <c r="F382" i="32"/>
  <c r="E382" i="32"/>
  <c r="D382" i="32"/>
  <c r="C382" i="32"/>
  <c r="L381" i="32"/>
  <c r="K381" i="32"/>
  <c r="J381" i="32"/>
  <c r="I381" i="32"/>
  <c r="H381" i="32"/>
  <c r="G381" i="32"/>
  <c r="F381" i="32"/>
  <c r="E381" i="32"/>
  <c r="D381" i="32"/>
  <c r="C381" i="32"/>
  <c r="L380" i="32"/>
  <c r="K380" i="32"/>
  <c r="J380" i="32"/>
  <c r="I380" i="32"/>
  <c r="H380" i="32"/>
  <c r="G380" i="32"/>
  <c r="F380" i="32"/>
  <c r="E380" i="32"/>
  <c r="D380" i="32"/>
  <c r="C380" i="32"/>
  <c r="L379" i="32"/>
  <c r="K379" i="32"/>
  <c r="J379" i="32"/>
  <c r="I379" i="32"/>
  <c r="H379" i="32"/>
  <c r="G379" i="32"/>
  <c r="F379" i="32"/>
  <c r="E379" i="32"/>
  <c r="D379" i="32"/>
  <c r="C379" i="32"/>
  <c r="L378" i="32"/>
  <c r="K378" i="32"/>
  <c r="J378" i="32"/>
  <c r="I378" i="32"/>
  <c r="H378" i="32"/>
  <c r="G378" i="32"/>
  <c r="F378" i="32"/>
  <c r="E378" i="32"/>
  <c r="D378" i="32"/>
  <c r="C378" i="32"/>
  <c r="L377" i="32"/>
  <c r="K377" i="32"/>
  <c r="J377" i="32"/>
  <c r="I377" i="32"/>
  <c r="H377" i="32"/>
  <c r="G377" i="32"/>
  <c r="F377" i="32"/>
  <c r="E377" i="32"/>
  <c r="D377" i="32"/>
  <c r="C377" i="32"/>
  <c r="L376" i="32"/>
  <c r="K376" i="32"/>
  <c r="J376" i="32"/>
  <c r="I376" i="32"/>
  <c r="H376" i="32"/>
  <c r="G376" i="32"/>
  <c r="F376" i="32"/>
  <c r="E376" i="32"/>
  <c r="D376" i="32"/>
  <c r="C376" i="32"/>
  <c r="L375" i="32"/>
  <c r="K375" i="32"/>
  <c r="J375" i="32"/>
  <c r="I375" i="32"/>
  <c r="H375" i="32"/>
  <c r="G375" i="32"/>
  <c r="F375" i="32"/>
  <c r="E375" i="32"/>
  <c r="D375" i="32"/>
  <c r="C375" i="32"/>
  <c r="L374" i="32"/>
  <c r="K374" i="32"/>
  <c r="J374" i="32"/>
  <c r="I374" i="32"/>
  <c r="H374" i="32"/>
  <c r="G374" i="32"/>
  <c r="F374" i="32"/>
  <c r="E374" i="32"/>
  <c r="D374" i="32"/>
  <c r="C374" i="32"/>
  <c r="L373" i="32"/>
  <c r="K373" i="32"/>
  <c r="J373" i="32"/>
  <c r="I373" i="32"/>
  <c r="H373" i="32"/>
  <c r="G373" i="32"/>
  <c r="F373" i="32"/>
  <c r="E373" i="32"/>
  <c r="D373" i="32"/>
  <c r="C373" i="32"/>
  <c r="L372" i="32"/>
  <c r="K372" i="32"/>
  <c r="J372" i="32"/>
  <c r="I372" i="32"/>
  <c r="H372" i="32"/>
  <c r="G372" i="32"/>
  <c r="F372" i="32"/>
  <c r="E372" i="32"/>
  <c r="D372" i="32"/>
  <c r="C372" i="32"/>
  <c r="L371" i="32"/>
  <c r="K371" i="32"/>
  <c r="J371" i="32"/>
  <c r="I371" i="32"/>
  <c r="H371" i="32"/>
  <c r="G371" i="32"/>
  <c r="F371" i="32"/>
  <c r="E371" i="32"/>
  <c r="D371" i="32"/>
  <c r="C371" i="32"/>
  <c r="L370" i="32"/>
  <c r="K370" i="32"/>
  <c r="J370" i="32"/>
  <c r="I370" i="32"/>
  <c r="H370" i="32"/>
  <c r="G370" i="32"/>
  <c r="F370" i="32"/>
  <c r="E370" i="32"/>
  <c r="D370" i="32"/>
  <c r="C370" i="32"/>
  <c r="L369" i="32"/>
  <c r="K369" i="32"/>
  <c r="J369" i="32"/>
  <c r="I369" i="32"/>
  <c r="H369" i="32"/>
  <c r="G369" i="32"/>
  <c r="F369" i="32"/>
  <c r="E369" i="32"/>
  <c r="D369" i="32"/>
  <c r="C369" i="32"/>
  <c r="L368" i="32"/>
  <c r="K368" i="32"/>
  <c r="J368" i="32"/>
  <c r="I368" i="32"/>
  <c r="H368" i="32"/>
  <c r="G368" i="32"/>
  <c r="F368" i="32"/>
  <c r="E368" i="32"/>
  <c r="D368" i="32"/>
  <c r="C368" i="32"/>
  <c r="L367" i="32"/>
  <c r="K367" i="32"/>
  <c r="J367" i="32"/>
  <c r="I367" i="32"/>
  <c r="H367" i="32"/>
  <c r="G367" i="32"/>
  <c r="F367" i="32"/>
  <c r="E367" i="32"/>
  <c r="D367" i="32"/>
  <c r="C367" i="32"/>
  <c r="L366" i="32"/>
  <c r="K366" i="32"/>
  <c r="J366" i="32"/>
  <c r="I366" i="32"/>
  <c r="H366" i="32"/>
  <c r="G366" i="32"/>
  <c r="F366" i="32"/>
  <c r="E366" i="32"/>
  <c r="D366" i="32"/>
  <c r="C366" i="32"/>
  <c r="L365" i="32"/>
  <c r="K365" i="32"/>
  <c r="J365" i="32"/>
  <c r="I365" i="32"/>
  <c r="H365" i="32"/>
  <c r="G365" i="32"/>
  <c r="F365" i="32"/>
  <c r="E365" i="32"/>
  <c r="D365" i="32"/>
  <c r="C365" i="32"/>
  <c r="L364" i="32"/>
  <c r="K364" i="32"/>
  <c r="J364" i="32"/>
  <c r="I364" i="32"/>
  <c r="H364" i="32"/>
  <c r="G364" i="32"/>
  <c r="F364" i="32"/>
  <c r="E364" i="32"/>
  <c r="D364" i="32"/>
  <c r="C364" i="32"/>
  <c r="L363" i="32"/>
  <c r="K363" i="32"/>
  <c r="J363" i="32"/>
  <c r="I363" i="32"/>
  <c r="H363" i="32"/>
  <c r="G363" i="32"/>
  <c r="F363" i="32"/>
  <c r="E363" i="32"/>
  <c r="D363" i="32"/>
  <c r="C363" i="32"/>
  <c r="L362" i="32"/>
  <c r="K362" i="32"/>
  <c r="J362" i="32"/>
  <c r="I362" i="32"/>
  <c r="H362" i="32"/>
  <c r="G362" i="32"/>
  <c r="F362" i="32"/>
  <c r="E362" i="32"/>
  <c r="D362" i="32"/>
  <c r="C362" i="32"/>
  <c r="L361" i="32"/>
  <c r="K361" i="32"/>
  <c r="J361" i="32"/>
  <c r="I361" i="32"/>
  <c r="H361" i="32"/>
  <c r="G361" i="32"/>
  <c r="F361" i="32"/>
  <c r="E361" i="32"/>
  <c r="D361" i="32"/>
  <c r="C361" i="32"/>
  <c r="L360" i="32"/>
  <c r="K360" i="32"/>
  <c r="J360" i="32"/>
  <c r="I360" i="32"/>
  <c r="H360" i="32"/>
  <c r="G360" i="32"/>
  <c r="F360" i="32"/>
  <c r="E360" i="32"/>
  <c r="D360" i="32"/>
  <c r="C360" i="32"/>
  <c r="L359" i="32"/>
  <c r="K359" i="32"/>
  <c r="J359" i="32"/>
  <c r="I359" i="32"/>
  <c r="H359" i="32"/>
  <c r="G359" i="32"/>
  <c r="F359" i="32"/>
  <c r="E359" i="32"/>
  <c r="D359" i="32"/>
  <c r="C359" i="32"/>
  <c r="L358" i="32"/>
  <c r="K358" i="32"/>
  <c r="J358" i="32"/>
  <c r="I358" i="32"/>
  <c r="H358" i="32"/>
  <c r="G358" i="32"/>
  <c r="F358" i="32"/>
  <c r="E358" i="32"/>
  <c r="D358" i="32"/>
  <c r="C358" i="32"/>
  <c r="L357" i="32"/>
  <c r="K357" i="32"/>
  <c r="J357" i="32"/>
  <c r="I357" i="32"/>
  <c r="H357" i="32"/>
  <c r="G357" i="32"/>
  <c r="F357" i="32"/>
  <c r="E357" i="32"/>
  <c r="D357" i="32"/>
  <c r="C357" i="32"/>
  <c r="L356" i="32"/>
  <c r="K356" i="32"/>
  <c r="J356" i="32"/>
  <c r="I356" i="32"/>
  <c r="H356" i="32"/>
  <c r="G356" i="32"/>
  <c r="F356" i="32"/>
  <c r="E356" i="32"/>
  <c r="D356" i="32"/>
  <c r="C356" i="32"/>
  <c r="L355" i="32"/>
  <c r="K355" i="32"/>
  <c r="J355" i="32"/>
  <c r="I355" i="32"/>
  <c r="H355" i="32"/>
  <c r="G355" i="32"/>
  <c r="F355" i="32"/>
  <c r="E355" i="32"/>
  <c r="D355" i="32"/>
  <c r="C355" i="32"/>
  <c r="L354" i="32"/>
  <c r="K354" i="32"/>
  <c r="J354" i="32"/>
  <c r="I354" i="32"/>
  <c r="H354" i="32"/>
  <c r="G354" i="32"/>
  <c r="F354" i="32"/>
  <c r="E354" i="32"/>
  <c r="D354" i="32"/>
  <c r="C354" i="32"/>
  <c r="L353" i="32"/>
  <c r="K353" i="32"/>
  <c r="J353" i="32"/>
  <c r="I353" i="32"/>
  <c r="H353" i="32"/>
  <c r="G353" i="32"/>
  <c r="F353" i="32"/>
  <c r="E353" i="32"/>
  <c r="D353" i="32"/>
  <c r="C353" i="32"/>
  <c r="L352" i="32"/>
  <c r="K352" i="32"/>
  <c r="J352" i="32"/>
  <c r="I352" i="32"/>
  <c r="H352" i="32"/>
  <c r="G352" i="32"/>
  <c r="F352" i="32"/>
  <c r="E352" i="32"/>
  <c r="D352" i="32"/>
  <c r="C352" i="32"/>
  <c r="L351" i="32"/>
  <c r="K351" i="32"/>
  <c r="J351" i="32"/>
  <c r="I351" i="32"/>
  <c r="H351" i="32"/>
  <c r="G351" i="32"/>
  <c r="F351" i="32"/>
  <c r="E351" i="32"/>
  <c r="D351" i="32"/>
  <c r="C351" i="32"/>
  <c r="L350" i="32"/>
  <c r="K350" i="32"/>
  <c r="J350" i="32"/>
  <c r="I350" i="32"/>
  <c r="H350" i="32"/>
  <c r="G350" i="32"/>
  <c r="F350" i="32"/>
  <c r="E350" i="32"/>
  <c r="D350" i="32"/>
  <c r="C350" i="32"/>
  <c r="L349" i="32"/>
  <c r="K349" i="32"/>
  <c r="J349" i="32"/>
  <c r="I349" i="32"/>
  <c r="H349" i="32"/>
  <c r="G349" i="32"/>
  <c r="F349" i="32"/>
  <c r="E349" i="32"/>
  <c r="D349" i="32"/>
  <c r="C349" i="32"/>
  <c r="L348" i="32"/>
  <c r="K348" i="32"/>
  <c r="J348" i="32"/>
  <c r="I348" i="32"/>
  <c r="H348" i="32"/>
  <c r="G348" i="32"/>
  <c r="F348" i="32"/>
  <c r="E348" i="32"/>
  <c r="D348" i="32"/>
  <c r="C348" i="32"/>
  <c r="L347" i="32"/>
  <c r="K347" i="32"/>
  <c r="J347" i="32"/>
  <c r="I347" i="32"/>
  <c r="H347" i="32"/>
  <c r="G347" i="32"/>
  <c r="F347" i="32"/>
  <c r="E347" i="32"/>
  <c r="D347" i="32"/>
  <c r="C347" i="32"/>
  <c r="L346" i="32"/>
  <c r="K346" i="32"/>
  <c r="J346" i="32"/>
  <c r="I346" i="32"/>
  <c r="H346" i="32"/>
  <c r="G346" i="32"/>
  <c r="F346" i="32"/>
  <c r="E346" i="32"/>
  <c r="D346" i="32"/>
  <c r="C346" i="32"/>
  <c r="L345" i="32"/>
  <c r="K345" i="32"/>
  <c r="J345" i="32"/>
  <c r="I345" i="32"/>
  <c r="H345" i="32"/>
  <c r="G345" i="32"/>
  <c r="F345" i="32"/>
  <c r="E345" i="32"/>
  <c r="D345" i="32"/>
  <c r="C345" i="32"/>
  <c r="L344" i="32"/>
  <c r="K344" i="32"/>
  <c r="J344" i="32"/>
  <c r="I344" i="32"/>
  <c r="H344" i="32"/>
  <c r="G344" i="32"/>
  <c r="F344" i="32"/>
  <c r="E344" i="32"/>
  <c r="D344" i="32"/>
  <c r="C344" i="32"/>
  <c r="L343" i="32"/>
  <c r="K343" i="32"/>
  <c r="J343" i="32"/>
  <c r="I343" i="32"/>
  <c r="H343" i="32"/>
  <c r="G343" i="32"/>
  <c r="F343" i="32"/>
  <c r="E343" i="32"/>
  <c r="D343" i="32"/>
  <c r="C343" i="32"/>
  <c r="L342" i="32"/>
  <c r="K342" i="32"/>
  <c r="J342" i="32"/>
  <c r="I342" i="32"/>
  <c r="H342" i="32"/>
  <c r="G342" i="32"/>
  <c r="F342" i="32"/>
  <c r="E342" i="32"/>
  <c r="D342" i="32"/>
  <c r="C342" i="32"/>
  <c r="L341" i="32"/>
  <c r="K341" i="32"/>
  <c r="J341" i="32"/>
  <c r="I341" i="32"/>
  <c r="H341" i="32"/>
  <c r="G341" i="32"/>
  <c r="F341" i="32"/>
  <c r="E341" i="32"/>
  <c r="D341" i="32"/>
  <c r="C341" i="32"/>
  <c r="L340" i="32"/>
  <c r="K340" i="32"/>
  <c r="J340" i="32"/>
  <c r="I340" i="32"/>
  <c r="H340" i="32"/>
  <c r="G340" i="32"/>
  <c r="F340" i="32"/>
  <c r="E340" i="32"/>
  <c r="D340" i="32"/>
  <c r="C340" i="32"/>
  <c r="L339" i="32"/>
  <c r="K339" i="32"/>
  <c r="J339" i="32"/>
  <c r="I339" i="32"/>
  <c r="H339" i="32"/>
  <c r="G339" i="32"/>
  <c r="F339" i="32"/>
  <c r="E339" i="32"/>
  <c r="D339" i="32"/>
  <c r="C339" i="32"/>
  <c r="L338" i="32"/>
  <c r="K338" i="32"/>
  <c r="J338" i="32"/>
  <c r="I338" i="32"/>
  <c r="H338" i="32"/>
  <c r="G338" i="32"/>
  <c r="F338" i="32"/>
  <c r="E338" i="32"/>
  <c r="D338" i="32"/>
  <c r="C338" i="32"/>
  <c r="L337" i="32"/>
  <c r="K337" i="32"/>
  <c r="J337" i="32"/>
  <c r="I337" i="32"/>
  <c r="H337" i="32"/>
  <c r="G337" i="32"/>
  <c r="F337" i="32"/>
  <c r="E337" i="32"/>
  <c r="D337" i="32"/>
  <c r="C337" i="32"/>
  <c r="L336" i="32"/>
  <c r="K336" i="32"/>
  <c r="J336" i="32"/>
  <c r="I336" i="32"/>
  <c r="H336" i="32"/>
  <c r="G336" i="32"/>
  <c r="F336" i="32"/>
  <c r="E336" i="32"/>
  <c r="D336" i="32"/>
  <c r="C336" i="32"/>
  <c r="L335" i="32"/>
  <c r="K335" i="32"/>
  <c r="J335" i="32"/>
  <c r="I335" i="32"/>
  <c r="H335" i="32"/>
  <c r="G335" i="32"/>
  <c r="F335" i="32"/>
  <c r="E335" i="32"/>
  <c r="D335" i="32"/>
  <c r="C335" i="32"/>
  <c r="L334" i="32"/>
  <c r="K334" i="32"/>
  <c r="J334" i="32"/>
  <c r="I334" i="32"/>
  <c r="H334" i="32"/>
  <c r="G334" i="32"/>
  <c r="F334" i="32"/>
  <c r="E334" i="32"/>
  <c r="D334" i="32"/>
  <c r="C334" i="32"/>
  <c r="L333" i="32"/>
  <c r="K333" i="32"/>
  <c r="J333" i="32"/>
  <c r="I333" i="32"/>
  <c r="H333" i="32"/>
  <c r="G333" i="32"/>
  <c r="F333" i="32"/>
  <c r="E333" i="32"/>
  <c r="D333" i="32"/>
  <c r="C333" i="32"/>
  <c r="L332" i="32"/>
  <c r="K332" i="32"/>
  <c r="J332" i="32"/>
  <c r="I332" i="32"/>
  <c r="H332" i="32"/>
  <c r="G332" i="32"/>
  <c r="F332" i="32"/>
  <c r="E332" i="32"/>
  <c r="D332" i="32"/>
  <c r="C332" i="32"/>
  <c r="L331" i="32"/>
  <c r="K331" i="32"/>
  <c r="J331" i="32"/>
  <c r="I331" i="32"/>
  <c r="H331" i="32"/>
  <c r="G331" i="32"/>
  <c r="F331" i="32"/>
  <c r="E331" i="32"/>
  <c r="D331" i="32"/>
  <c r="C331" i="32"/>
  <c r="L330" i="32"/>
  <c r="K330" i="32"/>
  <c r="J330" i="32"/>
  <c r="I330" i="32"/>
  <c r="H330" i="32"/>
  <c r="G330" i="32"/>
  <c r="F330" i="32"/>
  <c r="E330" i="32"/>
  <c r="D330" i="32"/>
  <c r="C330" i="32"/>
  <c r="L329" i="32"/>
  <c r="K329" i="32"/>
  <c r="J329" i="32"/>
  <c r="I329" i="32"/>
  <c r="H329" i="32"/>
  <c r="G329" i="32"/>
  <c r="F329" i="32"/>
  <c r="E329" i="32"/>
  <c r="D329" i="32"/>
  <c r="C329" i="32"/>
  <c r="L328" i="32"/>
  <c r="K328" i="32"/>
  <c r="J328" i="32"/>
  <c r="I328" i="32"/>
  <c r="H328" i="32"/>
  <c r="G328" i="32"/>
  <c r="F328" i="32"/>
  <c r="E328" i="32"/>
  <c r="D328" i="32"/>
  <c r="C328" i="32"/>
  <c r="L327" i="32"/>
  <c r="K327" i="32"/>
  <c r="J327" i="32"/>
  <c r="I327" i="32"/>
  <c r="H327" i="32"/>
  <c r="G327" i="32"/>
  <c r="F327" i="32"/>
  <c r="E327" i="32"/>
  <c r="D327" i="32"/>
  <c r="C327" i="32"/>
  <c r="L326" i="32"/>
  <c r="K326" i="32"/>
  <c r="J326" i="32"/>
  <c r="I326" i="32"/>
  <c r="H326" i="32"/>
  <c r="G326" i="32"/>
  <c r="F326" i="32"/>
  <c r="E326" i="32"/>
  <c r="D326" i="32"/>
  <c r="C326" i="32"/>
  <c r="L325" i="32"/>
  <c r="K325" i="32"/>
  <c r="J325" i="32"/>
  <c r="I325" i="32"/>
  <c r="H325" i="32"/>
  <c r="G325" i="32"/>
  <c r="F325" i="32"/>
  <c r="E325" i="32"/>
  <c r="D325" i="32"/>
  <c r="C325" i="32"/>
  <c r="L324" i="32"/>
  <c r="K324" i="32"/>
  <c r="J324" i="32"/>
  <c r="I324" i="32"/>
  <c r="H324" i="32"/>
  <c r="G324" i="32"/>
  <c r="F324" i="32"/>
  <c r="E324" i="32"/>
  <c r="D324" i="32"/>
  <c r="C324" i="32"/>
  <c r="L323" i="32"/>
  <c r="K323" i="32"/>
  <c r="J323" i="32"/>
  <c r="I323" i="32"/>
  <c r="H323" i="32"/>
  <c r="G323" i="32"/>
  <c r="F323" i="32"/>
  <c r="E323" i="32"/>
  <c r="D323" i="32"/>
  <c r="C323" i="32"/>
  <c r="L322" i="32"/>
  <c r="K322" i="32"/>
  <c r="J322" i="32"/>
  <c r="I322" i="32"/>
  <c r="H322" i="32"/>
  <c r="G322" i="32"/>
  <c r="F322" i="32"/>
  <c r="E322" i="32"/>
  <c r="D322" i="32"/>
  <c r="C322" i="32"/>
  <c r="L321" i="32"/>
  <c r="K321" i="32"/>
  <c r="J321" i="32"/>
  <c r="I321" i="32"/>
  <c r="H321" i="32"/>
  <c r="G321" i="32"/>
  <c r="F321" i="32"/>
  <c r="E321" i="32"/>
  <c r="D321" i="32"/>
  <c r="C321" i="32"/>
  <c r="L320" i="32"/>
  <c r="K320" i="32"/>
  <c r="J320" i="32"/>
  <c r="I320" i="32"/>
  <c r="H320" i="32"/>
  <c r="G320" i="32"/>
  <c r="F320" i="32"/>
  <c r="E320" i="32"/>
  <c r="D320" i="32"/>
  <c r="C320" i="32"/>
  <c r="L319" i="32"/>
  <c r="K319" i="32"/>
  <c r="J319" i="32"/>
  <c r="I319" i="32"/>
  <c r="H319" i="32"/>
  <c r="G319" i="32"/>
  <c r="F319" i="32"/>
  <c r="E319" i="32"/>
  <c r="D319" i="32"/>
  <c r="C319" i="32"/>
  <c r="L318" i="32"/>
  <c r="K318" i="32"/>
  <c r="J318" i="32"/>
  <c r="I318" i="32"/>
  <c r="H318" i="32"/>
  <c r="G318" i="32"/>
  <c r="F318" i="32"/>
  <c r="E318" i="32"/>
  <c r="D318" i="32"/>
  <c r="C318" i="32"/>
  <c r="L317" i="32"/>
  <c r="K317" i="32"/>
  <c r="J317" i="32"/>
  <c r="I317" i="32"/>
  <c r="H317" i="32"/>
  <c r="G317" i="32"/>
  <c r="F317" i="32"/>
  <c r="E317" i="32"/>
  <c r="D317" i="32"/>
  <c r="C317" i="32"/>
  <c r="L316" i="32"/>
  <c r="K316" i="32"/>
  <c r="J316" i="32"/>
  <c r="I316" i="32"/>
  <c r="H316" i="32"/>
  <c r="G316" i="32"/>
  <c r="F316" i="32"/>
  <c r="E316" i="32"/>
  <c r="D316" i="32"/>
  <c r="C316" i="32"/>
  <c r="L315" i="32"/>
  <c r="K315" i="32"/>
  <c r="J315" i="32"/>
  <c r="I315" i="32"/>
  <c r="H315" i="32"/>
  <c r="G315" i="32"/>
  <c r="F315" i="32"/>
  <c r="E315" i="32"/>
  <c r="D315" i="32"/>
  <c r="C315" i="32"/>
  <c r="L314" i="32"/>
  <c r="K314" i="32"/>
  <c r="J314" i="32"/>
  <c r="I314" i="32"/>
  <c r="H314" i="32"/>
  <c r="G314" i="32"/>
  <c r="F314" i="32"/>
  <c r="E314" i="32"/>
  <c r="D314" i="32"/>
  <c r="C314" i="32"/>
  <c r="L313" i="32"/>
  <c r="K313" i="32"/>
  <c r="J313" i="32"/>
  <c r="I313" i="32"/>
  <c r="H313" i="32"/>
  <c r="G313" i="32"/>
  <c r="F313" i="32"/>
  <c r="E313" i="32"/>
  <c r="D313" i="32"/>
  <c r="C313" i="32"/>
  <c r="L312" i="32"/>
  <c r="K312" i="32"/>
  <c r="J312" i="32"/>
  <c r="I312" i="32"/>
  <c r="H312" i="32"/>
  <c r="G312" i="32"/>
  <c r="F312" i="32"/>
  <c r="E312" i="32"/>
  <c r="D312" i="32"/>
  <c r="C312" i="32"/>
  <c r="L311" i="32"/>
  <c r="K311" i="32"/>
  <c r="J311" i="32"/>
  <c r="I311" i="32"/>
  <c r="H311" i="32"/>
  <c r="G311" i="32"/>
  <c r="F311" i="32"/>
  <c r="E311" i="32"/>
  <c r="D311" i="32"/>
  <c r="C311" i="32"/>
  <c r="L310" i="32"/>
  <c r="K310" i="32"/>
  <c r="J310" i="32"/>
  <c r="I310" i="32"/>
  <c r="H310" i="32"/>
  <c r="G310" i="32"/>
  <c r="F310" i="32"/>
  <c r="E310" i="32"/>
  <c r="D310" i="32"/>
  <c r="C310" i="32"/>
  <c r="L309" i="32"/>
  <c r="K309" i="32"/>
  <c r="J309" i="32"/>
  <c r="I309" i="32"/>
  <c r="H309" i="32"/>
  <c r="G309" i="32"/>
  <c r="F309" i="32"/>
  <c r="E309" i="32"/>
  <c r="D309" i="32"/>
  <c r="C309" i="32"/>
  <c r="L308" i="32"/>
  <c r="K308" i="32"/>
  <c r="J308" i="32"/>
  <c r="I308" i="32"/>
  <c r="H308" i="32"/>
  <c r="G308" i="32"/>
  <c r="F308" i="32"/>
  <c r="E308" i="32"/>
  <c r="D308" i="32"/>
  <c r="C308" i="32"/>
  <c r="L307" i="32"/>
  <c r="K307" i="32"/>
  <c r="J307" i="32"/>
  <c r="I307" i="32"/>
  <c r="H307" i="32"/>
  <c r="G307" i="32"/>
  <c r="F307" i="32"/>
  <c r="E307" i="32"/>
  <c r="D307" i="32"/>
  <c r="C307" i="32"/>
  <c r="L306" i="32"/>
  <c r="K306" i="32"/>
  <c r="J306" i="32"/>
  <c r="I306" i="32"/>
  <c r="H306" i="32"/>
  <c r="G306" i="32"/>
  <c r="F306" i="32"/>
  <c r="E306" i="32"/>
  <c r="D306" i="32"/>
  <c r="C306" i="32"/>
  <c r="L305" i="32"/>
  <c r="K305" i="32"/>
  <c r="J305" i="32"/>
  <c r="I305" i="32"/>
  <c r="H305" i="32"/>
  <c r="G305" i="32"/>
  <c r="F305" i="32"/>
  <c r="E305" i="32"/>
  <c r="D305" i="32"/>
  <c r="C305" i="32"/>
  <c r="L304" i="32"/>
  <c r="K304" i="32"/>
  <c r="J304" i="32"/>
  <c r="I304" i="32"/>
  <c r="H304" i="32"/>
  <c r="G304" i="32"/>
  <c r="F304" i="32"/>
  <c r="E304" i="32"/>
  <c r="D304" i="32"/>
  <c r="C304" i="32"/>
  <c r="L303" i="32"/>
  <c r="K303" i="32"/>
  <c r="J303" i="32"/>
  <c r="I303" i="32"/>
  <c r="H303" i="32"/>
  <c r="G303" i="32"/>
  <c r="F303" i="32"/>
  <c r="E303" i="32"/>
  <c r="D303" i="32"/>
  <c r="C303" i="32"/>
  <c r="L302" i="32"/>
  <c r="K302" i="32"/>
  <c r="J302" i="32"/>
  <c r="I302" i="32"/>
  <c r="H302" i="32"/>
  <c r="G302" i="32"/>
  <c r="F302" i="32"/>
  <c r="E302" i="32"/>
  <c r="D302" i="32"/>
  <c r="C302" i="32"/>
  <c r="L301" i="32"/>
  <c r="K301" i="32"/>
  <c r="J301" i="32"/>
  <c r="I301" i="32"/>
  <c r="H301" i="32"/>
  <c r="G301" i="32"/>
  <c r="F301" i="32"/>
  <c r="E301" i="32"/>
  <c r="D301" i="32"/>
  <c r="C301" i="32"/>
  <c r="L300" i="32"/>
  <c r="K300" i="32"/>
  <c r="J300" i="32"/>
  <c r="I300" i="32"/>
  <c r="H300" i="32"/>
  <c r="G300" i="32"/>
  <c r="F300" i="32"/>
  <c r="E300" i="32"/>
  <c r="D300" i="32"/>
  <c r="C300" i="32"/>
  <c r="L299" i="32"/>
  <c r="K299" i="32"/>
  <c r="J299" i="32"/>
  <c r="I299" i="32"/>
  <c r="H299" i="32"/>
  <c r="G299" i="32"/>
  <c r="F299" i="32"/>
  <c r="E299" i="32"/>
  <c r="D299" i="32"/>
  <c r="C299" i="32"/>
  <c r="L298" i="32"/>
  <c r="K298" i="32"/>
  <c r="J298" i="32"/>
  <c r="I298" i="32"/>
  <c r="H298" i="32"/>
  <c r="G298" i="32"/>
  <c r="F298" i="32"/>
  <c r="E298" i="32"/>
  <c r="D298" i="32"/>
  <c r="C298" i="32"/>
  <c r="L297" i="32"/>
  <c r="K297" i="32"/>
  <c r="J297" i="32"/>
  <c r="I297" i="32"/>
  <c r="H297" i="32"/>
  <c r="G297" i="32"/>
  <c r="F297" i="32"/>
  <c r="E297" i="32"/>
  <c r="D297" i="32"/>
  <c r="C297" i="32"/>
  <c r="L296" i="32"/>
  <c r="K296" i="32"/>
  <c r="J296" i="32"/>
  <c r="I296" i="32"/>
  <c r="H296" i="32"/>
  <c r="G296" i="32"/>
  <c r="F296" i="32"/>
  <c r="E296" i="32"/>
  <c r="D296" i="32"/>
  <c r="C296" i="32"/>
  <c r="L295" i="32"/>
  <c r="K295" i="32"/>
  <c r="J295" i="32"/>
  <c r="I295" i="32"/>
  <c r="H295" i="32"/>
  <c r="G295" i="32"/>
  <c r="F295" i="32"/>
  <c r="E295" i="32"/>
  <c r="D295" i="32"/>
  <c r="C295" i="32"/>
  <c r="L294" i="32"/>
  <c r="K294" i="32"/>
  <c r="J294" i="32"/>
  <c r="I294" i="32"/>
  <c r="H294" i="32"/>
  <c r="G294" i="32"/>
  <c r="F294" i="32"/>
  <c r="E294" i="32"/>
  <c r="D294" i="32"/>
  <c r="C294" i="32"/>
  <c r="L293" i="32"/>
  <c r="K293" i="32"/>
  <c r="J293" i="32"/>
  <c r="I293" i="32"/>
  <c r="H293" i="32"/>
  <c r="G293" i="32"/>
  <c r="F293" i="32"/>
  <c r="E293" i="32"/>
  <c r="D293" i="32"/>
  <c r="C293" i="32"/>
  <c r="L292" i="32"/>
  <c r="K292" i="32"/>
  <c r="J292" i="32"/>
  <c r="I292" i="32"/>
  <c r="H292" i="32"/>
  <c r="G292" i="32"/>
  <c r="F292" i="32"/>
  <c r="E292" i="32"/>
  <c r="D292" i="32"/>
  <c r="C292" i="32"/>
  <c r="L291" i="32"/>
  <c r="K291" i="32"/>
  <c r="J291" i="32"/>
  <c r="I291" i="32"/>
  <c r="H291" i="32"/>
  <c r="G291" i="32"/>
  <c r="F291" i="32"/>
  <c r="E291" i="32"/>
  <c r="D291" i="32"/>
  <c r="C291" i="32"/>
  <c r="L290" i="32"/>
  <c r="K290" i="32"/>
  <c r="J290" i="32"/>
  <c r="I290" i="32"/>
  <c r="H290" i="32"/>
  <c r="G290" i="32"/>
  <c r="F290" i="32"/>
  <c r="E290" i="32"/>
  <c r="D290" i="32"/>
  <c r="C290" i="32"/>
  <c r="L289" i="32"/>
  <c r="K289" i="32"/>
  <c r="J289" i="32"/>
  <c r="I289" i="32"/>
  <c r="H289" i="32"/>
  <c r="G289" i="32"/>
  <c r="F289" i="32"/>
  <c r="E289" i="32"/>
  <c r="D289" i="32"/>
  <c r="C289" i="32"/>
  <c r="L288" i="32"/>
  <c r="K288" i="32"/>
  <c r="J288" i="32"/>
  <c r="I288" i="32"/>
  <c r="H288" i="32"/>
  <c r="G288" i="32"/>
  <c r="F288" i="32"/>
  <c r="E288" i="32"/>
  <c r="D288" i="32"/>
  <c r="C288" i="32"/>
  <c r="L287" i="32"/>
  <c r="K287" i="32"/>
  <c r="J287" i="32"/>
  <c r="I287" i="32"/>
  <c r="H287" i="32"/>
  <c r="G287" i="32"/>
  <c r="F287" i="32"/>
  <c r="E287" i="32"/>
  <c r="D287" i="32"/>
  <c r="C287" i="32"/>
  <c r="L286" i="32"/>
  <c r="K286" i="32"/>
  <c r="J286" i="32"/>
  <c r="I286" i="32"/>
  <c r="H286" i="32"/>
  <c r="G286" i="32"/>
  <c r="F286" i="32"/>
  <c r="E286" i="32"/>
  <c r="D286" i="32"/>
  <c r="C286" i="32"/>
  <c r="L285" i="32"/>
  <c r="K285" i="32"/>
  <c r="J285" i="32"/>
  <c r="I285" i="32"/>
  <c r="H285" i="32"/>
  <c r="G285" i="32"/>
  <c r="F285" i="32"/>
  <c r="E285" i="32"/>
  <c r="D285" i="32"/>
  <c r="C285" i="32"/>
  <c r="L284" i="32"/>
  <c r="K284" i="32"/>
  <c r="J284" i="32"/>
  <c r="I284" i="32"/>
  <c r="H284" i="32"/>
  <c r="G284" i="32"/>
  <c r="F284" i="32"/>
  <c r="E284" i="32"/>
  <c r="D284" i="32"/>
  <c r="C284" i="32"/>
  <c r="L283" i="32"/>
  <c r="K283" i="32"/>
  <c r="J283" i="32"/>
  <c r="I283" i="32"/>
  <c r="H283" i="32"/>
  <c r="G283" i="32"/>
  <c r="F283" i="32"/>
  <c r="E283" i="32"/>
  <c r="D283" i="32"/>
  <c r="C283" i="32"/>
  <c r="L282" i="32"/>
  <c r="K282" i="32"/>
  <c r="J282" i="32"/>
  <c r="I282" i="32"/>
  <c r="H282" i="32"/>
  <c r="G282" i="32"/>
  <c r="F282" i="32"/>
  <c r="E282" i="32"/>
  <c r="D282" i="32"/>
  <c r="C282" i="32"/>
  <c r="L281" i="32"/>
  <c r="K281" i="32"/>
  <c r="J281" i="32"/>
  <c r="I281" i="32"/>
  <c r="H281" i="32"/>
  <c r="G281" i="32"/>
  <c r="F281" i="32"/>
  <c r="E281" i="32"/>
  <c r="D281" i="32"/>
  <c r="C281" i="32"/>
  <c r="L280" i="32"/>
  <c r="K280" i="32"/>
  <c r="J280" i="32"/>
  <c r="I280" i="32"/>
  <c r="H280" i="32"/>
  <c r="G280" i="32"/>
  <c r="F280" i="32"/>
  <c r="E280" i="32"/>
  <c r="D280" i="32"/>
  <c r="C280" i="32"/>
  <c r="L279" i="32"/>
  <c r="K279" i="32"/>
  <c r="J279" i="32"/>
  <c r="I279" i="32"/>
  <c r="H279" i="32"/>
  <c r="G279" i="32"/>
  <c r="F279" i="32"/>
  <c r="E279" i="32"/>
  <c r="D279" i="32"/>
  <c r="C279" i="32"/>
  <c r="L278" i="32"/>
  <c r="K278" i="32"/>
  <c r="J278" i="32"/>
  <c r="I278" i="32"/>
  <c r="H278" i="32"/>
  <c r="G278" i="32"/>
  <c r="F278" i="32"/>
  <c r="E278" i="32"/>
  <c r="D278" i="32"/>
  <c r="C278" i="32"/>
  <c r="L277" i="32"/>
  <c r="K277" i="32"/>
  <c r="J277" i="32"/>
  <c r="I277" i="32"/>
  <c r="H277" i="32"/>
  <c r="G277" i="32"/>
  <c r="F277" i="32"/>
  <c r="E277" i="32"/>
  <c r="D277" i="32"/>
  <c r="C277" i="32"/>
  <c r="L276" i="32"/>
  <c r="K276" i="32"/>
  <c r="J276" i="32"/>
  <c r="I276" i="32"/>
  <c r="H276" i="32"/>
  <c r="G276" i="32"/>
  <c r="F276" i="32"/>
  <c r="E276" i="32"/>
  <c r="D276" i="32"/>
  <c r="C276" i="32"/>
  <c r="L275" i="32"/>
  <c r="K275" i="32"/>
  <c r="J275" i="32"/>
  <c r="I275" i="32"/>
  <c r="H275" i="32"/>
  <c r="G275" i="32"/>
  <c r="F275" i="32"/>
  <c r="E275" i="32"/>
  <c r="D275" i="32"/>
  <c r="C275" i="32"/>
  <c r="L274" i="32"/>
  <c r="K274" i="32"/>
  <c r="J274" i="32"/>
  <c r="I274" i="32"/>
  <c r="H274" i="32"/>
  <c r="G274" i="32"/>
  <c r="F274" i="32"/>
  <c r="E274" i="32"/>
  <c r="D274" i="32"/>
  <c r="C274" i="32"/>
  <c r="L273" i="32"/>
  <c r="K273" i="32"/>
  <c r="J273" i="32"/>
  <c r="I273" i="32"/>
  <c r="H273" i="32"/>
  <c r="G273" i="32"/>
  <c r="F273" i="32"/>
  <c r="E273" i="32"/>
  <c r="D273" i="32"/>
  <c r="C273" i="32"/>
  <c r="L272" i="32"/>
  <c r="K272" i="32"/>
  <c r="J272" i="32"/>
  <c r="I272" i="32"/>
  <c r="H272" i="32"/>
  <c r="G272" i="32"/>
  <c r="F272" i="32"/>
  <c r="E272" i="32"/>
  <c r="D272" i="32"/>
  <c r="C272" i="32"/>
  <c r="L271" i="32"/>
  <c r="K271" i="32"/>
  <c r="J271" i="32"/>
  <c r="I271" i="32"/>
  <c r="H271" i="32"/>
  <c r="G271" i="32"/>
  <c r="F271" i="32"/>
  <c r="E271" i="32"/>
  <c r="D271" i="32"/>
  <c r="C271" i="32"/>
  <c r="L270" i="32"/>
  <c r="K270" i="32"/>
  <c r="J270" i="32"/>
  <c r="I270" i="32"/>
  <c r="H270" i="32"/>
  <c r="G270" i="32"/>
  <c r="F270" i="32"/>
  <c r="E270" i="32"/>
  <c r="D270" i="32"/>
  <c r="C270" i="32"/>
  <c r="L269" i="32"/>
  <c r="K269" i="32"/>
  <c r="J269" i="32"/>
  <c r="I269" i="32"/>
  <c r="H269" i="32"/>
  <c r="G269" i="32"/>
  <c r="F269" i="32"/>
  <c r="E269" i="32"/>
  <c r="D269" i="32"/>
  <c r="C269" i="32"/>
  <c r="L268" i="32"/>
  <c r="K268" i="32"/>
  <c r="J268" i="32"/>
  <c r="I268" i="32"/>
  <c r="H268" i="32"/>
  <c r="G268" i="32"/>
  <c r="F268" i="32"/>
  <c r="E268" i="32"/>
  <c r="D268" i="32"/>
  <c r="C268" i="32"/>
  <c r="L267" i="32"/>
  <c r="K267" i="32"/>
  <c r="J267" i="32"/>
  <c r="I267" i="32"/>
  <c r="H267" i="32"/>
  <c r="G267" i="32"/>
  <c r="F267" i="32"/>
  <c r="E267" i="32"/>
  <c r="D267" i="32"/>
  <c r="C267" i="32"/>
  <c r="L266" i="32"/>
  <c r="K266" i="32"/>
  <c r="J266" i="32"/>
  <c r="I266" i="32"/>
  <c r="H266" i="32"/>
  <c r="G266" i="32"/>
  <c r="F266" i="32"/>
  <c r="E266" i="32"/>
  <c r="D266" i="32"/>
  <c r="C266" i="32"/>
  <c r="L265" i="32"/>
  <c r="K265" i="32"/>
  <c r="J265" i="32"/>
  <c r="I265" i="32"/>
  <c r="H265" i="32"/>
  <c r="G265" i="32"/>
  <c r="F265" i="32"/>
  <c r="E265" i="32"/>
  <c r="D265" i="32"/>
  <c r="C265" i="32"/>
  <c r="L264" i="32"/>
  <c r="K264" i="32"/>
  <c r="J264" i="32"/>
  <c r="I264" i="32"/>
  <c r="H264" i="32"/>
  <c r="G264" i="32"/>
  <c r="F264" i="32"/>
  <c r="E264" i="32"/>
  <c r="D264" i="32"/>
  <c r="C264" i="32"/>
  <c r="L263" i="32"/>
  <c r="K263" i="32"/>
  <c r="J263" i="32"/>
  <c r="I263" i="32"/>
  <c r="H263" i="32"/>
  <c r="G263" i="32"/>
  <c r="F263" i="32"/>
  <c r="E263" i="32"/>
  <c r="D263" i="32"/>
  <c r="C263" i="32"/>
  <c r="L262" i="32"/>
  <c r="K262" i="32"/>
  <c r="J262" i="32"/>
  <c r="I262" i="32"/>
  <c r="H262" i="32"/>
  <c r="G262" i="32"/>
  <c r="F262" i="32"/>
  <c r="E262" i="32"/>
  <c r="D262" i="32"/>
  <c r="C262" i="32"/>
  <c r="L261" i="32"/>
  <c r="K261" i="32"/>
  <c r="J261" i="32"/>
  <c r="I261" i="32"/>
  <c r="H261" i="32"/>
  <c r="G261" i="32"/>
  <c r="F261" i="32"/>
  <c r="E261" i="32"/>
  <c r="D261" i="32"/>
  <c r="C261" i="32"/>
  <c r="L260" i="32"/>
  <c r="K260" i="32"/>
  <c r="J260" i="32"/>
  <c r="I260" i="32"/>
  <c r="H260" i="32"/>
  <c r="G260" i="32"/>
  <c r="F260" i="32"/>
  <c r="E260" i="32"/>
  <c r="D260" i="32"/>
  <c r="C260" i="32"/>
  <c r="L259" i="32"/>
  <c r="K259" i="32"/>
  <c r="J259" i="32"/>
  <c r="I259" i="32"/>
  <c r="H259" i="32"/>
  <c r="G259" i="32"/>
  <c r="F259" i="32"/>
  <c r="E259" i="32"/>
  <c r="D259" i="32"/>
  <c r="C259" i="32"/>
  <c r="L258" i="32"/>
  <c r="K258" i="32"/>
  <c r="J258" i="32"/>
  <c r="I258" i="32"/>
  <c r="H258" i="32"/>
  <c r="G258" i="32"/>
  <c r="F258" i="32"/>
  <c r="E258" i="32"/>
  <c r="D258" i="32"/>
  <c r="C258" i="32"/>
  <c r="L257" i="32"/>
  <c r="K257" i="32"/>
  <c r="J257" i="32"/>
  <c r="I257" i="32"/>
  <c r="H257" i="32"/>
  <c r="G257" i="32"/>
  <c r="F257" i="32"/>
  <c r="E257" i="32"/>
  <c r="D257" i="32"/>
  <c r="C257" i="32"/>
  <c r="L256" i="32"/>
  <c r="K256" i="32"/>
  <c r="J256" i="32"/>
  <c r="I256" i="32"/>
  <c r="H256" i="32"/>
  <c r="G256" i="32"/>
  <c r="F256" i="32"/>
  <c r="E256" i="32"/>
  <c r="D256" i="32"/>
  <c r="C256" i="32"/>
  <c r="L255" i="32"/>
  <c r="K255" i="32"/>
  <c r="J255" i="32"/>
  <c r="I255" i="32"/>
  <c r="H255" i="32"/>
  <c r="G255" i="32"/>
  <c r="F255" i="32"/>
  <c r="E255" i="32"/>
  <c r="D255" i="32"/>
  <c r="C255" i="32"/>
  <c r="L254" i="32"/>
  <c r="K254" i="32"/>
  <c r="J254" i="32"/>
  <c r="I254" i="32"/>
  <c r="H254" i="32"/>
  <c r="G254" i="32"/>
  <c r="F254" i="32"/>
  <c r="E254" i="32"/>
  <c r="D254" i="32"/>
  <c r="C254" i="32"/>
  <c r="L253" i="32"/>
  <c r="K253" i="32"/>
  <c r="J253" i="32"/>
  <c r="I253" i="32"/>
  <c r="H253" i="32"/>
  <c r="G253" i="32"/>
  <c r="F253" i="32"/>
  <c r="E253" i="32"/>
  <c r="D253" i="32"/>
  <c r="C253" i="32"/>
  <c r="L252" i="32"/>
  <c r="K252" i="32"/>
  <c r="J252" i="32"/>
  <c r="I252" i="32"/>
  <c r="H252" i="32"/>
  <c r="G252" i="32"/>
  <c r="F252" i="32"/>
  <c r="E252" i="32"/>
  <c r="D252" i="32"/>
  <c r="C252" i="32"/>
  <c r="L251" i="32"/>
  <c r="K251" i="32"/>
  <c r="J251" i="32"/>
  <c r="I251" i="32"/>
  <c r="H251" i="32"/>
  <c r="G251" i="32"/>
  <c r="F251" i="32"/>
  <c r="E251" i="32"/>
  <c r="D251" i="32"/>
  <c r="C251" i="32"/>
  <c r="L250" i="32"/>
  <c r="K250" i="32"/>
  <c r="J250" i="32"/>
  <c r="I250" i="32"/>
  <c r="H250" i="32"/>
  <c r="G250" i="32"/>
  <c r="F250" i="32"/>
  <c r="E250" i="32"/>
  <c r="D250" i="32"/>
  <c r="C250" i="32"/>
  <c r="L249" i="32"/>
  <c r="K249" i="32"/>
  <c r="J249" i="32"/>
  <c r="I249" i="32"/>
  <c r="H249" i="32"/>
  <c r="G249" i="32"/>
  <c r="F249" i="32"/>
  <c r="E249" i="32"/>
  <c r="D249" i="32"/>
  <c r="C249" i="32"/>
  <c r="L248" i="32"/>
  <c r="K248" i="32"/>
  <c r="J248" i="32"/>
  <c r="I248" i="32"/>
  <c r="H248" i="32"/>
  <c r="G248" i="32"/>
  <c r="F248" i="32"/>
  <c r="E248" i="32"/>
  <c r="D248" i="32"/>
  <c r="C248" i="32"/>
  <c r="L247" i="32"/>
  <c r="K247" i="32"/>
  <c r="J247" i="32"/>
  <c r="I247" i="32"/>
  <c r="H247" i="32"/>
  <c r="G247" i="32"/>
  <c r="F247" i="32"/>
  <c r="E247" i="32"/>
  <c r="D247" i="32"/>
  <c r="C247" i="32"/>
  <c r="L246" i="32"/>
  <c r="K246" i="32"/>
  <c r="J246" i="32"/>
  <c r="I246" i="32"/>
  <c r="H246" i="32"/>
  <c r="G246" i="32"/>
  <c r="F246" i="32"/>
  <c r="E246" i="32"/>
  <c r="D246" i="32"/>
  <c r="C246" i="32"/>
  <c r="L245" i="32"/>
  <c r="K245" i="32"/>
  <c r="J245" i="32"/>
  <c r="I245" i="32"/>
  <c r="H245" i="32"/>
  <c r="G245" i="32"/>
  <c r="F245" i="32"/>
  <c r="E245" i="32"/>
  <c r="D245" i="32"/>
  <c r="C245" i="32"/>
  <c r="L244" i="32"/>
  <c r="K244" i="32"/>
  <c r="J244" i="32"/>
  <c r="I244" i="32"/>
  <c r="H244" i="32"/>
  <c r="G244" i="32"/>
  <c r="F244" i="32"/>
  <c r="E244" i="32"/>
  <c r="D244" i="32"/>
  <c r="C244" i="32"/>
  <c r="L243" i="32"/>
  <c r="K243" i="32"/>
  <c r="J243" i="32"/>
  <c r="I243" i="32"/>
  <c r="H243" i="32"/>
  <c r="G243" i="32"/>
  <c r="F243" i="32"/>
  <c r="E243" i="32"/>
  <c r="D243" i="32"/>
  <c r="C243" i="32"/>
  <c r="L242" i="32"/>
  <c r="K242" i="32"/>
  <c r="J242" i="32"/>
  <c r="I242" i="32"/>
  <c r="H242" i="32"/>
  <c r="G242" i="32"/>
  <c r="F242" i="32"/>
  <c r="E242" i="32"/>
  <c r="D242" i="32"/>
  <c r="C242" i="32"/>
  <c r="L241" i="32"/>
  <c r="K241" i="32"/>
  <c r="J241" i="32"/>
  <c r="I241" i="32"/>
  <c r="H241" i="32"/>
  <c r="G241" i="32"/>
  <c r="F241" i="32"/>
  <c r="E241" i="32"/>
  <c r="D241" i="32"/>
  <c r="C241" i="32"/>
  <c r="L240" i="32"/>
  <c r="K240" i="32"/>
  <c r="J240" i="32"/>
  <c r="I240" i="32"/>
  <c r="H240" i="32"/>
  <c r="G240" i="32"/>
  <c r="F240" i="32"/>
  <c r="E240" i="32"/>
  <c r="D240" i="32"/>
  <c r="C240" i="32"/>
  <c r="L239" i="32"/>
  <c r="K239" i="32"/>
  <c r="J239" i="32"/>
  <c r="I239" i="32"/>
  <c r="H239" i="32"/>
  <c r="G239" i="32"/>
  <c r="F239" i="32"/>
  <c r="E239" i="32"/>
  <c r="D239" i="32"/>
  <c r="C239" i="32"/>
  <c r="L238" i="32"/>
  <c r="K238" i="32"/>
  <c r="J238" i="32"/>
  <c r="I238" i="32"/>
  <c r="H238" i="32"/>
  <c r="G238" i="32"/>
  <c r="F238" i="32"/>
  <c r="E238" i="32"/>
  <c r="D238" i="32"/>
  <c r="C238" i="32"/>
  <c r="L237" i="32"/>
  <c r="K237" i="32"/>
  <c r="J237" i="32"/>
  <c r="I237" i="32"/>
  <c r="H237" i="32"/>
  <c r="G237" i="32"/>
  <c r="F237" i="32"/>
  <c r="E237" i="32"/>
  <c r="D237" i="32"/>
  <c r="C237" i="32"/>
  <c r="L236" i="32"/>
  <c r="K236" i="32"/>
  <c r="J236" i="32"/>
  <c r="I236" i="32"/>
  <c r="H236" i="32"/>
  <c r="G236" i="32"/>
  <c r="F236" i="32"/>
  <c r="E236" i="32"/>
  <c r="D236" i="32"/>
  <c r="C236" i="32"/>
  <c r="L235" i="32"/>
  <c r="K235" i="32"/>
  <c r="J235" i="32"/>
  <c r="I235" i="32"/>
  <c r="H235" i="32"/>
  <c r="G235" i="32"/>
  <c r="F235" i="32"/>
  <c r="E235" i="32"/>
  <c r="D235" i="32"/>
  <c r="C235" i="32"/>
  <c r="L234" i="32"/>
  <c r="K234" i="32"/>
  <c r="J234" i="32"/>
  <c r="I234" i="32"/>
  <c r="H234" i="32"/>
  <c r="G234" i="32"/>
  <c r="F234" i="32"/>
  <c r="E234" i="32"/>
  <c r="D234" i="32"/>
  <c r="C234" i="32"/>
  <c r="L233" i="32"/>
  <c r="K233" i="32"/>
  <c r="J233" i="32"/>
  <c r="I233" i="32"/>
  <c r="H233" i="32"/>
  <c r="G233" i="32"/>
  <c r="F233" i="32"/>
  <c r="E233" i="32"/>
  <c r="D233" i="32"/>
  <c r="C233" i="32"/>
  <c r="L232" i="32"/>
  <c r="K232" i="32"/>
  <c r="J232" i="32"/>
  <c r="I232" i="32"/>
  <c r="H232" i="32"/>
  <c r="G232" i="32"/>
  <c r="F232" i="32"/>
  <c r="E232" i="32"/>
  <c r="D232" i="32"/>
  <c r="C232" i="32"/>
  <c r="L231" i="32"/>
  <c r="K231" i="32"/>
  <c r="J231" i="32"/>
  <c r="I231" i="32"/>
  <c r="H231" i="32"/>
  <c r="G231" i="32"/>
  <c r="F231" i="32"/>
  <c r="E231" i="32"/>
  <c r="D231" i="32"/>
  <c r="C231" i="32"/>
  <c r="L230" i="32"/>
  <c r="K230" i="32"/>
  <c r="J230" i="32"/>
  <c r="I230" i="32"/>
  <c r="H230" i="32"/>
  <c r="G230" i="32"/>
  <c r="F230" i="32"/>
  <c r="E230" i="32"/>
  <c r="D230" i="32"/>
  <c r="C230" i="32"/>
  <c r="L229" i="32"/>
  <c r="K229" i="32"/>
  <c r="J229" i="32"/>
  <c r="I229" i="32"/>
  <c r="H229" i="32"/>
  <c r="G229" i="32"/>
  <c r="F229" i="32"/>
  <c r="E229" i="32"/>
  <c r="D229" i="32"/>
  <c r="C229" i="32"/>
  <c r="L228" i="32"/>
  <c r="K228" i="32"/>
  <c r="J228" i="32"/>
  <c r="I228" i="32"/>
  <c r="H228" i="32"/>
  <c r="G228" i="32"/>
  <c r="F228" i="32"/>
  <c r="E228" i="32"/>
  <c r="D228" i="32"/>
  <c r="C228" i="32"/>
  <c r="L227" i="32"/>
  <c r="K227" i="32"/>
  <c r="J227" i="32"/>
  <c r="I227" i="32"/>
  <c r="H227" i="32"/>
  <c r="G227" i="32"/>
  <c r="F227" i="32"/>
  <c r="E227" i="32"/>
  <c r="D227" i="32"/>
  <c r="C227" i="32"/>
  <c r="L226" i="32"/>
  <c r="K226" i="32"/>
  <c r="J226" i="32"/>
  <c r="I226" i="32"/>
  <c r="H226" i="32"/>
  <c r="G226" i="32"/>
  <c r="F226" i="32"/>
  <c r="E226" i="32"/>
  <c r="D226" i="32"/>
  <c r="C226" i="32"/>
  <c r="L225" i="32"/>
  <c r="K225" i="32"/>
  <c r="J225" i="32"/>
  <c r="I225" i="32"/>
  <c r="H225" i="32"/>
  <c r="G225" i="32"/>
  <c r="F225" i="32"/>
  <c r="E225" i="32"/>
  <c r="D225" i="32"/>
  <c r="C225" i="32"/>
  <c r="L224" i="32"/>
  <c r="K224" i="32"/>
  <c r="J224" i="32"/>
  <c r="I224" i="32"/>
  <c r="H224" i="32"/>
  <c r="G224" i="32"/>
  <c r="F224" i="32"/>
  <c r="E224" i="32"/>
  <c r="D224" i="32"/>
  <c r="C224" i="32"/>
  <c r="L223" i="32"/>
  <c r="K223" i="32"/>
  <c r="J223" i="32"/>
  <c r="I223" i="32"/>
  <c r="H223" i="32"/>
  <c r="G223" i="32"/>
  <c r="F223" i="32"/>
  <c r="E223" i="32"/>
  <c r="D223" i="32"/>
  <c r="C223" i="32"/>
  <c r="L222" i="32"/>
  <c r="K222" i="32"/>
  <c r="J222" i="32"/>
  <c r="I222" i="32"/>
  <c r="H222" i="32"/>
  <c r="G222" i="32"/>
  <c r="F222" i="32"/>
  <c r="E222" i="32"/>
  <c r="D222" i="32"/>
  <c r="C222" i="32"/>
  <c r="L221" i="32"/>
  <c r="K221" i="32"/>
  <c r="J221" i="32"/>
  <c r="I221" i="32"/>
  <c r="H221" i="32"/>
  <c r="G221" i="32"/>
  <c r="F221" i="32"/>
  <c r="E221" i="32"/>
  <c r="D221" i="32"/>
  <c r="C221" i="32"/>
  <c r="L220" i="32"/>
  <c r="K220" i="32"/>
  <c r="J220" i="32"/>
  <c r="I220" i="32"/>
  <c r="H220" i="32"/>
  <c r="G220" i="32"/>
  <c r="F220" i="32"/>
  <c r="E220" i="32"/>
  <c r="D220" i="32"/>
  <c r="C220" i="32"/>
  <c r="L219" i="32"/>
  <c r="K219" i="32"/>
  <c r="J219" i="32"/>
  <c r="I219" i="32"/>
  <c r="H219" i="32"/>
  <c r="G219" i="32"/>
  <c r="F219" i="32"/>
  <c r="E219" i="32"/>
  <c r="D219" i="32"/>
  <c r="C219" i="32"/>
  <c r="L218" i="32"/>
  <c r="K218" i="32"/>
  <c r="J218" i="32"/>
  <c r="I218" i="32"/>
  <c r="H218" i="32"/>
  <c r="G218" i="32"/>
  <c r="F218" i="32"/>
  <c r="E218" i="32"/>
  <c r="D218" i="32"/>
  <c r="C218" i="32"/>
  <c r="L217" i="32"/>
  <c r="K217" i="32"/>
  <c r="J217" i="32"/>
  <c r="I217" i="32"/>
  <c r="H217" i="32"/>
  <c r="G217" i="32"/>
  <c r="F217" i="32"/>
  <c r="E217" i="32"/>
  <c r="D217" i="32"/>
  <c r="C217" i="32"/>
  <c r="L216" i="32"/>
  <c r="K216" i="32"/>
  <c r="J216" i="32"/>
  <c r="I216" i="32"/>
  <c r="H216" i="32"/>
  <c r="G216" i="32"/>
  <c r="F216" i="32"/>
  <c r="E216" i="32"/>
  <c r="D216" i="32"/>
  <c r="C216" i="32"/>
  <c r="L215" i="32"/>
  <c r="K215" i="32"/>
  <c r="J215" i="32"/>
  <c r="I215" i="32"/>
  <c r="H215" i="32"/>
  <c r="G215" i="32"/>
  <c r="F215" i="32"/>
  <c r="E215" i="32"/>
  <c r="D215" i="32"/>
  <c r="C215" i="32"/>
  <c r="L214" i="32"/>
  <c r="K214" i="32"/>
  <c r="J214" i="32"/>
  <c r="I214" i="32"/>
  <c r="H214" i="32"/>
  <c r="G214" i="32"/>
  <c r="F214" i="32"/>
  <c r="E214" i="32"/>
  <c r="D214" i="32"/>
  <c r="C214" i="32"/>
  <c r="L213" i="32"/>
  <c r="K213" i="32"/>
  <c r="J213" i="32"/>
  <c r="I213" i="32"/>
  <c r="H213" i="32"/>
  <c r="G213" i="32"/>
  <c r="F213" i="32"/>
  <c r="E213" i="32"/>
  <c r="D213" i="32"/>
  <c r="C213" i="32"/>
  <c r="L212" i="32"/>
  <c r="K212" i="32"/>
  <c r="J212" i="32"/>
  <c r="I212" i="32"/>
  <c r="H212" i="32"/>
  <c r="G212" i="32"/>
  <c r="F212" i="32"/>
  <c r="E212" i="32"/>
  <c r="D212" i="32"/>
  <c r="C212" i="32"/>
  <c r="L211" i="32"/>
  <c r="K211" i="32"/>
  <c r="J211" i="32"/>
  <c r="I211" i="32"/>
  <c r="H211" i="32"/>
  <c r="G211" i="32"/>
  <c r="F211" i="32"/>
  <c r="E211" i="32"/>
  <c r="D211" i="32"/>
  <c r="C211" i="32"/>
  <c r="L210" i="32"/>
  <c r="K210" i="32"/>
  <c r="J210" i="32"/>
  <c r="I210" i="32"/>
  <c r="H210" i="32"/>
  <c r="G210" i="32"/>
  <c r="F210" i="32"/>
  <c r="E210" i="32"/>
  <c r="D210" i="32"/>
  <c r="C210" i="32"/>
  <c r="L209" i="32"/>
  <c r="K209" i="32"/>
  <c r="J209" i="32"/>
  <c r="I209" i="32"/>
  <c r="H209" i="32"/>
  <c r="G209" i="32"/>
  <c r="F209" i="32"/>
  <c r="E209" i="32"/>
  <c r="D209" i="32"/>
  <c r="C209" i="32"/>
  <c r="L208" i="32"/>
  <c r="K208" i="32"/>
  <c r="J208" i="32"/>
  <c r="I208" i="32"/>
  <c r="H208" i="32"/>
  <c r="G208" i="32"/>
  <c r="F208" i="32"/>
  <c r="E208" i="32"/>
  <c r="D208" i="32"/>
  <c r="C208" i="32"/>
  <c r="L207" i="32"/>
  <c r="K207" i="32"/>
  <c r="J207" i="32"/>
  <c r="I207" i="32"/>
  <c r="H207" i="32"/>
  <c r="G207" i="32"/>
  <c r="F207" i="32"/>
  <c r="E207" i="32"/>
  <c r="D207" i="32"/>
  <c r="C207" i="32"/>
  <c r="L206" i="32"/>
  <c r="K206" i="32"/>
  <c r="J206" i="32"/>
  <c r="I206" i="32"/>
  <c r="H206" i="32"/>
  <c r="G206" i="32"/>
  <c r="F206" i="32"/>
  <c r="E206" i="32"/>
  <c r="D206" i="32"/>
  <c r="C206" i="32"/>
  <c r="L205" i="32"/>
  <c r="K205" i="32"/>
  <c r="J205" i="32"/>
  <c r="I205" i="32"/>
  <c r="H205" i="32"/>
  <c r="G205" i="32"/>
  <c r="F205" i="32"/>
  <c r="E205" i="32"/>
  <c r="D205" i="32"/>
  <c r="C205" i="32"/>
  <c r="L204" i="32"/>
  <c r="K204" i="32"/>
  <c r="J204" i="32"/>
  <c r="I204" i="32"/>
  <c r="H204" i="32"/>
  <c r="G204" i="32"/>
  <c r="F204" i="32"/>
  <c r="E204" i="32"/>
  <c r="D204" i="32"/>
  <c r="C204" i="32"/>
  <c r="L203" i="32"/>
  <c r="K203" i="32"/>
  <c r="J203" i="32"/>
  <c r="I203" i="32"/>
  <c r="H203" i="32"/>
  <c r="G203" i="32"/>
  <c r="F203" i="32"/>
  <c r="E203" i="32"/>
  <c r="D203" i="32"/>
  <c r="C203" i="32"/>
  <c r="L202" i="32"/>
  <c r="K202" i="32"/>
  <c r="J202" i="32"/>
  <c r="I202" i="32"/>
  <c r="H202" i="32"/>
  <c r="G202" i="32"/>
  <c r="F202" i="32"/>
  <c r="E202" i="32"/>
  <c r="D202" i="32"/>
  <c r="C202" i="32"/>
  <c r="L201" i="32"/>
  <c r="K201" i="32"/>
  <c r="J201" i="32"/>
  <c r="I201" i="32"/>
  <c r="H201" i="32"/>
  <c r="G201" i="32"/>
  <c r="F201" i="32"/>
  <c r="E201" i="32"/>
  <c r="D201" i="32"/>
  <c r="C201" i="32"/>
  <c r="L200" i="32"/>
  <c r="K200" i="32"/>
  <c r="J200" i="32"/>
  <c r="I200" i="32"/>
  <c r="H200" i="32"/>
  <c r="G200" i="32"/>
  <c r="F200" i="32"/>
  <c r="E200" i="32"/>
  <c r="D200" i="32"/>
  <c r="L199" i="32"/>
  <c r="K199" i="32"/>
  <c r="J199" i="32"/>
  <c r="I199" i="32"/>
  <c r="H199" i="32"/>
  <c r="G199" i="32"/>
  <c r="F199" i="32"/>
  <c r="E199" i="32"/>
  <c r="D199" i="32"/>
  <c r="C199" i="32"/>
  <c r="L198" i="32"/>
  <c r="K198" i="32"/>
  <c r="J198" i="32"/>
  <c r="I198" i="32"/>
  <c r="H198" i="32"/>
  <c r="G198" i="32"/>
  <c r="F198" i="32"/>
  <c r="E198" i="32"/>
  <c r="D198" i="32"/>
  <c r="C198" i="32"/>
  <c r="L197" i="32"/>
  <c r="K197" i="32"/>
  <c r="J197" i="32"/>
  <c r="I197" i="32"/>
  <c r="H197" i="32"/>
  <c r="G197" i="32"/>
  <c r="F197" i="32"/>
  <c r="E197" i="32"/>
  <c r="D197" i="32"/>
  <c r="C197" i="32"/>
  <c r="L196" i="32"/>
  <c r="K196" i="32"/>
  <c r="J196" i="32"/>
  <c r="I196" i="32"/>
  <c r="H196" i="32"/>
  <c r="G196" i="32"/>
  <c r="F196" i="32"/>
  <c r="E196" i="32"/>
  <c r="D196" i="32"/>
  <c r="C196" i="32"/>
  <c r="L195" i="32"/>
  <c r="K195" i="32"/>
  <c r="J195" i="32"/>
  <c r="I195" i="32"/>
  <c r="H195" i="32"/>
  <c r="G195" i="32"/>
  <c r="F195" i="32"/>
  <c r="E195" i="32"/>
  <c r="D195" i="32"/>
  <c r="C195" i="32"/>
  <c r="L194" i="32"/>
  <c r="K194" i="32"/>
  <c r="J194" i="32"/>
  <c r="I194" i="32"/>
  <c r="H194" i="32"/>
  <c r="G194" i="32"/>
  <c r="F194" i="32"/>
  <c r="E194" i="32"/>
  <c r="D194" i="32"/>
  <c r="C194" i="32"/>
  <c r="L193" i="32"/>
  <c r="K193" i="32"/>
  <c r="J193" i="32"/>
  <c r="I193" i="32"/>
  <c r="H193" i="32"/>
  <c r="G193" i="32"/>
  <c r="F193" i="32"/>
  <c r="E193" i="32"/>
  <c r="D193" i="32"/>
  <c r="C193" i="32"/>
  <c r="L192" i="32"/>
  <c r="K192" i="32"/>
  <c r="J192" i="32"/>
  <c r="I192" i="32"/>
  <c r="H192" i="32"/>
  <c r="G192" i="32"/>
  <c r="F192" i="32"/>
  <c r="E192" i="32"/>
  <c r="D192" i="32"/>
  <c r="C192" i="32"/>
  <c r="L191" i="32"/>
  <c r="K191" i="32"/>
  <c r="J191" i="32"/>
  <c r="I191" i="32"/>
  <c r="H191" i="32"/>
  <c r="G191" i="32"/>
  <c r="F191" i="32"/>
  <c r="E191" i="32"/>
  <c r="D191" i="32"/>
  <c r="C191" i="32"/>
  <c r="L190" i="32"/>
  <c r="K190" i="32"/>
  <c r="J190" i="32"/>
  <c r="I190" i="32"/>
  <c r="H190" i="32"/>
  <c r="G190" i="32"/>
  <c r="F190" i="32"/>
  <c r="E190" i="32"/>
  <c r="D190" i="32"/>
  <c r="C190" i="32"/>
  <c r="L189" i="32"/>
  <c r="K189" i="32"/>
  <c r="J189" i="32"/>
  <c r="I189" i="32"/>
  <c r="H189" i="32"/>
  <c r="G189" i="32"/>
  <c r="F189" i="32"/>
  <c r="E189" i="32"/>
  <c r="D189" i="32"/>
  <c r="C189" i="32"/>
  <c r="L188" i="32"/>
  <c r="K188" i="32"/>
  <c r="J188" i="32"/>
  <c r="I188" i="32"/>
  <c r="H188" i="32"/>
  <c r="G188" i="32"/>
  <c r="F188" i="32"/>
  <c r="E188" i="32"/>
  <c r="D188" i="32"/>
  <c r="C188" i="32"/>
  <c r="L187" i="32"/>
  <c r="K187" i="32"/>
  <c r="J187" i="32"/>
  <c r="I187" i="32"/>
  <c r="H187" i="32"/>
  <c r="G187" i="32"/>
  <c r="F187" i="32"/>
  <c r="E187" i="32"/>
  <c r="D187" i="32"/>
  <c r="C187" i="32"/>
  <c r="L186" i="32"/>
  <c r="K186" i="32"/>
  <c r="J186" i="32"/>
  <c r="I186" i="32"/>
  <c r="H186" i="32"/>
  <c r="G186" i="32"/>
  <c r="F186" i="32"/>
  <c r="E186" i="32"/>
  <c r="D186" i="32"/>
  <c r="C186" i="32"/>
  <c r="L185" i="32"/>
  <c r="K185" i="32"/>
  <c r="J185" i="32"/>
  <c r="I185" i="32"/>
  <c r="H185" i="32"/>
  <c r="G185" i="32"/>
  <c r="F185" i="32"/>
  <c r="E185" i="32"/>
  <c r="D185" i="32"/>
  <c r="C185" i="32"/>
  <c r="L184" i="32"/>
  <c r="K184" i="32"/>
  <c r="J184" i="32"/>
  <c r="I184" i="32"/>
  <c r="H184" i="32"/>
  <c r="G184" i="32"/>
  <c r="F184" i="32"/>
  <c r="E184" i="32"/>
  <c r="D184" i="32"/>
  <c r="C184" i="32"/>
  <c r="L183" i="32"/>
  <c r="K183" i="32"/>
  <c r="J183" i="32"/>
  <c r="I183" i="32"/>
  <c r="H183" i="32"/>
  <c r="G183" i="32"/>
  <c r="F183" i="32"/>
  <c r="E183" i="32"/>
  <c r="D183" i="32"/>
  <c r="C183" i="32"/>
  <c r="L182" i="32"/>
  <c r="K182" i="32"/>
  <c r="J182" i="32"/>
  <c r="I182" i="32"/>
  <c r="H182" i="32"/>
  <c r="G182" i="32"/>
  <c r="F182" i="32"/>
  <c r="E182" i="32"/>
  <c r="D182" i="32"/>
  <c r="C182" i="32"/>
  <c r="L181" i="32"/>
  <c r="K181" i="32"/>
  <c r="J181" i="32"/>
  <c r="I181" i="32"/>
  <c r="H181" i="32"/>
  <c r="G181" i="32"/>
  <c r="F181" i="32"/>
  <c r="E181" i="32"/>
  <c r="D181" i="32"/>
  <c r="C181" i="32"/>
  <c r="L180" i="32"/>
  <c r="K180" i="32"/>
  <c r="J180" i="32"/>
  <c r="I180" i="32"/>
  <c r="H180" i="32"/>
  <c r="G180" i="32"/>
  <c r="F180" i="32"/>
  <c r="E180" i="32"/>
  <c r="D180" i="32"/>
  <c r="C180" i="32"/>
  <c r="L179" i="32"/>
  <c r="K179" i="32"/>
  <c r="J179" i="32"/>
  <c r="I179" i="32"/>
  <c r="H179" i="32"/>
  <c r="G179" i="32"/>
  <c r="F179" i="32"/>
  <c r="E179" i="32"/>
  <c r="D179" i="32"/>
  <c r="C179" i="32"/>
  <c r="L178" i="32"/>
  <c r="K178" i="32"/>
  <c r="J178" i="32"/>
  <c r="I178" i="32"/>
  <c r="H178" i="32"/>
  <c r="G178" i="32"/>
  <c r="F178" i="32"/>
  <c r="E178" i="32"/>
  <c r="D178" i="32"/>
  <c r="C178" i="32"/>
  <c r="L177" i="32"/>
  <c r="K177" i="32"/>
  <c r="J177" i="32"/>
  <c r="I177" i="32"/>
  <c r="H177" i="32"/>
  <c r="G177" i="32"/>
  <c r="F177" i="32"/>
  <c r="E177" i="32"/>
  <c r="D177" i="32"/>
  <c r="C177" i="32"/>
  <c r="L176" i="32"/>
  <c r="K176" i="32"/>
  <c r="J176" i="32"/>
  <c r="I176" i="32"/>
  <c r="H176" i="32"/>
  <c r="G176" i="32"/>
  <c r="F176" i="32"/>
  <c r="E176" i="32"/>
  <c r="D176" i="32"/>
  <c r="C176" i="32"/>
  <c r="L175" i="32"/>
  <c r="K175" i="32"/>
  <c r="J175" i="32"/>
  <c r="I175" i="32"/>
  <c r="H175" i="32"/>
  <c r="G175" i="32"/>
  <c r="F175" i="32"/>
  <c r="E175" i="32"/>
  <c r="D175" i="32"/>
  <c r="C175" i="32"/>
  <c r="L174" i="32"/>
  <c r="K174" i="32"/>
  <c r="J174" i="32"/>
  <c r="I174" i="32"/>
  <c r="H174" i="32"/>
  <c r="G174" i="32"/>
  <c r="F174" i="32"/>
  <c r="E174" i="32"/>
  <c r="D174" i="32"/>
  <c r="C174" i="32"/>
  <c r="L173" i="32"/>
  <c r="K173" i="32"/>
  <c r="J173" i="32"/>
  <c r="I173" i="32"/>
  <c r="H173" i="32"/>
  <c r="G173" i="32"/>
  <c r="F173" i="32"/>
  <c r="E173" i="32"/>
  <c r="D173" i="32"/>
  <c r="C173" i="32"/>
  <c r="L172" i="32"/>
  <c r="K172" i="32"/>
  <c r="J172" i="32"/>
  <c r="I172" i="32"/>
  <c r="H172" i="32"/>
  <c r="G172" i="32"/>
  <c r="F172" i="32"/>
  <c r="E172" i="32"/>
  <c r="D172" i="32"/>
  <c r="C172" i="32"/>
  <c r="L171" i="32"/>
  <c r="K171" i="32"/>
  <c r="J171" i="32"/>
  <c r="I171" i="32"/>
  <c r="H171" i="32"/>
  <c r="G171" i="32"/>
  <c r="F171" i="32"/>
  <c r="E171" i="32"/>
  <c r="D171" i="32"/>
  <c r="C171" i="32"/>
  <c r="L170" i="32"/>
  <c r="K170" i="32"/>
  <c r="J170" i="32"/>
  <c r="I170" i="32"/>
  <c r="H170" i="32"/>
  <c r="G170" i="32"/>
  <c r="F170" i="32"/>
  <c r="E170" i="32"/>
  <c r="D170" i="32"/>
  <c r="C170" i="32"/>
  <c r="L169" i="32"/>
  <c r="K169" i="32"/>
  <c r="J169" i="32"/>
  <c r="I169" i="32"/>
  <c r="H169" i="32"/>
  <c r="G169" i="32"/>
  <c r="F169" i="32"/>
  <c r="E169" i="32"/>
  <c r="D169" i="32"/>
  <c r="C169" i="32"/>
  <c r="L168" i="32"/>
  <c r="K168" i="32"/>
  <c r="J168" i="32"/>
  <c r="I168" i="32"/>
  <c r="H168" i="32"/>
  <c r="G168" i="32"/>
  <c r="F168" i="32"/>
  <c r="E168" i="32"/>
  <c r="D168" i="32"/>
  <c r="C168" i="32"/>
  <c r="L167" i="32"/>
  <c r="K167" i="32"/>
  <c r="J167" i="32"/>
  <c r="I167" i="32"/>
  <c r="H167" i="32"/>
  <c r="G167" i="32"/>
  <c r="F167" i="32"/>
  <c r="E167" i="32"/>
  <c r="D167" i="32"/>
  <c r="C167" i="32"/>
  <c r="L166" i="32"/>
  <c r="K166" i="32"/>
  <c r="J166" i="32"/>
  <c r="I166" i="32"/>
  <c r="H166" i="32"/>
  <c r="G166" i="32"/>
  <c r="F166" i="32"/>
  <c r="E166" i="32"/>
  <c r="D166" i="32"/>
  <c r="C166" i="32"/>
  <c r="L165" i="32"/>
  <c r="K165" i="32"/>
  <c r="J165" i="32"/>
  <c r="I165" i="32"/>
  <c r="H165" i="32"/>
  <c r="G165" i="32"/>
  <c r="F165" i="32"/>
  <c r="E165" i="32"/>
  <c r="D165" i="32"/>
  <c r="C165" i="32"/>
  <c r="L164" i="32"/>
  <c r="K164" i="32"/>
  <c r="J164" i="32"/>
  <c r="I164" i="32"/>
  <c r="H164" i="32"/>
  <c r="G164" i="32"/>
  <c r="F164" i="32"/>
  <c r="E164" i="32"/>
  <c r="D164" i="32"/>
  <c r="C164" i="32"/>
  <c r="L163" i="32"/>
  <c r="K163" i="32"/>
  <c r="J163" i="32"/>
  <c r="I163" i="32"/>
  <c r="H163" i="32"/>
  <c r="G163" i="32"/>
  <c r="F163" i="32"/>
  <c r="E163" i="32"/>
  <c r="D163" i="32"/>
  <c r="C163" i="32"/>
  <c r="L162" i="32"/>
  <c r="K162" i="32"/>
  <c r="J162" i="32"/>
  <c r="I162" i="32"/>
  <c r="H162" i="32"/>
  <c r="G162" i="32"/>
  <c r="F162" i="32"/>
  <c r="E162" i="32"/>
  <c r="D162" i="32"/>
  <c r="C162" i="32"/>
  <c r="L161" i="32"/>
  <c r="K161" i="32"/>
  <c r="J161" i="32"/>
  <c r="I161" i="32"/>
  <c r="H161" i="32"/>
  <c r="G161" i="32"/>
  <c r="F161" i="32"/>
  <c r="E161" i="32"/>
  <c r="D161" i="32"/>
  <c r="C161" i="32"/>
  <c r="L160" i="32"/>
  <c r="K160" i="32"/>
  <c r="J160" i="32"/>
  <c r="I160" i="32"/>
  <c r="H160" i="32"/>
  <c r="G160" i="32"/>
  <c r="F160" i="32"/>
  <c r="E160" i="32"/>
  <c r="D160" i="32"/>
  <c r="C160" i="32"/>
  <c r="L159" i="32"/>
  <c r="K159" i="32"/>
  <c r="J159" i="32"/>
  <c r="I159" i="32"/>
  <c r="H159" i="32"/>
  <c r="G159" i="32"/>
  <c r="F159" i="32"/>
  <c r="E159" i="32"/>
  <c r="D159" i="32"/>
  <c r="C159" i="32"/>
  <c r="L158" i="32"/>
  <c r="K158" i="32"/>
  <c r="J158" i="32"/>
  <c r="I158" i="32"/>
  <c r="H158" i="32"/>
  <c r="G158" i="32"/>
  <c r="F158" i="32"/>
  <c r="E158" i="32"/>
  <c r="D158" i="32"/>
  <c r="C158" i="32"/>
  <c r="L157" i="32"/>
  <c r="K157" i="32"/>
  <c r="J157" i="32"/>
  <c r="I157" i="32"/>
  <c r="H157" i="32"/>
  <c r="G157" i="32"/>
  <c r="F157" i="32"/>
  <c r="E157" i="32"/>
  <c r="D157" i="32"/>
  <c r="L156" i="32"/>
  <c r="K156" i="32"/>
  <c r="J156" i="32"/>
  <c r="I156" i="32"/>
  <c r="H156" i="32"/>
  <c r="G156" i="32"/>
  <c r="F156" i="32"/>
  <c r="E156" i="32"/>
  <c r="D156" i="32"/>
  <c r="C156" i="32"/>
  <c r="L155" i="32"/>
  <c r="K155" i="32"/>
  <c r="J155" i="32"/>
  <c r="I155" i="32"/>
  <c r="H155" i="32"/>
  <c r="G155" i="32"/>
  <c r="F155" i="32"/>
  <c r="E155" i="32"/>
  <c r="D155" i="32"/>
  <c r="C155" i="32"/>
  <c r="L154" i="32"/>
  <c r="K154" i="32"/>
  <c r="J154" i="32"/>
  <c r="I154" i="32"/>
  <c r="H154" i="32"/>
  <c r="G154" i="32"/>
  <c r="F154" i="32"/>
  <c r="E154" i="32"/>
  <c r="D154" i="32"/>
  <c r="C154" i="32"/>
  <c r="L153" i="32"/>
  <c r="K153" i="32"/>
  <c r="J153" i="32"/>
  <c r="I153" i="32"/>
  <c r="H153" i="32"/>
  <c r="G153" i="32"/>
  <c r="F153" i="32"/>
  <c r="E153" i="32"/>
  <c r="D153" i="32"/>
  <c r="C153" i="32"/>
  <c r="L152" i="32"/>
  <c r="K152" i="32"/>
  <c r="J152" i="32"/>
  <c r="I152" i="32"/>
  <c r="H152" i="32"/>
  <c r="G152" i="32"/>
  <c r="F152" i="32"/>
  <c r="E152" i="32"/>
  <c r="D152" i="32"/>
  <c r="C152" i="32"/>
  <c r="L151" i="32"/>
  <c r="K151" i="32"/>
  <c r="J151" i="32"/>
  <c r="I151" i="32"/>
  <c r="H151" i="32"/>
  <c r="G151" i="32"/>
  <c r="F151" i="32"/>
  <c r="E151" i="32"/>
  <c r="D151" i="32"/>
  <c r="C151" i="32"/>
  <c r="L150" i="32"/>
  <c r="K150" i="32"/>
  <c r="J150" i="32"/>
  <c r="I150" i="32"/>
  <c r="H150" i="32"/>
  <c r="G150" i="32"/>
  <c r="F150" i="32"/>
  <c r="E150" i="32"/>
  <c r="D150" i="32"/>
  <c r="C150" i="32"/>
  <c r="L149" i="32"/>
  <c r="K149" i="32"/>
  <c r="J149" i="32"/>
  <c r="I149" i="32"/>
  <c r="H149" i="32"/>
  <c r="G149" i="32"/>
  <c r="F149" i="32"/>
  <c r="E149" i="32"/>
  <c r="D149" i="32"/>
  <c r="L148" i="32"/>
  <c r="K148" i="32"/>
  <c r="J148" i="32"/>
  <c r="I148" i="32"/>
  <c r="H148" i="32"/>
  <c r="G148" i="32"/>
  <c r="F148" i="32"/>
  <c r="E148" i="32"/>
  <c r="D148" i="32"/>
  <c r="C148" i="32"/>
  <c r="L147" i="32"/>
  <c r="K147" i="32"/>
  <c r="J147" i="32"/>
  <c r="I147" i="32"/>
  <c r="H147" i="32"/>
  <c r="G147" i="32"/>
  <c r="F147" i="32"/>
  <c r="E147" i="32"/>
  <c r="D147" i="32"/>
  <c r="C147" i="32"/>
  <c r="L146" i="32"/>
  <c r="K146" i="32"/>
  <c r="J146" i="32"/>
  <c r="I146" i="32"/>
  <c r="H146" i="32"/>
  <c r="G146" i="32"/>
  <c r="F146" i="32"/>
  <c r="E146" i="32"/>
  <c r="D146" i="32"/>
  <c r="C146" i="32"/>
  <c r="L145" i="32"/>
  <c r="K145" i="32"/>
  <c r="J145" i="32"/>
  <c r="I145" i="32"/>
  <c r="H145" i="32"/>
  <c r="G145" i="32"/>
  <c r="F145" i="32"/>
  <c r="E145" i="32"/>
  <c r="D145" i="32"/>
  <c r="C145" i="32"/>
  <c r="L144" i="32"/>
  <c r="K144" i="32"/>
  <c r="J144" i="32"/>
  <c r="I144" i="32"/>
  <c r="H144" i="32"/>
  <c r="G144" i="32"/>
  <c r="F144" i="32"/>
  <c r="E144" i="32"/>
  <c r="D144" i="32"/>
  <c r="C144" i="32"/>
  <c r="L143" i="32"/>
  <c r="K143" i="32"/>
  <c r="J143" i="32"/>
  <c r="I143" i="32"/>
  <c r="H143" i="32"/>
  <c r="G143" i="32"/>
  <c r="F143" i="32"/>
  <c r="E143" i="32"/>
  <c r="D143" i="32"/>
  <c r="L142" i="32"/>
  <c r="K142" i="32"/>
  <c r="J142" i="32"/>
  <c r="I142" i="32"/>
  <c r="H142" i="32"/>
  <c r="G142" i="32"/>
  <c r="F142" i="32"/>
  <c r="E142" i="32"/>
  <c r="D142" i="32"/>
  <c r="C142" i="32"/>
  <c r="L141" i="32"/>
  <c r="K141" i="32"/>
  <c r="J141" i="32"/>
  <c r="I141" i="32"/>
  <c r="H141" i="32"/>
  <c r="G141" i="32"/>
  <c r="F141" i="32"/>
  <c r="E141" i="32"/>
  <c r="D141" i="32"/>
  <c r="C141" i="32"/>
  <c r="L140" i="32"/>
  <c r="K140" i="32"/>
  <c r="J140" i="32"/>
  <c r="I140" i="32"/>
  <c r="H140" i="32"/>
  <c r="G140" i="32"/>
  <c r="F140" i="32"/>
  <c r="E140" i="32"/>
  <c r="D140" i="32"/>
  <c r="C140" i="32"/>
  <c r="L139" i="32"/>
  <c r="K139" i="32"/>
  <c r="J139" i="32"/>
  <c r="I139" i="32"/>
  <c r="H139" i="32"/>
  <c r="G139" i="32"/>
  <c r="F139" i="32"/>
  <c r="E139" i="32"/>
  <c r="D139" i="32"/>
  <c r="C139" i="32"/>
  <c r="L138" i="32"/>
  <c r="K138" i="32"/>
  <c r="J138" i="32"/>
  <c r="I138" i="32"/>
  <c r="H138" i="32"/>
  <c r="G138" i="32"/>
  <c r="F138" i="32"/>
  <c r="E138" i="32"/>
  <c r="D138" i="32"/>
  <c r="C138" i="32"/>
  <c r="L137" i="32"/>
  <c r="K137" i="32"/>
  <c r="J137" i="32"/>
  <c r="I137" i="32"/>
  <c r="H137" i="32"/>
  <c r="G137" i="32"/>
  <c r="F137" i="32"/>
  <c r="E137" i="32"/>
  <c r="D137" i="32"/>
  <c r="C137" i="32"/>
  <c r="L136" i="32"/>
  <c r="K136" i="32"/>
  <c r="J136" i="32"/>
  <c r="I136" i="32"/>
  <c r="H136" i="32"/>
  <c r="G136" i="32"/>
  <c r="F136" i="32"/>
  <c r="E136" i="32"/>
  <c r="D136" i="32"/>
  <c r="C136" i="32"/>
  <c r="L135" i="32"/>
  <c r="K135" i="32"/>
  <c r="J135" i="32"/>
  <c r="I135" i="32"/>
  <c r="H135" i="32"/>
  <c r="G135" i="32"/>
  <c r="F135" i="32"/>
  <c r="E135" i="32"/>
  <c r="D135" i="32"/>
  <c r="L134" i="32"/>
  <c r="K134" i="32"/>
  <c r="J134" i="32"/>
  <c r="I134" i="32"/>
  <c r="H134" i="32"/>
  <c r="G134" i="32"/>
  <c r="F134" i="32"/>
  <c r="E134" i="32"/>
  <c r="D134" i="32"/>
  <c r="C134" i="32"/>
  <c r="L133" i="32"/>
  <c r="K133" i="32"/>
  <c r="J133" i="32"/>
  <c r="I133" i="32"/>
  <c r="H133" i="32"/>
  <c r="G133" i="32"/>
  <c r="F133" i="32"/>
  <c r="E133" i="32"/>
  <c r="D133" i="32"/>
  <c r="C133" i="32"/>
  <c r="L132" i="32"/>
  <c r="K132" i="32"/>
  <c r="J132" i="32"/>
  <c r="I132" i="32"/>
  <c r="H132" i="32"/>
  <c r="G132" i="32"/>
  <c r="F132" i="32"/>
  <c r="E132" i="32"/>
  <c r="D132" i="32"/>
  <c r="C132" i="32"/>
  <c r="L131" i="32"/>
  <c r="K131" i="32"/>
  <c r="J131" i="32"/>
  <c r="I131" i="32"/>
  <c r="H131" i="32"/>
  <c r="G131" i="32"/>
  <c r="F131" i="32"/>
  <c r="E131" i="32"/>
  <c r="D131" i="32"/>
  <c r="C131" i="32"/>
  <c r="L130" i="32"/>
  <c r="K130" i="32"/>
  <c r="J130" i="32"/>
  <c r="I130" i="32"/>
  <c r="H130" i="32"/>
  <c r="G130" i="32"/>
  <c r="F130" i="32"/>
  <c r="E130" i="32"/>
  <c r="D130" i="32"/>
  <c r="C130" i="32"/>
  <c r="L129" i="32"/>
  <c r="K129" i="32"/>
  <c r="J129" i="32"/>
  <c r="I129" i="32"/>
  <c r="H129" i="32"/>
  <c r="G129" i="32"/>
  <c r="F129" i="32"/>
  <c r="E129" i="32"/>
  <c r="D129" i="32"/>
  <c r="C129" i="32"/>
  <c r="L128" i="32"/>
  <c r="K128" i="32"/>
  <c r="J128" i="32"/>
  <c r="I128" i="32"/>
  <c r="H128" i="32"/>
  <c r="G128" i="32"/>
  <c r="F128" i="32"/>
  <c r="E128" i="32"/>
  <c r="D128" i="32"/>
  <c r="C128" i="32"/>
  <c r="L127" i="32"/>
  <c r="K127" i="32"/>
  <c r="J127" i="32"/>
  <c r="I127" i="32"/>
  <c r="H127" i="32"/>
  <c r="G127" i="32"/>
  <c r="F127" i="32"/>
  <c r="E127" i="32"/>
  <c r="D127" i="32"/>
  <c r="C127" i="32"/>
  <c r="L126" i="32"/>
  <c r="K126" i="32"/>
  <c r="J126" i="32"/>
  <c r="I126" i="32"/>
  <c r="H126" i="32"/>
  <c r="G126" i="32"/>
  <c r="F126" i="32"/>
  <c r="E126" i="32"/>
  <c r="D126" i="32"/>
  <c r="C126" i="32"/>
  <c r="L125" i="32"/>
  <c r="K125" i="32"/>
  <c r="J125" i="32"/>
  <c r="I125" i="32"/>
  <c r="H125" i="32"/>
  <c r="G125" i="32"/>
  <c r="F125" i="32"/>
  <c r="E125" i="32"/>
  <c r="D125" i="32"/>
  <c r="C125" i="32"/>
  <c r="L124" i="32"/>
  <c r="K124" i="32"/>
  <c r="J124" i="32"/>
  <c r="I124" i="32"/>
  <c r="H124" i="32"/>
  <c r="G124" i="32"/>
  <c r="F124" i="32"/>
  <c r="E124" i="32"/>
  <c r="D124" i="32"/>
  <c r="C124" i="32"/>
  <c r="L123" i="32"/>
  <c r="K123" i="32"/>
  <c r="J123" i="32"/>
  <c r="I123" i="32"/>
  <c r="H123" i="32"/>
  <c r="G123" i="32"/>
  <c r="F123" i="32"/>
  <c r="E123" i="32"/>
  <c r="D123" i="32"/>
  <c r="C123" i="32"/>
  <c r="L122" i="32"/>
  <c r="K122" i="32"/>
  <c r="J122" i="32"/>
  <c r="I122" i="32"/>
  <c r="H122" i="32"/>
  <c r="G122" i="32"/>
  <c r="F122" i="32"/>
  <c r="E122" i="32"/>
  <c r="D122" i="32"/>
  <c r="C122" i="32"/>
  <c r="L121" i="32"/>
  <c r="K121" i="32"/>
  <c r="J121" i="32"/>
  <c r="I121" i="32"/>
  <c r="H121" i="32"/>
  <c r="G121" i="32"/>
  <c r="F121" i="32"/>
  <c r="E121" i="32"/>
  <c r="D121" i="32"/>
  <c r="C121" i="32"/>
  <c r="L120" i="32"/>
  <c r="K120" i="32"/>
  <c r="J120" i="32"/>
  <c r="I120" i="32"/>
  <c r="H120" i="32"/>
  <c r="G120" i="32"/>
  <c r="F120" i="32"/>
  <c r="E120" i="32"/>
  <c r="D120" i="32"/>
  <c r="C120" i="32"/>
  <c r="L119" i="32"/>
  <c r="K119" i="32"/>
  <c r="J119" i="32"/>
  <c r="I119" i="32"/>
  <c r="H119" i="32"/>
  <c r="G119" i="32"/>
  <c r="F119" i="32"/>
  <c r="E119" i="32"/>
  <c r="D119" i="32"/>
  <c r="C119" i="32"/>
  <c r="L118" i="32"/>
  <c r="K118" i="32"/>
  <c r="J118" i="32"/>
  <c r="I118" i="32"/>
  <c r="H118" i="32"/>
  <c r="G118" i="32"/>
  <c r="F118" i="32"/>
  <c r="E118" i="32"/>
  <c r="D118" i="32"/>
  <c r="C118" i="32"/>
  <c r="L117" i="32"/>
  <c r="K117" i="32"/>
  <c r="J117" i="32"/>
  <c r="I117" i="32"/>
  <c r="H117" i="32"/>
  <c r="G117" i="32"/>
  <c r="F117" i="32"/>
  <c r="E117" i="32"/>
  <c r="D117" i="32"/>
  <c r="C117" i="32"/>
  <c r="L116" i="32"/>
  <c r="K116" i="32"/>
  <c r="J116" i="32"/>
  <c r="I116" i="32"/>
  <c r="H116" i="32"/>
  <c r="G116" i="32"/>
  <c r="F116" i="32"/>
  <c r="E116" i="32"/>
  <c r="D116" i="32"/>
  <c r="C116" i="32"/>
  <c r="L115" i="32"/>
  <c r="K115" i="32"/>
  <c r="J115" i="32"/>
  <c r="I115" i="32"/>
  <c r="H115" i="32"/>
  <c r="G115" i="32"/>
  <c r="F115" i="32"/>
  <c r="E115" i="32"/>
  <c r="D115" i="32"/>
  <c r="C115" i="32"/>
  <c r="L114" i="32"/>
  <c r="K114" i="32"/>
  <c r="J114" i="32"/>
  <c r="I114" i="32"/>
  <c r="H114" i="32"/>
  <c r="G114" i="32"/>
  <c r="F114" i="32"/>
  <c r="E114" i="32"/>
  <c r="D114" i="32"/>
  <c r="C114" i="32"/>
  <c r="L113" i="32"/>
  <c r="K113" i="32"/>
  <c r="J113" i="32"/>
  <c r="I113" i="32"/>
  <c r="H113" i="32"/>
  <c r="G113" i="32"/>
  <c r="F113" i="32"/>
  <c r="E113" i="32"/>
  <c r="D113" i="32"/>
  <c r="C113" i="32"/>
  <c r="L112" i="32"/>
  <c r="K112" i="32"/>
  <c r="J112" i="32"/>
  <c r="I112" i="32"/>
  <c r="H112" i="32"/>
  <c r="G112" i="32"/>
  <c r="F112" i="32"/>
  <c r="E112" i="32"/>
  <c r="D112" i="32"/>
  <c r="C112" i="32"/>
  <c r="L111" i="32"/>
  <c r="K111" i="32"/>
  <c r="J111" i="32"/>
  <c r="I111" i="32"/>
  <c r="H111" i="32"/>
  <c r="G111" i="32"/>
  <c r="F111" i="32"/>
  <c r="E111" i="32"/>
  <c r="D111" i="32"/>
  <c r="C111" i="32"/>
  <c r="L110" i="32"/>
  <c r="K110" i="32"/>
  <c r="J110" i="32"/>
  <c r="I110" i="32"/>
  <c r="H110" i="32"/>
  <c r="G110" i="32"/>
  <c r="F110" i="32"/>
  <c r="E110" i="32"/>
  <c r="D110" i="32"/>
  <c r="C110" i="32"/>
  <c r="L109" i="32"/>
  <c r="K109" i="32"/>
  <c r="J109" i="32"/>
  <c r="I109" i="32"/>
  <c r="H109" i="32"/>
  <c r="G109" i="32"/>
  <c r="F109" i="32"/>
  <c r="E109" i="32"/>
  <c r="D109" i="32"/>
  <c r="C109" i="32"/>
  <c r="L108" i="32"/>
  <c r="K108" i="32"/>
  <c r="J108" i="32"/>
  <c r="I108" i="32"/>
  <c r="H108" i="32"/>
  <c r="G108" i="32"/>
  <c r="F108" i="32"/>
  <c r="E108" i="32"/>
  <c r="D108" i="32"/>
  <c r="C108" i="32"/>
  <c r="L107" i="32"/>
  <c r="K107" i="32"/>
  <c r="J107" i="32"/>
  <c r="I107" i="32"/>
  <c r="H107" i="32"/>
  <c r="G107" i="32"/>
  <c r="F107" i="32"/>
  <c r="E107" i="32"/>
  <c r="D107" i="32"/>
  <c r="C107" i="32"/>
  <c r="L106" i="32"/>
  <c r="K106" i="32"/>
  <c r="J106" i="32"/>
  <c r="I106" i="32"/>
  <c r="H106" i="32"/>
  <c r="G106" i="32"/>
  <c r="F106" i="32"/>
  <c r="E106" i="32"/>
  <c r="D106" i="32"/>
  <c r="C106" i="32"/>
  <c r="L105" i="32"/>
  <c r="K105" i="32"/>
  <c r="J105" i="32"/>
  <c r="I105" i="32"/>
  <c r="H105" i="32"/>
  <c r="G105" i="32"/>
  <c r="F105" i="32"/>
  <c r="E105" i="32"/>
  <c r="D105" i="32"/>
  <c r="C105" i="32"/>
  <c r="L104" i="32"/>
  <c r="K104" i="32"/>
  <c r="J104" i="32"/>
  <c r="I104" i="32"/>
  <c r="H104" i="32"/>
  <c r="G104" i="32"/>
  <c r="F104" i="32"/>
  <c r="E104" i="32"/>
  <c r="D104" i="32"/>
  <c r="C104" i="32"/>
  <c r="L103" i="32"/>
  <c r="K103" i="32"/>
  <c r="J103" i="32"/>
  <c r="I103" i="32"/>
  <c r="H103" i="32"/>
  <c r="G103" i="32"/>
  <c r="F103" i="32"/>
  <c r="E103" i="32"/>
  <c r="D103" i="32"/>
  <c r="C103" i="32"/>
  <c r="L102" i="32"/>
  <c r="K102" i="32"/>
  <c r="J102" i="32"/>
  <c r="I102" i="32"/>
  <c r="H102" i="32"/>
  <c r="G102" i="32"/>
  <c r="F102" i="32"/>
  <c r="E102" i="32"/>
  <c r="D102" i="32"/>
  <c r="C102" i="32"/>
  <c r="L101" i="32"/>
  <c r="K101" i="32"/>
  <c r="J101" i="32"/>
  <c r="I101" i="32"/>
  <c r="H101" i="32"/>
  <c r="G101" i="32"/>
  <c r="F101" i="32"/>
  <c r="E101" i="32"/>
  <c r="D101" i="32"/>
  <c r="C101" i="32"/>
  <c r="L100" i="32"/>
  <c r="K100" i="32"/>
  <c r="J100" i="32"/>
  <c r="I100" i="32"/>
  <c r="H100" i="32"/>
  <c r="G100" i="32"/>
  <c r="F100" i="32"/>
  <c r="E100" i="32"/>
  <c r="D100" i="32"/>
  <c r="C100" i="32"/>
  <c r="L99" i="32"/>
  <c r="K99" i="32"/>
  <c r="J99" i="32"/>
  <c r="I99" i="32"/>
  <c r="H99" i="32"/>
  <c r="G99" i="32"/>
  <c r="F99" i="32"/>
  <c r="E99" i="32"/>
  <c r="D99" i="32"/>
  <c r="C99" i="32"/>
  <c r="L98" i="32"/>
  <c r="K98" i="32"/>
  <c r="J98" i="32"/>
  <c r="I98" i="32"/>
  <c r="H98" i="32"/>
  <c r="G98" i="32"/>
  <c r="F98" i="32"/>
  <c r="E98" i="32"/>
  <c r="D98" i="32"/>
  <c r="C98" i="32"/>
  <c r="L97" i="32"/>
  <c r="K97" i="32"/>
  <c r="J97" i="32"/>
  <c r="I97" i="32"/>
  <c r="H97" i="32"/>
  <c r="G97" i="32"/>
  <c r="F97" i="32"/>
  <c r="E97" i="32"/>
  <c r="D97" i="32"/>
  <c r="C97" i="32"/>
  <c r="L96" i="32"/>
  <c r="K96" i="32"/>
  <c r="J96" i="32"/>
  <c r="I96" i="32"/>
  <c r="H96" i="32"/>
  <c r="G96" i="32"/>
  <c r="F96" i="32"/>
  <c r="E96" i="32"/>
  <c r="D96" i="32"/>
  <c r="C96" i="32"/>
  <c r="L95" i="32"/>
  <c r="K95" i="32"/>
  <c r="J95" i="32"/>
  <c r="I95" i="32"/>
  <c r="H95" i="32"/>
  <c r="G95" i="32"/>
  <c r="F95" i="32"/>
  <c r="E95" i="32"/>
  <c r="D95" i="32"/>
  <c r="C95" i="32"/>
  <c r="L94" i="32"/>
  <c r="K94" i="32"/>
  <c r="J94" i="32"/>
  <c r="I94" i="32"/>
  <c r="H94" i="32"/>
  <c r="G94" i="32"/>
  <c r="F94" i="32"/>
  <c r="E94" i="32"/>
  <c r="D94" i="32"/>
  <c r="C94" i="32"/>
  <c r="L93" i="32"/>
  <c r="K93" i="32"/>
  <c r="J93" i="32"/>
  <c r="I93" i="32"/>
  <c r="H93" i="32"/>
  <c r="G93" i="32"/>
  <c r="F93" i="32"/>
  <c r="E93" i="32"/>
  <c r="D93" i="32"/>
  <c r="C93" i="32"/>
  <c r="L92" i="32"/>
  <c r="K92" i="32"/>
  <c r="J92" i="32"/>
  <c r="I92" i="32"/>
  <c r="H92" i="32"/>
  <c r="G92" i="32"/>
  <c r="F92" i="32"/>
  <c r="E92" i="32"/>
  <c r="D92" i="32"/>
  <c r="C92" i="32"/>
  <c r="L91" i="32"/>
  <c r="K91" i="32"/>
  <c r="J91" i="32"/>
  <c r="I91" i="32"/>
  <c r="H91" i="32"/>
  <c r="G91" i="32"/>
  <c r="F91" i="32"/>
  <c r="E91" i="32"/>
  <c r="D91" i="32"/>
  <c r="C91" i="32"/>
  <c r="L90" i="32"/>
  <c r="K90" i="32"/>
  <c r="J90" i="32"/>
  <c r="I90" i="32"/>
  <c r="H90" i="32"/>
  <c r="G90" i="32"/>
  <c r="F90" i="32"/>
  <c r="E90" i="32"/>
  <c r="D90" i="32"/>
  <c r="C90" i="32"/>
  <c r="L89" i="32"/>
  <c r="K89" i="32"/>
  <c r="J89" i="32"/>
  <c r="I89" i="32"/>
  <c r="H89" i="32"/>
  <c r="G89" i="32"/>
  <c r="F89" i="32"/>
  <c r="E89" i="32"/>
  <c r="D89" i="32"/>
  <c r="C89" i="32"/>
  <c r="L88" i="32"/>
  <c r="K88" i="32"/>
  <c r="J88" i="32"/>
  <c r="I88" i="32"/>
  <c r="H88" i="32"/>
  <c r="G88" i="32"/>
  <c r="F88" i="32"/>
  <c r="E88" i="32"/>
  <c r="D88" i="32"/>
  <c r="C88" i="32"/>
  <c r="L87" i="32"/>
  <c r="K87" i="32"/>
  <c r="J87" i="32"/>
  <c r="I87" i="32"/>
  <c r="H87" i="32"/>
  <c r="G87" i="32"/>
  <c r="F87" i="32"/>
  <c r="E87" i="32"/>
  <c r="D87" i="32"/>
  <c r="C87" i="32"/>
  <c r="L86" i="32"/>
  <c r="K86" i="32"/>
  <c r="J86" i="32"/>
  <c r="I86" i="32"/>
  <c r="H86" i="32"/>
  <c r="G86" i="32"/>
  <c r="F86" i="32"/>
  <c r="E86" i="32"/>
  <c r="D86" i="32"/>
  <c r="C86" i="32"/>
  <c r="L85" i="32"/>
  <c r="K85" i="32"/>
  <c r="J85" i="32"/>
  <c r="I85" i="32"/>
  <c r="H85" i="32"/>
  <c r="G85" i="32"/>
  <c r="F85" i="32"/>
  <c r="E85" i="32"/>
  <c r="D85" i="32"/>
  <c r="C85" i="32"/>
  <c r="L84" i="32"/>
  <c r="K84" i="32"/>
  <c r="J84" i="32"/>
  <c r="I84" i="32"/>
  <c r="H84" i="32"/>
  <c r="G84" i="32"/>
  <c r="F84" i="32"/>
  <c r="E84" i="32"/>
  <c r="D84" i="32"/>
  <c r="C84" i="32"/>
  <c r="L83" i="32"/>
  <c r="K83" i="32"/>
  <c r="J83" i="32"/>
  <c r="I83" i="32"/>
  <c r="H83" i="32"/>
  <c r="G83" i="32"/>
  <c r="F83" i="32"/>
  <c r="E83" i="32"/>
  <c r="D83" i="32"/>
  <c r="C83" i="32"/>
  <c r="L82" i="32"/>
  <c r="K82" i="32"/>
  <c r="J82" i="32"/>
  <c r="I82" i="32"/>
  <c r="H82" i="32"/>
  <c r="G82" i="32"/>
  <c r="F82" i="32"/>
  <c r="E82" i="32"/>
  <c r="D82" i="32"/>
  <c r="C82" i="32"/>
  <c r="L81" i="32"/>
  <c r="K81" i="32"/>
  <c r="J81" i="32"/>
  <c r="I81" i="32"/>
  <c r="H81" i="32"/>
  <c r="G81" i="32"/>
  <c r="F81" i="32"/>
  <c r="E81" i="32"/>
  <c r="D81" i="32"/>
  <c r="C81" i="32"/>
  <c r="L80" i="32"/>
  <c r="K80" i="32"/>
  <c r="J80" i="32"/>
  <c r="I80" i="32"/>
  <c r="H80" i="32"/>
  <c r="G80" i="32"/>
  <c r="F80" i="32"/>
  <c r="E80" i="32"/>
  <c r="D80" i="32"/>
  <c r="C80" i="32"/>
  <c r="L79" i="32"/>
  <c r="K79" i="32"/>
  <c r="J79" i="32"/>
  <c r="I79" i="32"/>
  <c r="H79" i="32"/>
  <c r="G79" i="32"/>
  <c r="F79" i="32"/>
  <c r="E79" i="32"/>
  <c r="D79" i="32"/>
  <c r="C79" i="32"/>
  <c r="L78" i="32"/>
  <c r="K78" i="32"/>
  <c r="J78" i="32"/>
  <c r="I78" i="32"/>
  <c r="H78" i="32"/>
  <c r="G78" i="32"/>
  <c r="F78" i="32"/>
  <c r="E78" i="32"/>
  <c r="D78" i="32"/>
  <c r="C78" i="32"/>
  <c r="L77" i="32"/>
  <c r="K77" i="32"/>
  <c r="J77" i="32"/>
  <c r="I77" i="32"/>
  <c r="H77" i="32"/>
  <c r="G77" i="32"/>
  <c r="F77" i="32"/>
  <c r="E77" i="32"/>
  <c r="D77" i="32"/>
  <c r="C77" i="32"/>
  <c r="L76" i="32"/>
  <c r="K76" i="32"/>
  <c r="J76" i="32"/>
  <c r="I76" i="32"/>
  <c r="H76" i="32"/>
  <c r="G76" i="32"/>
  <c r="F76" i="32"/>
  <c r="E76" i="32"/>
  <c r="D76" i="32"/>
  <c r="C76" i="32"/>
  <c r="L75" i="32"/>
  <c r="K75" i="32"/>
  <c r="J75" i="32"/>
  <c r="I75" i="32"/>
  <c r="H75" i="32"/>
  <c r="G75" i="32"/>
  <c r="F75" i="32"/>
  <c r="E75" i="32"/>
  <c r="D75" i="32"/>
  <c r="C75" i="32"/>
  <c r="L74" i="32"/>
  <c r="K74" i="32"/>
  <c r="J74" i="32"/>
  <c r="I74" i="32"/>
  <c r="H74" i="32"/>
  <c r="G74" i="32"/>
  <c r="F74" i="32"/>
  <c r="E74" i="32"/>
  <c r="D74" i="32"/>
  <c r="C74" i="32"/>
  <c r="L73" i="32"/>
  <c r="K73" i="32"/>
  <c r="J73" i="32"/>
  <c r="I73" i="32"/>
  <c r="H73" i="32"/>
  <c r="G73" i="32"/>
  <c r="F73" i="32"/>
  <c r="E73" i="32"/>
  <c r="D73" i="32"/>
  <c r="C73" i="32"/>
  <c r="L72" i="32"/>
  <c r="K72" i="32"/>
  <c r="J72" i="32"/>
  <c r="I72" i="32"/>
  <c r="H72" i="32"/>
  <c r="G72" i="32"/>
  <c r="F72" i="32"/>
  <c r="E72" i="32"/>
  <c r="D72" i="32"/>
  <c r="C72" i="32"/>
  <c r="L71" i="32"/>
  <c r="K71" i="32"/>
  <c r="J71" i="32"/>
  <c r="I71" i="32"/>
  <c r="H71" i="32"/>
  <c r="G71" i="32"/>
  <c r="F71" i="32"/>
  <c r="E71" i="32"/>
  <c r="D71" i="32"/>
  <c r="C71" i="32"/>
  <c r="L70" i="32"/>
  <c r="K70" i="32"/>
  <c r="J70" i="32"/>
  <c r="I70" i="32"/>
  <c r="H70" i="32"/>
  <c r="G70" i="32"/>
  <c r="F70" i="32"/>
  <c r="E70" i="32"/>
  <c r="D70" i="32"/>
  <c r="C70" i="32"/>
  <c r="L69" i="32"/>
  <c r="K69" i="32"/>
  <c r="J69" i="32"/>
  <c r="I69" i="32"/>
  <c r="H69" i="32"/>
  <c r="G69" i="32"/>
  <c r="F69" i="32"/>
  <c r="E69" i="32"/>
  <c r="D69" i="32"/>
  <c r="C69" i="32"/>
  <c r="L68" i="32"/>
  <c r="K68" i="32"/>
  <c r="J68" i="32"/>
  <c r="I68" i="32"/>
  <c r="H68" i="32"/>
  <c r="G68" i="32"/>
  <c r="F68" i="32"/>
  <c r="E68" i="32"/>
  <c r="D68" i="32"/>
  <c r="C68" i="32"/>
  <c r="L67" i="32"/>
  <c r="K67" i="32"/>
  <c r="J67" i="32"/>
  <c r="I67" i="32"/>
  <c r="H67" i="32"/>
  <c r="G67" i="32"/>
  <c r="F67" i="32"/>
  <c r="E67" i="32"/>
  <c r="D67" i="32"/>
  <c r="C67" i="32"/>
  <c r="L66" i="32"/>
  <c r="K66" i="32"/>
  <c r="J66" i="32"/>
  <c r="I66" i="32"/>
  <c r="H66" i="32"/>
  <c r="G66" i="32"/>
  <c r="F66" i="32"/>
  <c r="E66" i="32"/>
  <c r="D66" i="32"/>
  <c r="C66" i="32"/>
  <c r="L65" i="32"/>
  <c r="K65" i="32"/>
  <c r="J65" i="32"/>
  <c r="I65" i="32"/>
  <c r="H65" i="32"/>
  <c r="G65" i="32"/>
  <c r="F65" i="32"/>
  <c r="E65" i="32"/>
  <c r="D65" i="32"/>
  <c r="C65" i="32"/>
  <c r="L64" i="32"/>
  <c r="K64" i="32"/>
  <c r="J64" i="32"/>
  <c r="I64" i="32"/>
  <c r="H64" i="32"/>
  <c r="G64" i="32"/>
  <c r="F64" i="32"/>
  <c r="E64" i="32"/>
  <c r="D64" i="32"/>
  <c r="C64" i="32"/>
  <c r="L63" i="32"/>
  <c r="K63" i="32"/>
  <c r="J63" i="32"/>
  <c r="I63" i="32"/>
  <c r="H63" i="32"/>
  <c r="G63" i="32"/>
  <c r="F63" i="32"/>
  <c r="E63" i="32"/>
  <c r="D63" i="32"/>
  <c r="C63" i="32"/>
  <c r="L62" i="32"/>
  <c r="K62" i="32"/>
  <c r="J62" i="32"/>
  <c r="I62" i="32"/>
  <c r="H62" i="32"/>
  <c r="G62" i="32"/>
  <c r="F62" i="32"/>
  <c r="E62" i="32"/>
  <c r="D62" i="32"/>
  <c r="C62" i="32"/>
  <c r="L61" i="32"/>
  <c r="K61" i="32"/>
  <c r="J61" i="32"/>
  <c r="I61" i="32"/>
  <c r="H61" i="32"/>
  <c r="G61" i="32"/>
  <c r="F61" i="32"/>
  <c r="E61" i="32"/>
  <c r="D61" i="32"/>
  <c r="C61" i="32"/>
  <c r="L60" i="32"/>
  <c r="K60" i="32"/>
  <c r="J60" i="32"/>
  <c r="I60" i="32"/>
  <c r="H60" i="32"/>
  <c r="G60" i="32"/>
  <c r="F60" i="32"/>
  <c r="E60" i="32"/>
  <c r="D60" i="32"/>
  <c r="C60" i="32"/>
  <c r="L59" i="32"/>
  <c r="K59" i="32"/>
  <c r="J59" i="32"/>
  <c r="I59" i="32"/>
  <c r="H59" i="32"/>
  <c r="G59" i="32"/>
  <c r="F59" i="32"/>
  <c r="E59" i="32"/>
  <c r="D59" i="32"/>
  <c r="C59" i="32"/>
  <c r="L58" i="32"/>
  <c r="K58" i="32"/>
  <c r="J58" i="32"/>
  <c r="I58" i="32"/>
  <c r="H58" i="32"/>
  <c r="G58" i="32"/>
  <c r="F58" i="32"/>
  <c r="E58" i="32"/>
  <c r="D58" i="32"/>
  <c r="C58" i="32"/>
  <c r="L57" i="32"/>
  <c r="K57" i="32"/>
  <c r="J57" i="32"/>
  <c r="I57" i="32"/>
  <c r="H57" i="32"/>
  <c r="G57" i="32"/>
  <c r="F57" i="32"/>
  <c r="E57" i="32"/>
  <c r="D57" i="32"/>
  <c r="C57" i="32"/>
  <c r="L56" i="32"/>
  <c r="K56" i="32"/>
  <c r="J56" i="32"/>
  <c r="I56" i="32"/>
  <c r="H56" i="32"/>
  <c r="G56" i="32"/>
  <c r="F56" i="32"/>
  <c r="E56" i="32"/>
  <c r="D56" i="32"/>
  <c r="C56" i="32"/>
  <c r="L55" i="32"/>
  <c r="K55" i="32"/>
  <c r="J55" i="32"/>
  <c r="I55" i="32"/>
  <c r="H55" i="32"/>
  <c r="G55" i="32"/>
  <c r="F55" i="32"/>
  <c r="E55" i="32"/>
  <c r="D55" i="32"/>
  <c r="C55" i="32"/>
  <c r="L54" i="32"/>
  <c r="K54" i="32"/>
  <c r="J54" i="32"/>
  <c r="I54" i="32"/>
  <c r="H54" i="32"/>
  <c r="G54" i="32"/>
  <c r="F54" i="32"/>
  <c r="E54" i="32"/>
  <c r="D54" i="32"/>
  <c r="C54" i="32"/>
  <c r="L53" i="32"/>
  <c r="K53" i="32"/>
  <c r="J53" i="32"/>
  <c r="I53" i="32"/>
  <c r="H53" i="32"/>
  <c r="G53" i="32"/>
  <c r="F53" i="32"/>
  <c r="E53" i="32"/>
  <c r="D53" i="32"/>
  <c r="C53" i="32"/>
  <c r="L52" i="32"/>
  <c r="K52" i="32"/>
  <c r="J52" i="32"/>
  <c r="I52" i="32"/>
  <c r="H52" i="32"/>
  <c r="G52" i="32"/>
  <c r="F52" i="32"/>
  <c r="E52" i="32"/>
  <c r="D52" i="32"/>
  <c r="C52" i="32"/>
  <c r="L51" i="32"/>
  <c r="K51" i="32"/>
  <c r="J51" i="32"/>
  <c r="I51" i="32"/>
  <c r="H51" i="32"/>
  <c r="G51" i="32"/>
  <c r="F51" i="32"/>
  <c r="E51" i="32"/>
  <c r="D51" i="32"/>
  <c r="C51" i="32"/>
  <c r="L50" i="32"/>
  <c r="K50" i="32"/>
  <c r="J50" i="32"/>
  <c r="I50" i="32"/>
  <c r="H50" i="32"/>
  <c r="G50" i="32"/>
  <c r="F50" i="32"/>
  <c r="E50" i="32"/>
  <c r="D50" i="32"/>
  <c r="C50" i="32"/>
  <c r="L49" i="32"/>
  <c r="K49" i="32"/>
  <c r="J49" i="32"/>
  <c r="I49" i="32"/>
  <c r="H49" i="32"/>
  <c r="G49" i="32"/>
  <c r="F49" i="32"/>
  <c r="E49" i="32"/>
  <c r="D49" i="32"/>
  <c r="C49" i="32"/>
  <c r="L48" i="32"/>
  <c r="K48" i="32"/>
  <c r="J48" i="32"/>
  <c r="I48" i="32"/>
  <c r="H48" i="32"/>
  <c r="G48" i="32"/>
  <c r="F48" i="32"/>
  <c r="E48" i="32"/>
  <c r="D48" i="32"/>
  <c r="C48" i="32"/>
  <c r="L47" i="32"/>
  <c r="K47" i="32"/>
  <c r="J47" i="32"/>
  <c r="I47" i="32"/>
  <c r="H47" i="32"/>
  <c r="G47" i="32"/>
  <c r="F47" i="32"/>
  <c r="E47" i="32"/>
  <c r="D47" i="32"/>
  <c r="C47" i="32"/>
  <c r="L46" i="32"/>
  <c r="K46" i="32"/>
  <c r="J46" i="32"/>
  <c r="I46" i="32"/>
  <c r="H46" i="32"/>
  <c r="G46" i="32"/>
  <c r="F46" i="32"/>
  <c r="E46" i="32"/>
  <c r="D46" i="32"/>
  <c r="C46" i="32"/>
  <c r="L45" i="32"/>
  <c r="K45" i="32"/>
  <c r="J45" i="32"/>
  <c r="I45" i="32"/>
  <c r="H45" i="32"/>
  <c r="G45" i="32"/>
  <c r="F45" i="32"/>
  <c r="E45" i="32"/>
  <c r="D45" i="32"/>
  <c r="C45" i="32"/>
  <c r="L44" i="32"/>
  <c r="K44" i="32"/>
  <c r="J44" i="32"/>
  <c r="I44" i="32"/>
  <c r="H44" i="32"/>
  <c r="G44" i="32"/>
  <c r="F44" i="32"/>
  <c r="E44" i="32"/>
  <c r="D44" i="32"/>
  <c r="C44" i="32"/>
  <c r="L43" i="32"/>
  <c r="K43" i="32"/>
  <c r="J43" i="32"/>
  <c r="I43" i="32"/>
  <c r="H43" i="32"/>
  <c r="G43" i="32"/>
  <c r="F43" i="32"/>
  <c r="E43" i="32"/>
  <c r="D43" i="32"/>
  <c r="C43" i="32"/>
  <c r="L42" i="32"/>
  <c r="K42" i="32"/>
  <c r="J42" i="32"/>
  <c r="I42" i="32"/>
  <c r="H42" i="32"/>
  <c r="G42" i="32"/>
  <c r="F42" i="32"/>
  <c r="E42" i="32"/>
  <c r="D42" i="32"/>
  <c r="C42" i="32"/>
  <c r="L41" i="32"/>
  <c r="K41" i="32"/>
  <c r="J41" i="32"/>
  <c r="I41" i="32"/>
  <c r="H41" i="32"/>
  <c r="G41" i="32"/>
  <c r="F41" i="32"/>
  <c r="E41" i="32"/>
  <c r="D41" i="32"/>
  <c r="C41" i="32"/>
  <c r="L40" i="32"/>
  <c r="K40" i="32"/>
  <c r="J40" i="32"/>
  <c r="I40" i="32"/>
  <c r="H40" i="32"/>
  <c r="G40" i="32"/>
  <c r="F40" i="32"/>
  <c r="E40" i="32"/>
  <c r="D40" i="32"/>
  <c r="C40" i="32"/>
  <c r="L39" i="32"/>
  <c r="K39" i="32"/>
  <c r="J39" i="32"/>
  <c r="I39" i="32"/>
  <c r="H39" i="32"/>
  <c r="G39" i="32"/>
  <c r="F39" i="32"/>
  <c r="E39" i="32"/>
  <c r="D39" i="32"/>
  <c r="C39" i="32"/>
  <c r="L38" i="32"/>
  <c r="K38" i="32"/>
  <c r="J38" i="32"/>
  <c r="I38" i="32"/>
  <c r="H38" i="32"/>
  <c r="G38" i="32"/>
  <c r="F38" i="32"/>
  <c r="E38" i="32"/>
  <c r="D38" i="32"/>
  <c r="C38" i="32"/>
  <c r="L37" i="32"/>
  <c r="K37" i="32"/>
  <c r="J37" i="32"/>
  <c r="I37" i="32"/>
  <c r="H37" i="32"/>
  <c r="G37" i="32"/>
  <c r="F37" i="32"/>
  <c r="E37" i="32"/>
  <c r="D37" i="32"/>
  <c r="C37" i="32"/>
  <c r="L36" i="32"/>
  <c r="K36" i="32"/>
  <c r="J36" i="32"/>
  <c r="I36" i="32"/>
  <c r="H36" i="32"/>
  <c r="G36" i="32"/>
  <c r="F36" i="32"/>
  <c r="E36" i="32"/>
  <c r="D36" i="32"/>
  <c r="C36" i="32"/>
  <c r="L35" i="32"/>
  <c r="K35" i="32"/>
  <c r="J35" i="32"/>
  <c r="I35" i="32"/>
  <c r="H35" i="32"/>
  <c r="G35" i="32"/>
  <c r="F35" i="32"/>
  <c r="E35" i="32"/>
  <c r="D35" i="32"/>
  <c r="C35" i="32"/>
  <c r="L34" i="32"/>
  <c r="K34" i="32"/>
  <c r="J34" i="32"/>
  <c r="I34" i="32"/>
  <c r="H34" i="32"/>
  <c r="G34" i="32"/>
  <c r="F34" i="32"/>
  <c r="E34" i="32"/>
  <c r="D34" i="32"/>
  <c r="C34" i="32"/>
  <c r="L33" i="32"/>
  <c r="K33" i="32"/>
  <c r="J33" i="32"/>
  <c r="I33" i="32"/>
  <c r="H33" i="32"/>
  <c r="G33" i="32"/>
  <c r="F33" i="32"/>
  <c r="E33" i="32"/>
  <c r="D33" i="32"/>
  <c r="C33" i="32"/>
  <c r="L32" i="32"/>
  <c r="K32" i="32"/>
  <c r="J32" i="32"/>
  <c r="I32" i="32"/>
  <c r="H32" i="32"/>
  <c r="G32" i="32"/>
  <c r="F32" i="32"/>
  <c r="E32" i="32"/>
  <c r="D32" i="32"/>
  <c r="C32" i="32"/>
  <c r="L31" i="32"/>
  <c r="K31" i="32"/>
  <c r="J31" i="32"/>
  <c r="I31" i="32"/>
  <c r="H31" i="32"/>
  <c r="G31" i="32"/>
  <c r="F31" i="32"/>
  <c r="E31" i="32"/>
  <c r="D31" i="32"/>
  <c r="C31" i="32"/>
  <c r="L30" i="32"/>
  <c r="K30" i="32"/>
  <c r="J30" i="32"/>
  <c r="I30" i="32"/>
  <c r="H30" i="32"/>
  <c r="G30" i="32"/>
  <c r="F30" i="32"/>
  <c r="E30" i="32"/>
  <c r="D30" i="32"/>
  <c r="C30" i="32"/>
  <c r="L29" i="32"/>
  <c r="K29" i="32"/>
  <c r="J29" i="32"/>
  <c r="I29" i="32"/>
  <c r="H29" i="32"/>
  <c r="G29" i="32"/>
  <c r="F29" i="32"/>
  <c r="E29" i="32"/>
  <c r="D29" i="32"/>
  <c r="C29" i="32"/>
  <c r="L27" i="32"/>
  <c r="K27" i="32"/>
  <c r="J27" i="32"/>
  <c r="I27" i="32"/>
  <c r="H27" i="32"/>
  <c r="G27" i="32"/>
  <c r="F27" i="32"/>
  <c r="E27" i="32"/>
  <c r="D27" i="32"/>
  <c r="L26" i="32"/>
  <c r="K26" i="32"/>
  <c r="J26" i="32"/>
  <c r="I26" i="32"/>
  <c r="H26" i="32"/>
  <c r="G26" i="32"/>
  <c r="F26" i="32"/>
  <c r="E26" i="32"/>
  <c r="D26" i="32"/>
  <c r="L25" i="32"/>
  <c r="K25" i="32"/>
  <c r="J25" i="32"/>
  <c r="I25" i="32"/>
  <c r="H25" i="32"/>
  <c r="G25" i="32"/>
  <c r="F25" i="32"/>
  <c r="E25" i="32"/>
  <c r="D25" i="32"/>
  <c r="GL23" i="32"/>
  <c r="GK23" i="32"/>
  <c r="GJ23" i="32"/>
  <c r="GI23" i="32"/>
  <c r="GH23" i="32"/>
  <c r="GG23" i="32"/>
  <c r="GF23" i="32"/>
  <c r="GE23" i="32"/>
  <c r="GD23" i="32"/>
  <c r="GC23" i="32"/>
  <c r="GB23" i="32"/>
  <c r="GA23" i="32"/>
  <c r="FZ23" i="32"/>
  <c r="FY23" i="32"/>
  <c r="FX23" i="32"/>
  <c r="FW23" i="32"/>
  <c r="FV23" i="32"/>
  <c r="FU23" i="32"/>
  <c r="FT23" i="32"/>
  <c r="FS23" i="32"/>
  <c r="FR23" i="32"/>
  <c r="FQ23" i="32"/>
  <c r="FP23" i="32"/>
  <c r="FO23" i="32"/>
  <c r="FN23" i="32"/>
  <c r="FM23" i="32"/>
  <c r="FL23" i="32"/>
  <c r="FK23" i="32"/>
  <c r="FJ23" i="32"/>
  <c r="FI23" i="32"/>
  <c r="FH23" i="32"/>
  <c r="FG23" i="32"/>
  <c r="FF23" i="32"/>
  <c r="FE23" i="32"/>
  <c r="FD23" i="32"/>
  <c r="FC23" i="32"/>
  <c r="FB23" i="32"/>
  <c r="FA23" i="32"/>
  <c r="EZ23" i="32"/>
  <c r="EY23" i="32"/>
  <c r="EX23" i="32"/>
  <c r="EW23" i="32"/>
  <c r="EV23" i="32"/>
  <c r="EU23" i="32"/>
  <c r="ET23" i="32"/>
  <c r="ES23" i="32"/>
  <c r="ER23" i="32"/>
  <c r="EQ23" i="32"/>
  <c r="EP23" i="32"/>
  <c r="EO23" i="32"/>
  <c r="EN23" i="32"/>
  <c r="EM23" i="32"/>
  <c r="EL23" i="32"/>
  <c r="EK23" i="32"/>
  <c r="EJ23" i="32"/>
  <c r="EI23" i="32"/>
  <c r="EH23" i="32"/>
  <c r="EG23" i="32"/>
  <c r="EF23" i="32"/>
  <c r="EE23" i="32"/>
  <c r="ED23" i="32"/>
  <c r="EC23" i="32"/>
  <c r="EB23" i="32"/>
  <c r="EA23" i="32"/>
  <c r="DZ23" i="32"/>
  <c r="DY23" i="32"/>
  <c r="DX23" i="32"/>
  <c r="DW23" i="32"/>
  <c r="DV23" i="32"/>
  <c r="DU23" i="32"/>
  <c r="DT23" i="32"/>
  <c r="DS23" i="32"/>
  <c r="DR23" i="32"/>
  <c r="DQ23" i="32"/>
  <c r="DP23" i="32"/>
  <c r="DO23" i="32"/>
  <c r="DN23" i="32"/>
  <c r="DM23" i="32"/>
  <c r="DL23" i="32"/>
  <c r="DK23" i="32"/>
  <c r="DJ23" i="32"/>
  <c r="DI23" i="32"/>
  <c r="DH23" i="32"/>
  <c r="DG23" i="32"/>
  <c r="DF23" i="32"/>
  <c r="DE23" i="32"/>
  <c r="DD23" i="32"/>
  <c r="DC23" i="32"/>
  <c r="DB23" i="32"/>
  <c r="DA23" i="32"/>
  <c r="CZ23" i="32"/>
  <c r="CY23" i="32"/>
  <c r="CX23" i="32"/>
  <c r="CW23" i="32"/>
  <c r="CV23" i="32"/>
  <c r="CU23" i="32"/>
  <c r="CT23" i="32"/>
  <c r="CS23" i="32"/>
  <c r="CR23" i="32"/>
  <c r="CQ23" i="32"/>
  <c r="CP23" i="32"/>
  <c r="CO23" i="32"/>
  <c r="CN23" i="32"/>
  <c r="CM23" i="32"/>
  <c r="CL23" i="32"/>
  <c r="CK23" i="32"/>
  <c r="CJ23" i="32"/>
  <c r="CI23" i="32"/>
  <c r="CH23" i="32"/>
  <c r="CG23" i="32"/>
  <c r="CF23" i="32"/>
  <c r="CE23" i="32"/>
  <c r="CD23" i="32"/>
  <c r="CC23" i="32"/>
  <c r="CB23" i="32"/>
  <c r="CA23" i="32"/>
  <c r="BZ23" i="32"/>
  <c r="BY23" i="32"/>
  <c r="BX23" i="32"/>
  <c r="BW23" i="32"/>
  <c r="BV23" i="32"/>
  <c r="BU23" i="32"/>
  <c r="BT23" i="32"/>
  <c r="BS23" i="32"/>
  <c r="BR23" i="32"/>
  <c r="BQ23" i="32"/>
  <c r="BP23" i="32"/>
  <c r="BO23" i="32"/>
  <c r="BN23" i="32"/>
  <c r="BM23" i="32"/>
  <c r="BL23" i="32"/>
  <c r="BK23" i="32"/>
  <c r="BJ23" i="32"/>
  <c r="BI23" i="32"/>
  <c r="BH23" i="32"/>
  <c r="BG23" i="32"/>
  <c r="BF23" i="32"/>
  <c r="BE23" i="32"/>
  <c r="BD23" i="32"/>
  <c r="BC23" i="32"/>
  <c r="BB23" i="32"/>
  <c r="BA23" i="32"/>
  <c r="AZ23" i="32"/>
  <c r="AY23" i="32"/>
  <c r="AX23" i="32"/>
  <c r="AW23" i="32"/>
  <c r="AV23" i="32"/>
  <c r="AU23" i="32"/>
  <c r="AT23" i="32"/>
  <c r="AS23" i="32"/>
  <c r="AR23" i="32"/>
  <c r="AQ23" i="32"/>
  <c r="AP23" i="32"/>
  <c r="AO23" i="32"/>
  <c r="AN23" i="32"/>
  <c r="AM23" i="32"/>
  <c r="AL23" i="32"/>
  <c r="AK23" i="32"/>
  <c r="AJ23" i="32"/>
  <c r="AI23" i="32"/>
  <c r="AH23" i="32"/>
  <c r="AG23" i="32"/>
  <c r="AF23" i="32"/>
  <c r="AE23" i="32"/>
  <c r="AD23" i="32"/>
  <c r="AC23" i="32"/>
  <c r="AB23" i="32"/>
  <c r="AA23" i="32"/>
  <c r="Z23" i="32"/>
  <c r="Y23" i="32"/>
  <c r="X23" i="32"/>
  <c r="W23" i="32"/>
  <c r="V23" i="32"/>
  <c r="U23" i="32"/>
  <c r="T23" i="32"/>
  <c r="S23" i="32"/>
  <c r="R23" i="32"/>
  <c r="Q23" i="32"/>
  <c r="P23" i="32"/>
  <c r="O23" i="32"/>
  <c r="N23" i="32"/>
  <c r="M23" i="32"/>
  <c r="L23" i="32"/>
  <c r="K23" i="32"/>
  <c r="J23" i="32"/>
  <c r="I23" i="32"/>
  <c r="H23" i="32"/>
  <c r="G23" i="32"/>
  <c r="F23" i="32"/>
  <c r="E23" i="32"/>
  <c r="D23" i="32"/>
  <c r="C23" i="32"/>
  <c r="C15" i="32"/>
  <c r="B15" i="32"/>
  <c r="P14" i="32"/>
  <c r="O14" i="32"/>
  <c r="N14" i="32"/>
  <c r="B14" i="32"/>
  <c r="P13" i="32"/>
  <c r="O13" i="32"/>
  <c r="N13" i="32"/>
  <c r="P12" i="32"/>
  <c r="O12" i="32"/>
  <c r="N12" i="32"/>
  <c r="P11" i="32"/>
  <c r="O11" i="32"/>
  <c r="N11" i="32"/>
  <c r="P10" i="32"/>
  <c r="O10" i="32"/>
  <c r="N10" i="32"/>
  <c r="P9" i="32"/>
  <c r="O9" i="32"/>
  <c r="N9" i="32"/>
  <c r="P8" i="32"/>
  <c r="O8" i="32"/>
  <c r="N8" i="32"/>
  <c r="P7" i="32"/>
  <c r="O7" i="32"/>
  <c r="N7" i="32"/>
  <c r="P6" i="32"/>
  <c r="O6" i="32"/>
  <c r="N6" i="32"/>
  <c r="P16" i="32" l="1"/>
  <c r="C14" i="32"/>
  <c r="D14" i="32" s="1"/>
  <c r="D15" i="32"/>
  <c r="D16" i="32" s="1"/>
  <c r="O16" i="21"/>
  <c r="P16" i="21" s="1"/>
  <c r="E14" i="32"/>
  <c r="F14" i="32" s="1"/>
  <c r="Q10" i="21"/>
  <c r="S10" i="21" s="1"/>
  <c r="Q9" i="21"/>
  <c r="S9" i="21" s="1"/>
  <c r="E65" i="50"/>
  <c r="K42" i="46"/>
  <c r="K41" i="46"/>
  <c r="E15" i="32"/>
  <c r="Q15" i="21"/>
  <c r="S15" i="21" s="1"/>
  <c r="Q16" i="21"/>
  <c r="S16" i="21" s="1"/>
  <c r="K49" i="46"/>
  <c r="K48" i="46"/>
  <c r="K64" i="46"/>
  <c r="K63" i="46"/>
  <c r="K56" i="46"/>
  <c r="K55" i="46"/>
  <c r="S18" i="21" l="1"/>
  <c r="C19" i="42" s="1"/>
  <c r="C16" i="32"/>
  <c r="G12" i="50"/>
  <c r="G14" i="50" s="1"/>
  <c r="F15" i="32"/>
  <c r="F16" i="32" s="1"/>
  <c r="S12" i="21"/>
  <c r="C18" i="42" s="1"/>
  <c r="E16" i="32"/>
  <c r="F41" i="50" l="1"/>
  <c r="F25" i="50"/>
  <c r="F27" i="50" s="1"/>
  <c r="F28" i="50" s="1"/>
  <c r="F29" i="50" s="1"/>
  <c r="F30" i="50" s="1"/>
  <c r="F32" i="50" s="1"/>
  <c r="F42" i="50" s="1"/>
  <c r="D7" i="56" l="1"/>
  <c r="D8" i="42"/>
  <c r="C5" i="47"/>
  <c r="D7" i="46"/>
  <c r="J42" i="50"/>
  <c r="H42" i="50"/>
  <c r="L64" i="50"/>
  <c r="L63" i="50"/>
  <c r="K42" i="50"/>
  <c r="I42" i="50"/>
  <c r="G42" i="50"/>
  <c r="K41" i="50"/>
  <c r="G26" i="50" s="1"/>
  <c r="G27" i="50" s="1"/>
  <c r="G28" i="50" s="1"/>
  <c r="G29" i="50" s="1"/>
  <c r="G30" i="50" s="1"/>
  <c r="G32" i="50" s="1"/>
  <c r="I41" i="50"/>
  <c r="G41" i="50"/>
  <c r="J41" i="50"/>
  <c r="H41" i="50"/>
  <c r="E7" i="56" l="1"/>
  <c r="E27" i="56" s="1"/>
  <c r="E7" i="46"/>
  <c r="E8" i="42"/>
  <c r="D5" i="47"/>
  <c r="M64" i="50"/>
  <c r="M63" i="50"/>
  <c r="I7" i="56"/>
  <c r="I27" i="56" s="1"/>
  <c r="I7" i="46"/>
  <c r="H5" i="47"/>
  <c r="I8" i="42"/>
  <c r="Q64" i="50"/>
  <c r="Q63" i="50"/>
  <c r="D30" i="56"/>
  <c r="L30" i="56" s="1"/>
  <c r="D29" i="56"/>
  <c r="L29" i="56" s="1"/>
  <c r="D14" i="42"/>
  <c r="H7" i="56"/>
  <c r="H27" i="56" s="1"/>
  <c r="H8" i="42"/>
  <c r="H7" i="46"/>
  <c r="G5" i="47"/>
  <c r="P64" i="50"/>
  <c r="P63" i="50"/>
  <c r="D11" i="47"/>
  <c r="D10" i="47"/>
  <c r="C10" i="47"/>
  <c r="C11" i="47"/>
  <c r="G7" i="56"/>
  <c r="G27" i="56" s="1"/>
  <c r="G7" i="46"/>
  <c r="F5" i="47"/>
  <c r="G8" i="42"/>
  <c r="O64" i="50"/>
  <c r="O63" i="50"/>
  <c r="D28" i="56"/>
  <c r="L28" i="56" s="1"/>
  <c r="D27" i="56"/>
  <c r="D13" i="42"/>
  <c r="L65" i="50"/>
  <c r="F7" i="56"/>
  <c r="F27" i="56" s="1"/>
  <c r="F8" i="42"/>
  <c r="F7" i="46"/>
  <c r="E5" i="47"/>
  <c r="N64" i="50"/>
  <c r="N63" i="50"/>
  <c r="D12" i="47" l="1"/>
  <c r="F28" i="56"/>
  <c r="N28" i="56" s="1"/>
  <c r="F13" i="42"/>
  <c r="N65" i="50"/>
  <c r="E10" i="47"/>
  <c r="E11" i="47"/>
  <c r="L27" i="56"/>
  <c r="L31" i="56" s="1"/>
  <c r="L10" i="56" s="1"/>
  <c r="L11" i="56" s="1"/>
  <c r="C26" i="47" s="1"/>
  <c r="D31" i="56"/>
  <c r="D10" i="56" s="1"/>
  <c r="G28" i="56"/>
  <c r="O28" i="56" s="1"/>
  <c r="G13" i="42"/>
  <c r="O65" i="50"/>
  <c r="H28" i="56"/>
  <c r="P28" i="56" s="1"/>
  <c r="H13" i="42"/>
  <c r="P65" i="50"/>
  <c r="G11" i="47"/>
  <c r="G10" i="47"/>
  <c r="D20" i="56"/>
  <c r="D19" i="56"/>
  <c r="D24" i="46"/>
  <c r="D34" i="46" s="1"/>
  <c r="D23" i="46"/>
  <c r="D33" i="46" s="1"/>
  <c r="D19" i="42"/>
  <c r="I30" i="56"/>
  <c r="Q30" i="56" s="1"/>
  <c r="I29" i="56"/>
  <c r="Q29" i="56" s="1"/>
  <c r="I14" i="42"/>
  <c r="H11" i="47"/>
  <c r="H10" i="47"/>
  <c r="Q27" i="56"/>
  <c r="E30" i="56"/>
  <c r="M30" i="56" s="1"/>
  <c r="E29" i="56"/>
  <c r="M29" i="56" s="1"/>
  <c r="E14" i="42"/>
  <c r="M27" i="56"/>
  <c r="F30" i="56"/>
  <c r="N30" i="56" s="1"/>
  <c r="F29" i="56"/>
  <c r="N29" i="56" s="1"/>
  <c r="F14" i="42"/>
  <c r="N27" i="56"/>
  <c r="D18" i="56"/>
  <c r="D17" i="56"/>
  <c r="D22" i="46"/>
  <c r="D32" i="46" s="1"/>
  <c r="D21" i="46"/>
  <c r="D15" i="42"/>
  <c r="C7" i="47"/>
  <c r="D18" i="42"/>
  <c r="G30" i="56"/>
  <c r="O30" i="56" s="1"/>
  <c r="G29" i="56"/>
  <c r="O29" i="56" s="1"/>
  <c r="G14" i="42"/>
  <c r="F11" i="47"/>
  <c r="F10" i="47"/>
  <c r="O27" i="56"/>
  <c r="C12" i="47"/>
  <c r="H30" i="56"/>
  <c r="P30" i="56" s="1"/>
  <c r="H29" i="56"/>
  <c r="P29" i="56" s="1"/>
  <c r="H14" i="42"/>
  <c r="P27" i="56"/>
  <c r="I28" i="56"/>
  <c r="Q28" i="56" s="1"/>
  <c r="I13" i="42"/>
  <c r="Q65" i="50"/>
  <c r="E28" i="56"/>
  <c r="M28" i="56" s="1"/>
  <c r="E13" i="42"/>
  <c r="M65" i="50"/>
  <c r="D20" i="42" l="1"/>
  <c r="C17" i="47" s="1"/>
  <c r="C32" i="47" s="1"/>
  <c r="H12" i="47"/>
  <c r="H31" i="56"/>
  <c r="H10" i="56" s="1"/>
  <c r="G12" i="47"/>
  <c r="O31" i="56"/>
  <c r="O32" i="56" s="1"/>
  <c r="F12" i="47"/>
  <c r="D21" i="56"/>
  <c r="N31" i="56"/>
  <c r="N32" i="56" s="1"/>
  <c r="Q31" i="56"/>
  <c r="Q10" i="56" s="1"/>
  <c r="Q11" i="56" s="1"/>
  <c r="H26" i="47" s="1"/>
  <c r="I17" i="56"/>
  <c r="I22" i="46"/>
  <c r="I32" i="46" s="1"/>
  <c r="I21" i="46"/>
  <c r="I18" i="56"/>
  <c r="H7" i="47"/>
  <c r="I15" i="42"/>
  <c r="I18" i="42"/>
  <c r="H32" i="56"/>
  <c r="H20" i="56"/>
  <c r="H19" i="56"/>
  <c r="H24" i="46"/>
  <c r="H34" i="46" s="1"/>
  <c r="H23" i="46"/>
  <c r="H33" i="46" s="1"/>
  <c r="H19" i="42"/>
  <c r="G20" i="56"/>
  <c r="G24" i="46"/>
  <c r="G34" i="46" s="1"/>
  <c r="G23" i="46"/>
  <c r="G33" i="46" s="1"/>
  <c r="G19" i="56"/>
  <c r="G19" i="42"/>
  <c r="D31" i="46"/>
  <c r="D25" i="46"/>
  <c r="N10" i="56"/>
  <c r="N11" i="56" s="1"/>
  <c r="E26" i="47" s="1"/>
  <c r="F20" i="56"/>
  <c r="F19" i="56"/>
  <c r="F23" i="46"/>
  <c r="F33" i="46" s="1"/>
  <c r="F24" i="46"/>
  <c r="F34" i="46" s="1"/>
  <c r="F19" i="42"/>
  <c r="E31" i="56"/>
  <c r="Q32" i="56"/>
  <c r="I19" i="56"/>
  <c r="I24" i="46"/>
  <c r="I34" i="46" s="1"/>
  <c r="I23" i="46"/>
  <c r="I33" i="46" s="1"/>
  <c r="I20" i="56"/>
  <c r="I19" i="42"/>
  <c r="D64" i="46"/>
  <c r="L64" i="46" s="1"/>
  <c r="D56" i="46"/>
  <c r="L56" i="46" s="1"/>
  <c r="D49" i="46"/>
  <c r="L49" i="46" s="1"/>
  <c r="D42" i="46"/>
  <c r="L42" i="46" s="1"/>
  <c r="G18" i="56"/>
  <c r="G22" i="46"/>
  <c r="G32" i="46" s="1"/>
  <c r="G21" i="46"/>
  <c r="G17" i="56"/>
  <c r="F7" i="47"/>
  <c r="G15" i="42"/>
  <c r="G18" i="42"/>
  <c r="E17" i="56"/>
  <c r="E22" i="46"/>
  <c r="E32" i="46" s="1"/>
  <c r="E21" i="46"/>
  <c r="E18" i="56"/>
  <c r="D7" i="47"/>
  <c r="E15" i="42"/>
  <c r="E18" i="42"/>
  <c r="P31" i="56"/>
  <c r="G31" i="56"/>
  <c r="F31" i="56"/>
  <c r="M31" i="56"/>
  <c r="E19" i="56"/>
  <c r="E24" i="46"/>
  <c r="E34" i="46" s="1"/>
  <c r="E23" i="46"/>
  <c r="E33" i="46" s="1"/>
  <c r="E20" i="56"/>
  <c r="E19" i="42"/>
  <c r="I31" i="56"/>
  <c r="H18" i="56"/>
  <c r="H17" i="56"/>
  <c r="H22" i="46"/>
  <c r="H32" i="46" s="1"/>
  <c r="H21" i="46"/>
  <c r="H15" i="42"/>
  <c r="G7" i="47"/>
  <c r="H18" i="42"/>
  <c r="E12" i="47"/>
  <c r="F18" i="56"/>
  <c r="F17" i="56"/>
  <c r="F21" i="46"/>
  <c r="F22" i="46"/>
  <c r="F32" i="46" s="1"/>
  <c r="F15" i="42"/>
  <c r="E7" i="47"/>
  <c r="F18" i="42"/>
  <c r="O10" i="56" l="1"/>
  <c r="O11" i="56" s="1"/>
  <c r="F26" i="47" s="1"/>
  <c r="F20" i="42"/>
  <c r="F22" i="42" s="1"/>
  <c r="G20" i="42"/>
  <c r="G22" i="42" s="1"/>
  <c r="I20" i="42"/>
  <c r="I22" i="42" s="1"/>
  <c r="H20" i="42"/>
  <c r="G17" i="47" s="1"/>
  <c r="F25" i="46"/>
  <c r="F26" i="46" s="1"/>
  <c r="F31" i="46"/>
  <c r="E64" i="46"/>
  <c r="M64" i="46" s="1"/>
  <c r="E56" i="46"/>
  <c r="M56" i="46" s="1"/>
  <c r="E42" i="46"/>
  <c r="M42" i="46" s="1"/>
  <c r="E49" i="46"/>
  <c r="M49" i="46" s="1"/>
  <c r="F32" i="56"/>
  <c r="F10" i="56"/>
  <c r="P10" i="56"/>
  <c r="P11" i="56" s="1"/>
  <c r="G26" i="47" s="1"/>
  <c r="H28" i="47" s="1"/>
  <c r="P32" i="56"/>
  <c r="G31" i="46"/>
  <c r="G25" i="46"/>
  <c r="G26" i="46" s="1"/>
  <c r="H27" i="47"/>
  <c r="E32" i="56"/>
  <c r="E10" i="56"/>
  <c r="G49" i="46"/>
  <c r="O49" i="46" s="1"/>
  <c r="G64" i="46"/>
  <c r="O64" i="46" s="1"/>
  <c r="G56" i="46"/>
  <c r="O56" i="46" s="1"/>
  <c r="G42" i="46"/>
  <c r="O42" i="46" s="1"/>
  <c r="H64" i="46"/>
  <c r="P64" i="46" s="1"/>
  <c r="H56" i="46"/>
  <c r="P56" i="46" s="1"/>
  <c r="H49" i="46"/>
  <c r="P49" i="46" s="1"/>
  <c r="H42" i="46"/>
  <c r="P42" i="46" s="1"/>
  <c r="I31" i="46"/>
  <c r="I25" i="46"/>
  <c r="I26" i="46" s="1"/>
  <c r="I21" i="56"/>
  <c r="I22" i="56" s="1"/>
  <c r="F21" i="56"/>
  <c r="F22" i="56" s="1"/>
  <c r="H31" i="46"/>
  <c r="H25" i="46"/>
  <c r="H26" i="46" s="1"/>
  <c r="H21" i="56"/>
  <c r="H22" i="56" s="1"/>
  <c r="I32" i="56"/>
  <c r="I10" i="56"/>
  <c r="M32" i="56"/>
  <c r="M10" i="56"/>
  <c r="M11" i="56" s="1"/>
  <c r="D26" i="47" s="1"/>
  <c r="G32" i="56"/>
  <c r="G10" i="56"/>
  <c r="E20" i="42"/>
  <c r="E31" i="46"/>
  <c r="E25" i="46"/>
  <c r="E26" i="46" s="1"/>
  <c r="E21" i="56"/>
  <c r="E22" i="56" s="1"/>
  <c r="G21" i="56"/>
  <c r="G22" i="56" s="1"/>
  <c r="I64" i="46"/>
  <c r="Q64" i="46" s="1"/>
  <c r="I56" i="46"/>
  <c r="Q56" i="46" s="1"/>
  <c r="I42" i="46"/>
  <c r="Q42" i="46" s="1"/>
  <c r="I49" i="46"/>
  <c r="Q49" i="46" s="1"/>
  <c r="F64" i="46"/>
  <c r="N64" i="46" s="1"/>
  <c r="F56" i="46"/>
  <c r="N56" i="46" s="1"/>
  <c r="F49" i="46"/>
  <c r="N49" i="46" s="1"/>
  <c r="F42" i="46"/>
  <c r="N42" i="46" s="1"/>
  <c r="E27" i="47"/>
  <c r="D63" i="46"/>
  <c r="D55" i="46"/>
  <c r="D48" i="46"/>
  <c r="D41" i="46"/>
  <c r="D35" i="46"/>
  <c r="D10" i="46" s="1"/>
  <c r="F28" i="47"/>
  <c r="F27" i="47"/>
  <c r="E17" i="47" l="1"/>
  <c r="E32" i="47" s="1"/>
  <c r="H17" i="47"/>
  <c r="H32" i="47" s="1"/>
  <c r="H22" i="42"/>
  <c r="I23" i="42" s="1"/>
  <c r="G23" i="42"/>
  <c r="F17" i="47"/>
  <c r="F32" i="47" s="1"/>
  <c r="D50" i="46"/>
  <c r="D12" i="46" s="1"/>
  <c r="L48" i="46"/>
  <c r="L50" i="46" s="1"/>
  <c r="L12" i="46" s="1"/>
  <c r="D65" i="46"/>
  <c r="D14" i="46" s="1"/>
  <c r="L63" i="46"/>
  <c r="L65" i="46" s="1"/>
  <c r="L14" i="46" s="1"/>
  <c r="E63" i="46"/>
  <c r="E48" i="46"/>
  <c r="E55" i="46"/>
  <c r="E41" i="46"/>
  <c r="E35" i="46"/>
  <c r="D28" i="47"/>
  <c r="D27" i="47"/>
  <c r="H63" i="46"/>
  <c r="H55" i="46"/>
  <c r="H48" i="46"/>
  <c r="H41" i="46"/>
  <c r="H35" i="46"/>
  <c r="I63" i="46"/>
  <c r="I48" i="46"/>
  <c r="I55" i="46"/>
  <c r="I41" i="46"/>
  <c r="I35" i="46"/>
  <c r="G55" i="46"/>
  <c r="G41" i="46"/>
  <c r="G35" i="46"/>
  <c r="G63" i="46"/>
  <c r="G48" i="46"/>
  <c r="G27" i="47"/>
  <c r="G28" i="47"/>
  <c r="G32" i="47"/>
  <c r="G18" i="47"/>
  <c r="E18" i="47"/>
  <c r="D43" i="46"/>
  <c r="D11" i="46" s="1"/>
  <c r="L41" i="46"/>
  <c r="L43" i="46" s="1"/>
  <c r="L11" i="46" s="1"/>
  <c r="D57" i="46"/>
  <c r="D13" i="46" s="1"/>
  <c r="L55" i="46"/>
  <c r="L57" i="46" s="1"/>
  <c r="L13" i="46" s="1"/>
  <c r="E28" i="47"/>
  <c r="D17" i="47"/>
  <c r="E22" i="42"/>
  <c r="E23" i="42" s="1"/>
  <c r="F63" i="46"/>
  <c r="F55" i="46"/>
  <c r="F48" i="46"/>
  <c r="F41" i="46"/>
  <c r="F35" i="46"/>
  <c r="H18" i="47" l="1"/>
  <c r="E19" i="47"/>
  <c r="H19" i="47"/>
  <c r="G19" i="47"/>
  <c r="H23" i="42"/>
  <c r="F18" i="47"/>
  <c r="F19" i="47"/>
  <c r="F36" i="46"/>
  <c r="E40" i="47" s="1"/>
  <c r="F10" i="46"/>
  <c r="F50" i="46"/>
  <c r="N48" i="46"/>
  <c r="N50" i="46" s="1"/>
  <c r="F65" i="46"/>
  <c r="N63" i="46"/>
  <c r="N65" i="46" s="1"/>
  <c r="G34" i="47"/>
  <c r="G33" i="47"/>
  <c r="G50" i="46"/>
  <c r="O48" i="46"/>
  <c r="O50" i="46" s="1"/>
  <c r="G36" i="46"/>
  <c r="F40" i="47" s="1"/>
  <c r="G10" i="46"/>
  <c r="G57" i="46"/>
  <c r="O55" i="46"/>
  <c r="O57" i="46" s="1"/>
  <c r="I36" i="46"/>
  <c r="H40" i="47" s="1"/>
  <c r="I10" i="46"/>
  <c r="I57" i="46"/>
  <c r="Q55" i="46"/>
  <c r="Q57" i="46" s="1"/>
  <c r="I65" i="46"/>
  <c r="Q63" i="46"/>
  <c r="Q65" i="46" s="1"/>
  <c r="H43" i="46"/>
  <c r="P41" i="46"/>
  <c r="P43" i="46" s="1"/>
  <c r="H57" i="46"/>
  <c r="P55" i="46"/>
  <c r="P57" i="46" s="1"/>
  <c r="E36" i="46"/>
  <c r="D40" i="47" s="1"/>
  <c r="E10" i="46"/>
  <c r="E57" i="46"/>
  <c r="M55" i="46"/>
  <c r="M57" i="46" s="1"/>
  <c r="E65" i="46"/>
  <c r="M63" i="46"/>
  <c r="M65" i="46" s="1"/>
  <c r="F23" i="42"/>
  <c r="F43" i="46"/>
  <c r="N41" i="46"/>
  <c r="N43" i="46" s="1"/>
  <c r="F57" i="46"/>
  <c r="N55" i="46"/>
  <c r="N57" i="46" s="1"/>
  <c r="D19" i="47"/>
  <c r="D32" i="47"/>
  <c r="D18" i="47"/>
  <c r="L15" i="46"/>
  <c r="E33" i="47"/>
  <c r="F33" i="47"/>
  <c r="F34" i="47"/>
  <c r="G65" i="46"/>
  <c r="O63" i="46"/>
  <c r="O65" i="46" s="1"/>
  <c r="G43" i="46"/>
  <c r="O41" i="46"/>
  <c r="O43" i="46" s="1"/>
  <c r="H33" i="47"/>
  <c r="H34" i="47"/>
  <c r="I43" i="46"/>
  <c r="Q41" i="46"/>
  <c r="Q43" i="46" s="1"/>
  <c r="I50" i="46"/>
  <c r="Q48" i="46"/>
  <c r="Q50" i="46" s="1"/>
  <c r="H36" i="46"/>
  <c r="G40" i="47" s="1"/>
  <c r="H10" i="46"/>
  <c r="H50" i="46"/>
  <c r="P48" i="46"/>
  <c r="P50" i="46" s="1"/>
  <c r="H65" i="46"/>
  <c r="P63" i="46"/>
  <c r="P65" i="46" s="1"/>
  <c r="E43" i="46"/>
  <c r="M41" i="46"/>
  <c r="M43" i="46" s="1"/>
  <c r="E50" i="46"/>
  <c r="M48" i="46"/>
  <c r="M50" i="46" s="1"/>
  <c r="M51" i="46" l="1"/>
  <c r="M12" i="46"/>
  <c r="M44" i="46"/>
  <c r="M11" i="46"/>
  <c r="P66" i="46"/>
  <c r="P14" i="46"/>
  <c r="P12" i="46"/>
  <c r="P51" i="46"/>
  <c r="Q51" i="46"/>
  <c r="Q12" i="46"/>
  <c r="Q44" i="46"/>
  <c r="Q11" i="46"/>
  <c r="O44" i="46"/>
  <c r="O11" i="46"/>
  <c r="O66" i="46"/>
  <c r="O14" i="46"/>
  <c r="D33" i="47"/>
  <c r="D34" i="47"/>
  <c r="N58" i="46"/>
  <c r="N13" i="46"/>
  <c r="N44" i="46"/>
  <c r="N11" i="46"/>
  <c r="E66" i="46"/>
  <c r="D48" i="47" s="1"/>
  <c r="E14" i="46"/>
  <c r="E58" i="46"/>
  <c r="D45" i="47" s="1"/>
  <c r="E13" i="46"/>
  <c r="H58" i="46"/>
  <c r="G45" i="47" s="1"/>
  <c r="H13" i="46"/>
  <c r="H44" i="46"/>
  <c r="G43" i="47" s="1"/>
  <c r="H11" i="46"/>
  <c r="I66" i="46"/>
  <c r="H48" i="47" s="1"/>
  <c r="I14" i="46"/>
  <c r="I58" i="46"/>
  <c r="H45" i="47" s="1"/>
  <c r="I13" i="46"/>
  <c r="G13" i="46"/>
  <c r="G58" i="46"/>
  <c r="F45" i="47" s="1"/>
  <c r="G51" i="46"/>
  <c r="F44" i="47" s="1"/>
  <c r="G12" i="46"/>
  <c r="F66" i="46"/>
  <c r="E48" i="47" s="1"/>
  <c r="F14" i="46"/>
  <c r="F51" i="46"/>
  <c r="E44" i="47" s="1"/>
  <c r="F12" i="46"/>
  <c r="E51" i="46"/>
  <c r="D44" i="47" s="1"/>
  <c r="E12" i="46"/>
  <c r="E44" i="46"/>
  <c r="D43" i="47" s="1"/>
  <c r="E11" i="46"/>
  <c r="H66" i="46"/>
  <c r="G48" i="47" s="1"/>
  <c r="H14" i="46"/>
  <c r="H51" i="46"/>
  <c r="G44" i="47" s="1"/>
  <c r="H12" i="46"/>
  <c r="I51" i="46"/>
  <c r="H44" i="47" s="1"/>
  <c r="I12" i="46"/>
  <c r="I44" i="46"/>
  <c r="H43" i="47" s="1"/>
  <c r="I11" i="46"/>
  <c r="G44" i="46"/>
  <c r="F43" i="47" s="1"/>
  <c r="G11" i="46"/>
  <c r="G66" i="46"/>
  <c r="F48" i="47" s="1"/>
  <c r="G14" i="46"/>
  <c r="E34" i="47"/>
  <c r="F58" i="46"/>
  <c r="E45" i="47" s="1"/>
  <c r="F13" i="46"/>
  <c r="F44" i="46"/>
  <c r="E43" i="47" s="1"/>
  <c r="F11" i="46"/>
  <c r="M66" i="46"/>
  <c r="M14" i="46"/>
  <c r="M58" i="46"/>
  <c r="M13" i="46"/>
  <c r="P58" i="46"/>
  <c r="P13" i="46"/>
  <c r="P44" i="46"/>
  <c r="P11" i="46"/>
  <c r="Q66" i="46"/>
  <c r="Q14" i="46"/>
  <c r="Q58" i="46"/>
  <c r="Q13" i="46"/>
  <c r="O58" i="46"/>
  <c r="O13" i="46"/>
  <c r="O51" i="46"/>
  <c r="O12" i="46"/>
  <c r="N66" i="46"/>
  <c r="N14" i="46"/>
  <c r="N51" i="46"/>
  <c r="N12" i="46"/>
  <c r="H46" i="47" l="1"/>
  <c r="D46" i="47"/>
  <c r="P15" i="46"/>
  <c r="F46" i="47"/>
  <c r="G46" i="47"/>
  <c r="E46" i="47"/>
  <c r="N15" i="46"/>
  <c r="O15" i="46"/>
  <c r="Q15" i="46"/>
  <c r="M15"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<sst xmlns="http://schemas.openxmlformats.org/spreadsheetml/2006/main" count="2023" uniqueCount="1041">
  <si>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</si>
  <si>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</si>
  <si>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</si>
  <si>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</si>
  <si>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</si>
  <si>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</si>
  <si>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</si>
  <si>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</si>
  <si>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</si>
  <si>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</si>
  <si>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</si>
  <si>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</si>
  <si>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</si>
  <si>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</si>
  <si>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</si>
  <si>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</si>
  <si>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</si>
  <si>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</si>
  <si>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</si>
  <si>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</si>
  <si>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</si>
  <si>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</si>
  <si>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</si>
  <si>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</si>
  <si>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</si>
  <si>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</si>
  <si>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</si>
  <si>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</si>
  <si>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</si>
  <si>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</si>
  <si>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</si>
  <si>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</si>
  <si>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</si>
  <si>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</si>
  <si>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</si>
  <si>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</si>
  <si>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</si>
  <si>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</si>
  <si>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</si>
  <si>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</si>
  <si>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</si>
  <si>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</si>
  <si>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</si>
  <si>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</si>
  <si>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</si>
  <si>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</si>
  <si>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</si>
  <si>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</si>
  <si>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</si>
  <si>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</si>
  <si>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</si>
  <si>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</si>
  <si>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</si>
  <si>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</si>
  <si>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</si>
  <si>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</si>
  <si>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</si>
  <si>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</si>
  <si>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</si>
  <si>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</si>
  <si>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</si>
  <si>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</si>
  <si>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</si>
  <si>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</si>
  <si>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</si>
  <si>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</si>
  <si>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</si>
  <si>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</si>
  <si>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</si>
  <si>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</si>
  <si>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</si>
  <si>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</si>
  <si>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</si>
  <si>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</si>
  <si>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</si>
  <si>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</si>
  <si>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</si>
  <si>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</si>
  <si>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</si>
  <si>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</si>
  <si>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</si>
  <si>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</si>
  <si>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</si>
  <si>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</si>
  <si>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</si>
  <si>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</si>
  <si>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</si>
  <si>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</si>
  <si>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</si>
  <si>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</si>
  <si>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</si>
  <si>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</si>
  <si>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</si>
  <si>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</si>
  <si>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</si>
  <si>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</si>
  <si>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</si>
  <si>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</si>
  <si>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</si>
  <si>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</si>
  <si>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</si>
  <si>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</si>
  <si>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</si>
  <si>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</si>
  <si>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</si>
  <si>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</si>
  <si>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</si>
  <si>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</si>
  <si>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</si>
  <si>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</si>
  <si>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</si>
  <si>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</si>
  <si>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</si>
  <si>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</si>
  <si>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</si>
  <si>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</si>
  <si>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</si>
  <si>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</si>
  <si>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</si>
  <si>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</si>
  <si>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</si>
  <si>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</si>
  <si>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</si>
  <si>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</si>
  <si>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</si>
  <si>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</si>
  <si>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</si>
  <si>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</si>
  <si>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</si>
  <si>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</si>
  <si>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</si>
  <si>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</si>
  <si>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</si>
  <si>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</si>
  <si>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</si>
  <si>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</si>
  <si>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</si>
  <si>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</si>
  <si>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</si>
  <si>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</si>
  <si>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</si>
  <si>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</si>
  <si>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</si>
  <si>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</si>
  <si>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</si>
  <si>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</si>
  <si>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</si>
  <si>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</si>
  <si>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</si>
  <si>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</si>
  <si>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</si>
  <si>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</si>
  <si>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</si>
  <si>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</si>
  <si>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</si>
  <si>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</si>
  <si>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</si>
  <si>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</si>
  <si>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</si>
  <si>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</si>
  <si>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</si>
  <si>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</si>
  <si>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</si>
  <si>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</si>
  <si>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</si>
  <si>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</si>
  <si>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</si>
  <si>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</si>
  <si>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</si>
  <si>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</si>
  <si>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</si>
  <si>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</si>
  <si>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</si>
  <si>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</si>
  <si>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</si>
  <si>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</si>
  <si>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</si>
  <si>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</si>
  <si>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</si>
  <si>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</si>
  <si>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</si>
  <si>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</si>
  <si>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</si>
  <si>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</si>
  <si>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</si>
  <si>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</si>
  <si>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</si>
  <si>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</si>
  <si>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</si>
  <si>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</si>
  <si>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</si>
  <si>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</si>
  <si>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</si>
  <si>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</si>
  <si>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</si>
  <si>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</si>
  <si>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</si>
  <si>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</si>
  <si>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</si>
  <si>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</si>
  <si>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</si>
  <si>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</si>
  <si>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</si>
  <si>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</si>
  <si>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</si>
  <si>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</si>
  <si>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</si>
  <si>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</si>
  <si>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</si>
  <si>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</si>
  <si>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</si>
  <si>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</si>
  <si>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</si>
  <si>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</si>
  <si>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</si>
  <si>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</si>
  <si>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</si>
  <si>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</si>
  <si>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</si>
  <si>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</si>
  <si>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</si>
  <si>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</si>
  <si>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</si>
  <si>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</si>
  <si>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</si>
  <si>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</si>
  <si>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</si>
  <si>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</si>
  <si>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</si>
  <si>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</si>
  <si>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</si>
  <si>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</si>
  <si>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</si>
  <si>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</si>
  <si>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</si>
  <si>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</si>
  <si>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</si>
  <si>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</si>
  <si>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</si>
  <si>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</si>
  <si>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</si>
  <si>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</si>
  <si>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</si>
  <si>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</si>
  <si>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</si>
  <si>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</si>
  <si>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</si>
  <si>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</si>
  <si>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</si>
  <si>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</si>
  <si>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</si>
  <si>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</si>
  <si>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</si>
  <si>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</si>
  <si>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</si>
  <si>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</si>
  <si>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</si>
  <si>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</si>
  <si>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</si>
  <si>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</si>
  <si>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</si>
  <si>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</si>
  <si>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</si>
  <si>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</si>
  <si>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</si>
  <si>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</si>
  <si>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</si>
  <si>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</si>
  <si>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</si>
  <si>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</si>
  <si>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</si>
  <si>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</si>
  <si>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</si>
  <si>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</si>
  <si>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</si>
  <si>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</si>
  <si>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</si>
  <si>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</si>
  <si>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</si>
  <si>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</si>
  <si>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</si>
  <si>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</si>
  <si>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</si>
  <si>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</si>
  <si>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</si>
  <si>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</si>
  <si>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</si>
  <si>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</si>
  <si>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</si>
  <si>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</si>
  <si>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</si>
  <si>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</si>
  <si>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</si>
  <si>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</si>
  <si>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</si>
  <si>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</si>
  <si>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</si>
  <si>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</si>
  <si>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</si>
  <si>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</si>
  <si>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</si>
  <si>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</si>
  <si>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</si>
  <si>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</si>
  <si>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</si>
  <si>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</si>
  <si>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</si>
  <si>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</si>
  <si>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</si>
  <si>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</si>
  <si>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</si>
  <si>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</si>
  <si>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</si>
  <si>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</si>
  <si>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</si>
  <si>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</si>
  <si>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</si>
  <si>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</si>
  <si>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</si>
  <si>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</si>
  <si>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</si>
  <si>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</si>
  <si>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</si>
  <si>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</si>
  <si>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</si>
  <si>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</si>
  <si>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</si>
  <si>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</si>
  <si>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</si>
  <si>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</si>
  <si>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</si>
  <si>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</si>
  <si>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</si>
  <si>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</si>
  <si>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</si>
  <si>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</si>
  <si>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</si>
  <si>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</si>
  <si>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</si>
  <si>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</si>
  <si>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</si>
  <si>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</si>
  <si>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</si>
  <si>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</si>
  <si>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</si>
  <si>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</si>
  <si>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</si>
  <si>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</si>
  <si>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</si>
  <si>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</si>
  <si>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</si>
  <si>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</si>
  <si>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</si>
  <si>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</si>
  <si>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</si>
  <si>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</si>
  <si>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</si>
  <si>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</si>
  <si>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</si>
  <si>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</si>
  <si>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</si>
  <si>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</si>
  <si>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</si>
  <si>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</si>
  <si>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</si>
  <si>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</si>
  <si>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</si>
  <si>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</si>
  <si>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</si>
  <si>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</si>
  <si>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</si>
  <si>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</si>
  <si>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</si>
  <si>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</si>
  <si>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</si>
  <si>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</si>
  <si>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</si>
  <si>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</si>
  <si>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</si>
  <si>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</si>
  <si>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</si>
  <si>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</si>
  <si>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</si>
  <si>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</si>
  <si>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</si>
  <si>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</si>
  <si>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</si>
  <si>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</si>
  <si>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</si>
  <si>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</si>
  <si>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</si>
  <si>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</si>
  <si>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</si>
  <si>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</si>
  <si>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</si>
  <si>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</si>
  <si>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</si>
  <si>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</si>
  <si>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</si>
  <si>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</si>
  <si>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</si>
  <si>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</si>
  <si>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</si>
  <si>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</si>
  <si>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</si>
  <si>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</si>
  <si>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</si>
  <si>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</si>
  <si>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</si>
  <si>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</si>
  <si>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</si>
  <si>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</si>
  <si>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</si>
  <si>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</si>
  <si>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</si>
  <si>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</si>
  <si>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</si>
  <si>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</si>
  <si>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</si>
  <si>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</si>
  <si>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</si>
  <si>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</si>
  <si>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</si>
  <si>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</si>
  <si>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</si>
  <si>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</si>
  <si>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</si>
  <si>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</si>
  <si>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</si>
  <si>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</si>
  <si>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</si>
  <si>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</si>
  <si>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</si>
  <si>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</si>
  <si>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</si>
  <si>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</si>
  <si>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</si>
  <si>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</si>
  <si>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</si>
  <si>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</si>
  <si>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</si>
  <si>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</si>
  <si>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</si>
  <si>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</si>
  <si>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</si>
  <si>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</si>
  <si>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</si>
  <si>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</si>
  <si>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</si>
  <si>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</si>
  <si>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</si>
  <si>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</si>
  <si>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</si>
  <si>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</si>
  <si>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</si>
  <si>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</si>
  <si>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</si>
  <si>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</si>
  <si>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</si>
  <si>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</si>
  <si>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</si>
  <si>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</si>
  <si>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</si>
  <si>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</si>
  <si>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</si>
  <si>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</si>
  <si>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</si>
  <si>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</si>
  <si>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</si>
  <si>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</si>
  <si>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</si>
  <si>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</si>
  <si>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</si>
  <si>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</si>
  <si>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</si>
  <si>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</si>
  <si>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</si>
  <si>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</si>
  <si>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</si>
  <si>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</si>
  <si>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</si>
  <si>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</si>
  <si>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</si>
  <si>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</si>
  <si>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</si>
  <si>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</si>
  <si>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</si>
  <si>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</si>
  <si>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</si>
  <si>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</si>
  <si>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</si>
  <si>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</si>
  <si>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</si>
  <si>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</si>
  <si>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</si>
  <si>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</si>
  <si>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</si>
  <si>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</si>
  <si>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</si>
  <si>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</si>
  <si>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</si>
  <si>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</si>
  <si>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</si>
  <si>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</si>
  <si>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</si>
  <si>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</si>
  <si>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</si>
  <si>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</si>
  <si>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</si>
  <si>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</si>
  <si>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</si>
  <si>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</si>
  <si>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</si>
  <si>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</si>
  <si>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</si>
  <si>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</si>
  <si>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</si>
  <si>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</si>
  <si>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</si>
  <si>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</si>
  <si>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</si>
  <si>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</si>
  <si>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</si>
  <si>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</si>
  <si>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</si>
  <si>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</si>
  <si>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</si>
  <si>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</si>
  <si>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</si>
  <si>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</si>
  <si>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</si>
  <si>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</si>
  <si>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</si>
  <si>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</si>
  <si>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</si>
  <si>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</si>
  <si>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</si>
  <si>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</si>
  <si>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</si>
  <si>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</si>
  <si>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</si>
  <si>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</si>
  <si>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</si>
  <si>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</si>
  <si>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</si>
  <si>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</si>
  <si>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</si>
  <si>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</si>
  <si>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</si>
  <si>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</si>
  <si>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</si>
  <si>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</si>
  <si>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</si>
  <si>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</si>
  <si>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</si>
  <si>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</si>
  <si>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</si>
  <si>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</si>
  <si>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</si>
  <si>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</si>
  <si>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</si>
  <si>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</si>
  <si>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</si>
  <si>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</si>
  <si>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</si>
  <si>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</si>
  <si>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</si>
  <si>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</si>
  <si>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</si>
  <si>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</si>
  <si>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</si>
  <si>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</si>
  <si>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</si>
  <si>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</si>
  <si>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</si>
  <si>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</si>
  <si>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</si>
  <si>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</si>
  <si>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</si>
  <si>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</si>
  <si>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</si>
  <si>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</si>
  <si>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</si>
  <si>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</si>
  <si>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</si>
  <si>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</si>
  <si>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</si>
  <si>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</si>
  <si>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</si>
  <si>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</si>
  <si>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</si>
  <si>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</si>
  <si>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</si>
  <si>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</si>
  <si>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</si>
  <si>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</si>
  <si>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</si>
  <si>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</si>
  <si>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</si>
  <si>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</si>
  <si>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</si>
  <si>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</si>
  <si>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</si>
  <si>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</si>
  <si>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</si>
  <si>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</si>
  <si>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</si>
  <si>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</si>
  <si>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</si>
  <si>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</si>
  <si>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</si>
  <si>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</si>
  <si>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</si>
  <si>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</si>
  <si>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</si>
  <si>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</si>
  <si>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</si>
  <si>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</si>
  <si>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</si>
  <si>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</si>
  <si>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</si>
  <si>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</si>
  <si>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</si>
  <si>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</si>
  <si>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</si>
  <si>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</si>
  <si>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</si>
  <si>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</si>
  <si>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</si>
  <si>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</si>
  <si>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</si>
  <si>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</si>
  <si>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</si>
  <si>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</si>
  <si>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</si>
  <si>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</si>
  <si>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</si>
  <si>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</si>
  <si>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</si>
  <si>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</si>
  <si>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</si>
  <si>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</si>
  <si>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</si>
  <si>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</si>
  <si>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</si>
  <si>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</si>
  <si>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</si>
  <si>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</si>
  <si>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</si>
  <si>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</si>
  <si>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</si>
  <si>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</si>
  <si>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</si>
  <si>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</si>
  <si>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</si>
  <si>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</si>
  <si>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</si>
  <si>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</si>
  <si>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</si>
  <si>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</si>
  <si>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</si>
  <si>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</si>
  <si>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</si>
  <si>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</si>
  <si>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</si>
  <si>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</si>
  <si>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</si>
  <si>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</si>
  <si>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</si>
  <si>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</si>
  <si>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</si>
  <si>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</si>
  <si>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</si>
  <si>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</si>
  <si>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</si>
  <si>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</si>
  <si>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</si>
  <si>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</si>
  <si>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</si>
  <si>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</si>
  <si>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</si>
  <si>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</si>
  <si>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</si>
  <si>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</si>
  <si>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</si>
  <si>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</si>
  <si>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No of days given</t>
  </si>
  <si>
    <t>cycles year 1</t>
  </si>
  <si>
    <t>cycles year 2</t>
  </si>
  <si>
    <t>cycles year 3</t>
  </si>
  <si>
    <t>cycles year 4</t>
  </si>
  <si>
    <t>cycles year 5</t>
  </si>
  <si>
    <t>total</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</si>
  <si>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</si>
  <si>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</si>
  <si>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</si>
  <si>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</si>
  <si>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</si>
  <si>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</si>
  <si>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</si>
  <si>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</si>
  <si>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</si>
  <si>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</si>
  <si>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</si>
  <si>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</si>
  <si>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</si>
  <si>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</si>
  <si>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</si>
  <si>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</si>
  <si>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</si>
  <si>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</si>
  <si>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</si>
  <si>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</si>
  <si>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</si>
  <si>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</si>
  <si>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</si>
  <si>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</si>
  <si>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per patient per visit</t>
  </si>
  <si>
    <t>Consultant mid</t>
  </si>
  <si>
    <t>nursing</t>
  </si>
  <si>
    <t>Duration of administration (minutes)</t>
  </si>
  <si>
    <t>Band 7 Mid</t>
  </si>
  <si>
    <t>Preparation time before administration
(mins)</t>
  </si>
  <si>
    <t>Post administration nursing time (mins)</t>
  </si>
  <si>
    <t>pharmacy</t>
  </si>
  <si>
    <t>Pharmacy support (see notes below)</t>
  </si>
  <si>
    <t>Band 8a Bottom</t>
  </si>
  <si>
    <t>Band 6 Mid</t>
  </si>
  <si>
    <t>Band 8a Mid</t>
  </si>
  <si>
    <t>Notes</t>
  </si>
  <si>
    <t>Preparation time before and post administration based on consensus of expert clinical opinions.  Band 7 nurse assumed, amend where necessary</t>
  </si>
  <si>
    <t>Pharmacy time, drug regimen prep based on expert clinical opinion.  Band 8a pharmacist</t>
  </si>
  <si>
    <t xml:space="preserve">Pharmacy support will vary for each drug and condition and will include controls, administration, preparation and dispensing.  Aseptics preparations may be bought-in, or created in-house.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</si>
  <si>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</si>
  <si>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</si>
  <si>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</si>
  <si>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</si>
  <si>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</si>
  <si>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</si>
  <si>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</si>
  <si>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</si>
  <si>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</si>
  <si>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</si>
  <si>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</si>
  <si>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</si>
  <si>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</si>
  <si>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</si>
  <si>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</si>
  <si>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</si>
  <si>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</si>
  <si>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</si>
  <si>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</si>
  <si>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</si>
  <si>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</si>
  <si>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</si>
  <si>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</si>
  <si>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</si>
  <si>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</si>
  <si>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Dose per admin</t>
  </si>
  <si>
    <t>Frequency per cycle (days)</t>
  </si>
  <si>
    <t>Number of cycles</t>
  </si>
  <si>
    <t>Total dosage required (mg)</t>
  </si>
  <si>
    <t>Total number of packs required</t>
  </si>
  <si>
    <t>Cost per pack</t>
  </si>
  <si>
    <t>VAT rate</t>
  </si>
  <si>
    <t>Annual cost</t>
  </si>
  <si>
    <t>IV</t>
  </si>
  <si>
    <t>vial</t>
  </si>
  <si>
    <t>n/a</t>
  </si>
  <si>
    <t>&lt;spare row&gt;</t>
  </si>
  <si>
    <t>All components</t>
  </si>
  <si>
    <t>Treatment option</t>
  </si>
  <si>
    <t>HRG code</t>
  </si>
  <si>
    <t>day(s)</t>
  </si>
  <si>
    <t>HRG description</t>
  </si>
  <si>
    <t>Based on 2023-25 NHS England national tariff payment system –  24-25 prices</t>
  </si>
  <si>
    <t xml:space="preserve">National  </t>
  </si>
  <si>
    <t xml:space="preserve">prices </t>
  </si>
  <si>
    <t>are</t>
  </si>
  <si>
    <t>used</t>
  </si>
  <si>
    <t>on the</t>
  </si>
  <si>
    <t>left.</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</si>
  <si>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</si>
  <si>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</si>
  <si>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</si>
  <si>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</si>
  <si>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</si>
  <si>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</si>
  <si>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</si>
  <si>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</si>
  <si>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</si>
  <si>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</si>
  <si>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</si>
  <si>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</si>
  <si>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</si>
  <si>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</si>
  <si>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worksheet.</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</si>
  <si>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</si>
  <si>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</si>
  <si>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</si>
  <si>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</si>
  <si>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</si>
  <si>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</si>
  <si>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</si>
  <si>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</si>
  <si>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</si>
  <si>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</si>
  <si>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</si>
  <si>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</si>
  <si>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</si>
  <si>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</si>
  <si>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</si>
  <si>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</si>
  <si>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</si>
  <si>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</si>
  <si>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</si>
  <si>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</si>
  <si>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</si>
  <si>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</si>
  <si>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</si>
  <si>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</si>
  <si>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</si>
  <si>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</si>
  <si>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</si>
  <si>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Support time (hours) - change to current practice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</si>
  <si>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</si>
  <si>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</si>
  <si>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</si>
  <si>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</si>
  <si>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</si>
  <si>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</si>
  <si>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</si>
  <si>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</si>
  <si>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</si>
  <si>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</si>
  <si>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</si>
  <si>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</si>
  <si>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</si>
  <si>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Hourly rate</t>
  </si>
  <si>
    <t xml:space="preserve">Administrations  </t>
  </si>
  <si>
    <t>Administrations - change in volume of IV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</si>
  <si>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</si>
  <si>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</si>
  <si>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</si>
  <si>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</si>
  <si>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</si>
  <si>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</si>
  <si>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</si>
  <si>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</si>
  <si>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</si>
  <si>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</si>
  <si>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</si>
  <si>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Pharmacy support (hours)</t>
  </si>
  <si>
    <t>Support time  (mins)</t>
  </si>
  <si>
    <t>Unit cost</t>
  </si>
  <si>
    <t>Capacity impact (national prices)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</si>
  <si>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</si>
  <si>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</si>
  <si>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</si>
  <si>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</si>
  <si>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</si>
  <si>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</si>
  <si>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</si>
  <si>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</si>
  <si>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</si>
  <si>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</si>
  <si>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</si>
  <si>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</si>
  <si>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</si>
  <si>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</si>
  <si>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</si>
  <si>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</si>
  <si>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</si>
  <si>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</si>
  <si>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</si>
  <si>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</si>
  <si>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</si>
  <si>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</si>
  <si>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</si>
  <si>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</si>
  <si>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</si>
  <si>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</si>
  <si>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</si>
  <si>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</si>
  <si>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</si>
  <si>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</si>
  <si>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</si>
  <si>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</si>
  <si>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</si>
  <si>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</si>
  <si>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</si>
  <si>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</si>
  <si>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</si>
  <si>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</si>
  <si>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</si>
  <si>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</si>
  <si>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</si>
  <si>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</si>
  <si>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</si>
  <si>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</si>
  <si>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</si>
  <si>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</si>
  <si>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</si>
  <si>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</si>
  <si>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</si>
  <si>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</si>
  <si>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</si>
  <si>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</si>
  <si>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</si>
  <si>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</si>
  <si>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</si>
  <si>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</si>
  <si>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</si>
  <si>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</si>
  <si>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</si>
  <si>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</si>
  <si>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</si>
  <si>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</si>
  <si>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</si>
  <si>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</si>
  <si>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</si>
  <si>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</si>
  <si>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</si>
  <si>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</si>
  <si>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</si>
  <si>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</si>
  <si>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</si>
  <si>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</si>
  <si>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</si>
  <si>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</si>
  <si>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</si>
  <si>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</si>
  <si>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</si>
  <si>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</si>
  <si>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Source; Health Survey for England, 2021.</t>
  </si>
  <si>
    <t>Source: https://pmc.ncbi.nlm.nih.gov/articles/PMC2812484/</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</si>
  <si>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</si>
  <si>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</si>
  <si>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</si>
  <si>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</si>
  <si>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</si>
  <si>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</si>
  <si>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</si>
  <si>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</si>
  <si>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</si>
  <si>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</si>
  <si>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</si>
  <si>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</si>
  <si>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</si>
  <si>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</si>
  <si>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</si>
  <si>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</si>
  <si>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</si>
  <si>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</si>
  <si>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</si>
  <si>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</si>
  <si>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</si>
  <si>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</si>
  <si>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</si>
  <si>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</si>
  <si>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</si>
  <si>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</si>
  <si>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</si>
  <si>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</si>
  <si>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</si>
  <si>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</si>
  <si>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</si>
  <si>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</si>
  <si>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 xml:space="preserve">-where a topic publishes in month 6 of a financial year with 90 day implementation, it is assumed: </t>
  </si>
  <si>
    <t>Incidence of lung cancer</t>
  </si>
  <si>
    <t>People with small cell lung cancer (SCLC)</t>
  </si>
  <si>
    <t>People with SCLC who receive chemotherapy</t>
  </si>
  <si>
    <t>People with extensive-stage disease</t>
  </si>
  <si>
    <t>Cancer Registration Statistics, England, 2022 - NHS England Digital</t>
  </si>
  <si>
    <t>NLCA-State-of-the-Nation-Report-2024.pdf (lungcanceraudit.org.uk)</t>
  </si>
  <si>
    <t>Durvalumab</t>
  </si>
  <si>
    <t>Atezolizumab</t>
  </si>
  <si>
    <t>Durvalumab given as Intravenous infusion at a dose of 1500 mg in combination with chemotherapy every 3 weeks (21 days) for 4 cycles, followed by 1500 mg every 4 weeks as monotherapy</t>
  </si>
  <si>
    <t>Every 4 weeks as monotherapy  - maintenance treatment</t>
  </si>
  <si>
    <t>Subcut inj.</t>
  </si>
  <si>
    <t>Strength (ml/mg)</t>
  </si>
  <si>
    <t>Every 3 weeks as monotherapy  - maintenance treatment</t>
  </si>
  <si>
    <t>Vial 500mg 1 per pack</t>
  </si>
  <si>
    <t>It is assumed there is no significant difference between the cost of chemotherapy when given in combination with durvalumab or atezolizumab. For simplicity these costs are not included in the template.</t>
  </si>
  <si>
    <t>Administrations - maintenance phase</t>
  </si>
  <si>
    <t>Durvalumab IV infusion</t>
  </si>
  <si>
    <t>SB12Z</t>
  </si>
  <si>
    <t>SB12Z Deliver simple parenteral chemotherapy at first Attendance</t>
  </si>
  <si>
    <t>In the initial phase, durvalumab and atezolizumab are administered in combination with  chemotherapy;  There is no change in administrations and cost as the SB14Z HRG cost for complex chemotherapy applies to both options.</t>
  </si>
  <si>
    <t>Atezolizumab IV infusion</t>
  </si>
  <si>
    <t>Atezolizumab SC injection</t>
  </si>
  <si>
    <t>Weighting</t>
  </si>
  <si>
    <t>Per company submission: For atezolizumab monotherapy, there is variability in the adoption of SC administration based on insights from clinical experts obtained through one-to-one interviews. While some clinicians had transitioned patients to SC, others had not. As a result, the model estimated that 75% of patients receiving atezolizumab would receive SC, with the N10AF cost applied, while the remaining 25% would receive IV, with the SB12Z cost being applied.</t>
  </si>
  <si>
    <t>N10AF</t>
  </si>
  <si>
    <t>Tariff/NCC</t>
  </si>
  <si>
    <t>Specialist Nursing, Cancer Related, Adult, Face to face (NCC 2021/22)</t>
  </si>
  <si>
    <t>IMFINZI, INN-durvalumab</t>
  </si>
  <si>
    <t>Tecentriq 1,200 mg concentrate for solution for infusion - Summary of Product Characteristics (SmPC) - (emc)</t>
  </si>
  <si>
    <t>local review</t>
  </si>
  <si>
    <t>Administrations - IV/Sub cut injection</t>
  </si>
  <si>
    <t>Durvalumab mono - maintenance (IV)</t>
  </si>
  <si>
    <t>Atezolizumab mono - maintenance (sub cut/IV)</t>
  </si>
  <si>
    <t>Durvalumab uptake</t>
  </si>
  <si>
    <t>People receiving durvalumab</t>
  </si>
  <si>
    <t>A 2022 Update on Extensive Stage Small-Cell Lung Cancer (SCLC) - PMC (nih.gov)</t>
  </si>
  <si>
    <t>Radiation therapy for extensive-stage small-cell lung cancer in the era of immunotherapy - ScienceDirect</t>
  </si>
  <si>
    <t>Approximation between two thirds (67%) and 85% from the studies linked here:</t>
  </si>
  <si>
    <t>Cancer Registration Statistics, England 2022. ICD10 code C33-C34</t>
  </si>
  <si>
    <t>© NICE 2025. All rights reserved. Subject to Notice of rights.</t>
  </si>
  <si>
    <t>Total</t>
  </si>
  <si>
    <t>Oncology</t>
  </si>
  <si>
    <t>Small-cell lung cancer</t>
  </si>
  <si>
    <t>Untreated extensive stage population after first line chemotherapy</t>
  </si>
  <si>
    <t>NHS hospital trusts</t>
  </si>
  <si>
    <t>NHS England</t>
  </si>
  <si>
    <t>2D Cancers and Tumours - Lung</t>
  </si>
  <si>
    <t>30 days</t>
  </si>
  <si>
    <t>Published: February 2025</t>
  </si>
  <si>
    <t>Durvalumab maintenance phase</t>
  </si>
  <si>
    <t>Atezolizumab maintenance phase</t>
  </si>
  <si>
    <t xml:space="preserve">For pharmacy support, enter an estimate of total person-hours required per patient for supporting the use of the drug.  Select an estimate of the average grade of staff required for the entirety of the various types of support required. </t>
  </si>
  <si>
    <t>Sub cut injection 1200mg 1 per pack</t>
  </si>
  <si>
    <t>NHS England national tariff payment system</t>
  </si>
  <si>
    <t>Add locally</t>
  </si>
  <si>
    <t xml:space="preserve">Adverse events were excluded from the company's base-case analysis because of  similar safety  assumed between durvalumab + chemotherapy and atezolizumab + chemotherapy. </t>
  </si>
  <si>
    <t>Durvalumab + chemotherapy (IV)</t>
  </si>
  <si>
    <t>Atezolizumab + chemotherapy (sub cut / IV)</t>
  </si>
  <si>
    <t>Weighted average</t>
  </si>
  <si>
    <t>Infusion time for durvalumab is 60 minutes (see page 3 section 4.2) per:</t>
  </si>
  <si>
    <t>Durvalumab monotherapy - monotherapy phase</t>
  </si>
  <si>
    <t>Durvalumab combination phase</t>
  </si>
  <si>
    <t>Atezolizumab combination phase</t>
  </si>
  <si>
    <t>Please review and amend locally. Additional time may be needed to gain venous access, arranging line insertions and the necessary flushes.</t>
  </si>
  <si>
    <t>Atezolizumab monotherapy - monotherapy phase</t>
  </si>
  <si>
    <t>Every 3 weeks (21 days) in combination with chemotherapy</t>
  </si>
  <si>
    <t>1,200mg every 3 weeks in combination with chemotherapy</t>
  </si>
  <si>
    <t>Infusion time for atezolizumab (30 minutes on average used for simplicity as only initial dose different, see section  4.2) per:</t>
  </si>
  <si>
    <t xml:space="preserve">Market share estimates are NICE estimates  for illustrative purposes. </t>
  </si>
  <si>
    <t>TA1041</t>
  </si>
  <si>
    <t>Durvalumab with etoposide and either carboplatin or cisplatin for untreated extensive-stage small-cell lung cancer</t>
  </si>
  <si>
    <t>Durvalumab with etoposide and either carboplatin or cisplatin for untreated extensive-stage small-cell lung cancer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</si>
</sst>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00000%"/>
  </numFmts>
  <fonts count="8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56">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1" borderId="17" xfId="0" applyFont="1" applyFill="1" applyBorder="1"/>
    <xf numFmtId="0" fontId="39" fillId="41" borderId="0" xfId="0" applyFont="1" applyFill="1"/>
    <xf numFmtId="0" fontId="39" fillId="42" borderId="17" xfId="0" applyFont="1" applyFill="1" applyBorder="1"/>
    <xf numFmtId="0" fontId="39" fillId="42"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1" borderId="0" xfId="0" applyFill="1"/>
    <xf numFmtId="0" fontId="0" fillId="42"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0" fontId="0" fillId="24" borderId="12"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1" borderId="12" xfId="0" applyFont="1" applyFill="1" applyBorder="1" applyAlignment="1">
      <alignment horizontal="left" vertical="center"/>
    </xf>
    <xf numFmtId="0" fontId="39" fillId="41" borderId="0" xfId="82" applyFont="1" applyFill="1"/>
    <xf numFmtId="0" fontId="39" fillId="42" borderId="0" xfId="82" applyFont="1" applyFill="1"/>
    <xf numFmtId="0" fontId="0" fillId="0" borderId="35" xfId="0" applyBorder="1"/>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10" fontId="27" fillId="39" borderId="11" xfId="92" applyNumberFormat="1" applyFont="1" applyFill="1" applyBorder="1"/>
    <xf numFmtId="10" fontId="0" fillId="24" borderId="11" xfId="92" applyNumberFormat="1" applyFont="1" applyFill="1" applyBorder="1"/>
    <xf numFmtId="169" fontId="0" fillId="0" borderId="11" xfId="0" applyNumberFormat="1" applyBorder="1"/>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0" fontId="62" fillId="0" borderId="0" xfId="0" applyFont="1"/>
    <xf numFmtId="9" fontId="0" fillId="0" borderId="35"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5" fillId="39" borderId="11" xfId="0" applyFont="1" applyFill="1" applyBorder="1" applyAlignment="1">
      <alignment horizontal="center" vertical="center" wrapText="1"/>
    </xf>
    <xf numFmtId="0" fontId="65" fillId="0" borderId="0" xfId="0" applyFont="1" applyAlignment="1">
      <alignment horizontal="center" vertical="center"/>
    </xf>
    <xf numFmtId="0" fontId="66" fillId="44"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7" fillId="37" borderId="20" xfId="0" applyFont="1" applyFill="1" applyBorder="1" applyAlignment="1">
      <alignment horizontal="left"/>
    </xf>
    <xf numFmtId="0" fontId="44" fillId="40" borderId="20" xfId="0" applyFont="1" applyFill="1" applyBorder="1" applyAlignment="1">
      <alignment horizontal="left"/>
    </xf>
    <xf numFmtId="0" fontId="39" fillId="40"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1" borderId="12" xfId="0" applyFont="1" applyFill="1" applyBorder="1" applyAlignment="1">
      <alignment horizontal="left" wrapText="1"/>
    </xf>
    <xf numFmtId="0" fontId="44" fillId="42" borderId="12" xfId="0" applyFont="1" applyFill="1" applyBorder="1" applyAlignment="1">
      <alignment horizontal="left"/>
    </xf>
    <xf numFmtId="0" fontId="39" fillId="42"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1" borderId="11" xfId="0" applyFill="1" applyBorder="1" applyAlignment="1">
      <alignment horizontal="center"/>
    </xf>
    <xf numFmtId="0" fontId="0" fillId="42" borderId="11" xfId="0" applyFill="1" applyBorder="1" applyAlignment="1">
      <alignment horizontal="center"/>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1" borderId="11" xfId="0" applyNumberFormat="1" applyFill="1" applyBorder="1"/>
    <xf numFmtId="3" fontId="0" fillId="41" borderId="17" xfId="0" applyNumberFormat="1" applyFill="1" applyBorder="1"/>
    <xf numFmtId="3" fontId="0" fillId="42"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0" fontId="39" fillId="40" borderId="14" xfId="0" applyFont="1" applyFill="1" applyBorder="1"/>
    <xf numFmtId="0" fontId="39" fillId="41" borderId="10" xfId="0" applyFont="1" applyFill="1" applyBorder="1"/>
    <xf numFmtId="0" fontId="39" fillId="41" borderId="14" xfId="0" applyFont="1" applyFill="1" applyBorder="1"/>
    <xf numFmtId="0" fontId="0" fillId="40" borderId="17" xfId="0" applyFill="1" applyBorder="1"/>
    <xf numFmtId="0" fontId="0" fillId="40" borderId="14" xfId="0" applyFill="1" applyBorder="1"/>
    <xf numFmtId="0" fontId="0" fillId="4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1" borderId="12" xfId="0" applyFill="1" applyBorder="1" applyAlignment="1">
      <alignment wrapText="1"/>
    </xf>
    <xf numFmtId="0" fontId="0" fillId="42" borderId="12" xfId="0" applyFill="1" applyBorder="1" applyAlignment="1">
      <alignment wrapText="1"/>
    </xf>
    <xf numFmtId="3" fontId="44" fillId="41"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65" fillId="39" borderId="11" xfId="0" applyFont="1" applyFill="1" applyBorder="1" applyAlignment="1">
      <alignment horizontal="center" vertical="center"/>
    </xf>
    <xf numFmtId="0" fontId="0" fillId="0" borderId="38"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5" fillId="24" borderId="0" xfId="0" applyFont="1" applyFill="1" applyAlignment="1">
      <alignment horizontal="center" vertical="center"/>
    </xf>
    <xf numFmtId="0" fontId="65"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5" fillId="24" borderId="14" xfId="0" applyFont="1" applyFill="1" applyBorder="1" applyAlignment="1">
      <alignment horizontal="center" vertical="center"/>
    </xf>
    <xf numFmtId="0" fontId="27" fillId="24" borderId="14" xfId="0" applyFont="1" applyFill="1" applyBorder="1"/>
    <xf numFmtId="0" fontId="0" fillId="24" borderId="38"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5" xfId="82" applyFont="1" applyFill="1" applyBorder="1"/>
    <xf numFmtId="0" fontId="6" fillId="24" borderId="16" xfId="82" applyFont="1" applyFill="1" applyBorder="1"/>
    <xf numFmtId="0" fontId="46" fillId="24" borderId="16" xfId="82" applyFont="1" applyFill="1" applyBorder="1" applyAlignment="1">
      <alignment horizontal="center"/>
    </xf>
    <xf numFmtId="0" fontId="6" fillId="24" borderId="19" xfId="82" applyFont="1" applyFill="1" applyBorder="1"/>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8"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5" borderId="11" xfId="0" applyFont="1" applyFill="1" applyBorder="1" applyAlignment="1">
      <alignment horizontal="left"/>
    </xf>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5" borderId="11" xfId="0" applyNumberFormat="1" applyFont="1" applyFill="1" applyBorder="1"/>
    <xf numFmtId="171" fontId="29" fillId="45" borderId="11" xfId="0" applyNumberFormat="1" applyFont="1" applyFill="1" applyBorder="1" applyAlignment="1">
      <alignment horizontal="center"/>
    </xf>
    <xf numFmtId="0" fontId="29" fillId="45"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1" borderId="21" xfId="0" applyFont="1" applyFill="1" applyBorder="1"/>
    <xf numFmtId="0" fontId="0" fillId="42" borderId="21" xfId="0" applyFill="1" applyBorder="1"/>
    <xf numFmtId="0" fontId="44" fillId="40" borderId="21" xfId="0" applyFont="1" applyFill="1" applyBorder="1"/>
    <xf numFmtId="170" fontId="48" fillId="0" borderId="14" xfId="82" applyNumberFormat="1" applyFont="1" applyBorder="1"/>
    <xf numFmtId="170"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3" xfId="0" applyFill="1" applyBorder="1" applyAlignment="1">
      <alignment horizontal="center"/>
    </xf>
    <xf numFmtId="3" fontId="0" fillId="39" borderId="32" xfId="0" applyNumberFormat="1" applyFill="1" applyBorder="1" applyAlignment="1">
      <alignment horizontal="right"/>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5"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5"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3" borderId="11" xfId="0" applyNumberFormat="1" applyFont="1" applyFill="1" applyBorder="1" applyAlignment="1">
      <alignment horizontal="center"/>
    </xf>
    <xf numFmtId="0" fontId="29" fillId="43" borderId="0" xfId="0" applyFont="1" applyFill="1" applyAlignment="1">
      <alignment horizontal="center"/>
    </xf>
    <xf numFmtId="0" fontId="29" fillId="24" borderId="11" xfId="0" applyFont="1" applyFill="1" applyBorder="1" applyAlignment="1">
      <alignment horizontal="center" wrapText="1"/>
    </xf>
    <xf numFmtId="0" fontId="29" fillId="43"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4" xfId="0" applyFill="1" applyBorder="1" applyProtection="1">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42" xfId="0" applyFill="1" applyBorder="1" applyProtection="1">
      <protection locked="0"/>
    </xf>
    <xf numFmtId="0" fontId="0" fillId="39" borderId="34"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43"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40" xfId="0" applyFill="1" applyBorder="1" applyProtection="1">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7"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9"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169" fontId="0" fillId="39" borderId="34"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5" xfId="82" applyFont="1" applyBorder="1"/>
    <xf numFmtId="0" fontId="46" fillId="0" borderId="46" xfId="82" applyFont="1" applyBorder="1"/>
    <xf numFmtId="0" fontId="46" fillId="0" borderId="47" xfId="82" applyFont="1" applyBorder="1"/>
    <xf numFmtId="0" fontId="48" fillId="24" borderId="24" xfId="82" applyFont="1" applyFill="1" applyBorder="1" applyAlignment="1">
      <alignment horizontal="center" wrapText="1"/>
    </xf>
    <xf numFmtId="0" fontId="48" fillId="24" borderId="39"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9"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0" fontId="46" fillId="0" borderId="22" xfId="82" applyFont="1" applyBorder="1"/>
    <xf numFmtId="165" fontId="48" fillId="39" borderId="19" xfId="82" applyNumberFormat="1" applyFont="1" applyFill="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9"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169" fontId="46" fillId="39" borderId="29" xfId="82" applyNumberFormat="1" applyFont="1" applyFill="1" applyBorder="1" applyProtection="1">
      <protection locked="0"/>
    </xf>
    <xf numFmtId="169" fontId="46" fillId="39" borderId="41" xfId="82" applyNumberFormat="1" applyFont="1" applyFill="1" applyBorder="1" applyProtection="1">
      <protection locked="0"/>
    </xf>
    <xf numFmtId="164" fontId="46" fillId="39" borderId="41"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48" xfId="82" applyFont="1" applyBorder="1"/>
    <xf numFmtId="165" fontId="46" fillId="0" borderId="49" xfId="82" applyNumberFormat="1" applyFont="1" applyBorder="1"/>
    <xf numFmtId="3" fontId="46" fillId="39" borderId="29" xfId="82" applyNumberFormat="1" applyFont="1" applyFill="1" applyBorder="1" applyProtection="1">
      <protection locked="0"/>
    </xf>
    <xf numFmtId="3" fontId="46" fillId="39" borderId="41"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4" fillId="24" borderId="11" xfId="0" quotePrefix="1" applyFont="1" applyFill="1" applyBorder="1" applyAlignment="1">
      <alignment horizontal="center"/>
    </xf>
    <xf numFmtId="9" fontId="0" fillId="0" borderId="39" xfId="0" applyNumberFormat="1" applyBorder="1"/>
    <xf numFmtId="9" fontId="27" fillId="0" borderId="39"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1" fillId="42" borderId="0" xfId="0" applyFont="1" applyFill="1"/>
    <xf numFmtId="0" fontId="71" fillId="42" borderId="20" xfId="0" applyFont="1" applyFill="1" applyBorder="1" applyAlignment="1">
      <alignment horizontal="center"/>
    </xf>
    <xf numFmtId="4" fontId="71" fillId="42" borderId="20" xfId="0" applyNumberFormat="1" applyFont="1" applyFill="1" applyBorder="1"/>
    <xf numFmtId="164" fontId="71" fillId="42" borderId="20" xfId="0" applyNumberFormat="1" applyFont="1" applyFill="1" applyBorder="1"/>
    <xf numFmtId="0" fontId="71" fillId="42" borderId="20" xfId="0" applyFont="1" applyFill="1" applyBorder="1"/>
    <xf numFmtId="0" fontId="71" fillId="42" borderId="17" xfId="0" applyFont="1" applyFill="1" applyBorder="1"/>
    <xf numFmtId="0" fontId="48" fillId="42" borderId="12" xfId="0" applyFont="1" applyFill="1" applyBorder="1" applyAlignment="1">
      <alignment horizontal="left" vertical="center"/>
    </xf>
    <xf numFmtId="0" fontId="73" fillId="24" borderId="50" xfId="0" applyFont="1" applyFill="1" applyBorder="1" applyAlignment="1">
      <alignment horizontal="center" vertical="center"/>
    </xf>
    <xf numFmtId="0" fontId="40" fillId="24" borderId="49" xfId="0" applyFont="1" applyFill="1" applyBorder="1" applyAlignment="1">
      <alignment vertical="center"/>
    </xf>
    <xf numFmtId="170" fontId="46" fillId="0" borderId="24" xfId="57" applyNumberFormat="1" applyFont="1" applyFill="1" applyBorder="1" applyProtection="1"/>
    <xf numFmtId="0" fontId="74"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51" xfId="0" applyFont="1" applyFill="1" applyBorder="1" applyAlignment="1">
      <alignment horizontal="center"/>
    </xf>
    <xf numFmtId="0" fontId="44" fillId="24" borderId="52" xfId="82" applyFont="1" applyFill="1" applyBorder="1" applyAlignment="1">
      <alignment horizontal="center"/>
    </xf>
    <xf numFmtId="0" fontId="44" fillId="24" borderId="52" xfId="110" applyFont="1" applyFill="1" applyBorder="1" applyAlignment="1">
      <alignment horizontal="center" wrapText="1"/>
    </xf>
    <xf numFmtId="3" fontId="44" fillId="24" borderId="52" xfId="110" applyNumberFormat="1" applyFont="1" applyFill="1" applyBorder="1" applyAlignment="1">
      <alignment horizontal="center" wrapText="1"/>
    </xf>
    <xf numFmtId="0" fontId="44" fillId="24" borderId="53" xfId="110" applyFont="1" applyFill="1" applyBorder="1" applyAlignment="1">
      <alignment horizontal="center" wrapText="1"/>
    </xf>
    <xf numFmtId="0" fontId="44" fillId="24" borderId="51" xfId="0" applyFont="1" applyFill="1" applyBorder="1" applyAlignment="1">
      <alignment horizontal="center" wrapText="1"/>
    </xf>
    <xf numFmtId="0" fontId="44" fillId="45" borderId="52" xfId="0" applyFont="1" applyFill="1" applyBorder="1" applyAlignment="1">
      <alignment horizontal="center" wrapText="1"/>
    </xf>
    <xf numFmtId="0" fontId="44" fillId="24" borderId="52" xfId="0" applyFont="1" applyFill="1" applyBorder="1" applyAlignment="1">
      <alignment horizontal="center" wrapText="1"/>
    </xf>
    <xf numFmtId="0" fontId="44" fillId="24" borderId="53" xfId="0" applyFont="1" applyFill="1" applyBorder="1" applyAlignment="1">
      <alignment horizontal="center" wrapText="1"/>
    </xf>
    <xf numFmtId="0" fontId="0" fillId="0" borderId="54"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5"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9" xfId="57" applyNumberFormat="1" applyFont="1" applyFill="1" applyBorder="1" applyAlignment="1" applyProtection="1">
      <alignment horizontal="right"/>
    </xf>
    <xf numFmtId="170" fontId="46" fillId="39" borderId="39" xfId="57" applyNumberFormat="1" applyFont="1" applyFill="1" applyBorder="1" applyProtection="1"/>
    <xf numFmtId="10" fontId="46" fillId="39" borderId="39" xfId="92" applyNumberFormat="1" applyFont="1" applyFill="1" applyBorder="1" applyProtection="1"/>
    <xf numFmtId="10" fontId="46" fillId="39" borderId="27" xfId="92" applyNumberFormat="1" applyFont="1" applyFill="1" applyBorder="1" applyProtection="1"/>
    <xf numFmtId="0" fontId="28" fillId="0" borderId="12" xfId="72" applyBorder="1" applyAlignment="1" applyProtection="1">
      <alignment horizontal="left"/>
    </xf>
    <xf numFmtId="0" fontId="28" fillId="0" borderId="12" xfId="72" applyFill="1" applyBorder="1" applyAlignment="1" applyProtection="1">
      <alignment horizontal="left"/>
    </xf>
    <xf numFmtId="0" fontId="75" fillId="46" borderId="0" xfId="0" applyFont="1" applyFill="1" applyAlignment="1">
      <alignment horizontal="left" vertical="center"/>
    </xf>
    <xf numFmtId="0" fontId="39" fillId="46" borderId="0" xfId="0" applyFont="1" applyFill="1" applyAlignment="1">
      <alignment horizontal="left" vertical="center"/>
    </xf>
    <xf numFmtId="0" fontId="76" fillId="46" borderId="0" xfId="0" applyFont="1" applyFill="1"/>
    <xf numFmtId="0" fontId="77" fillId="25" borderId="0" xfId="0" applyFont="1" applyFill="1"/>
    <xf numFmtId="0" fontId="77" fillId="0" borderId="0" xfId="0" applyFont="1"/>
    <xf numFmtId="0" fontId="77"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8"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5" xfId="0" applyFont="1" applyBorder="1"/>
    <xf numFmtId="0" fontId="0" fillId="0" borderId="46" xfId="0" applyBorder="1" applyAlignment="1">
      <alignment horizontal="center" wrapText="1"/>
    </xf>
    <xf numFmtId="0" fontId="29" fillId="0" borderId="45" xfId="0" applyFont="1" applyBorder="1" applyAlignment="1">
      <alignment horizontal="center"/>
    </xf>
    <xf numFmtId="0" fontId="0" fillId="0" borderId="47"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8"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8"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7"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7"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5" fontId="29" fillId="25" borderId="0" xfId="92" applyNumberFormat="1" applyFont="1" applyFill="1"/>
    <xf numFmtId="0" fontId="32" fillId="24" borderId="0" xfId="0" applyFont="1" applyFill="1"/>
    <xf numFmtId="175" fontId="32" fillId="25" borderId="56"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7"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7" fillId="25" borderId="0" xfId="0" applyNumberFormat="1" applyFont="1" applyFill="1"/>
    <xf numFmtId="0" fontId="29" fillId="25" borderId="0" xfId="0" applyFont="1" applyFill="1" applyAlignment="1">
      <alignment horizontal="right"/>
    </xf>
    <xf numFmtId="0" fontId="77" fillId="25" borderId="0" xfId="0" applyFont="1" applyFill="1" applyAlignment="1">
      <alignment horizontal="right"/>
    </xf>
    <xf numFmtId="9" fontId="29" fillId="47" borderId="0" xfId="92" applyFont="1" applyFill="1"/>
    <xf numFmtId="175" fontId="79" fillId="25" borderId="0" xfId="92" applyNumberFormat="1" applyFont="1" applyFill="1" applyAlignment="1">
      <alignment horizontal="right"/>
    </xf>
    <xf numFmtId="9" fontId="79" fillId="25" borderId="0" xfId="92" applyFont="1" applyFill="1" applyAlignment="1">
      <alignment horizontal="right"/>
    </xf>
    <xf numFmtId="0" fontId="79"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7" fillId="0" borderId="0" xfId="0" applyNumberFormat="1" applyFont="1"/>
    <xf numFmtId="165" fontId="77" fillId="24" borderId="0" xfId="0" applyNumberFormat="1" applyFont="1" applyFill="1"/>
    <xf numFmtId="0" fontId="4" fillId="24" borderId="0" xfId="0" applyFont="1" applyFill="1" applyAlignment="1">
      <alignment horizontal="left" vertical="center" wrapText="1"/>
    </xf>
    <xf numFmtId="3" fontId="77" fillId="24" borderId="0" xfId="0" applyNumberFormat="1" applyFont="1" applyFill="1"/>
    <xf numFmtId="0" fontId="32" fillId="48" borderId="0" xfId="0" applyFont="1" applyFill="1" applyAlignment="1">
      <alignment horizontal="left"/>
    </xf>
    <xf numFmtId="0" fontId="29" fillId="48" borderId="0" xfId="0" applyFont="1" applyFill="1"/>
    <xf numFmtId="170" fontId="46" fillId="39" borderId="19" xfId="82" applyNumberFormat="1" applyFont="1" applyFill="1" applyBorder="1"/>
    <xf numFmtId="170" fontId="46" fillId="39" borderId="11" xfId="82" applyNumberFormat="1" applyFont="1" applyFill="1" applyBorder="1"/>
    <xf numFmtId="170" fontId="46" fillId="39" borderId="15" xfId="82" applyNumberFormat="1" applyFont="1" applyFill="1" applyBorder="1"/>
    <xf numFmtId="170" fontId="46" fillId="39" borderId="29" xfId="82" applyNumberFormat="1" applyFont="1" applyFill="1" applyBorder="1"/>
    <xf numFmtId="3" fontId="0" fillId="39" borderId="19" xfId="0" applyNumberFormat="1" applyFill="1" applyBorder="1"/>
    <xf numFmtId="3" fontId="0" fillId="39" borderId="29" xfId="0" applyNumberFormat="1" applyFill="1" applyBorder="1"/>
    <xf numFmtId="0" fontId="0" fillId="39" borderId="0" xfId="0" applyFill="1"/>
    <xf numFmtId="9" fontId="0" fillId="39" borderId="0" xfId="0" applyNumberFormat="1" applyFill="1"/>
    <xf numFmtId="0" fontId="44" fillId="39" borderId="35" xfId="0" applyFont="1" applyFill="1" applyBorder="1" applyAlignment="1">
      <alignment horizontal="right"/>
    </xf>
    <xf numFmtId="0" fontId="0" fillId="39" borderId="35" xfId="0" applyFill="1" applyBorder="1"/>
    <xf numFmtId="3" fontId="44" fillId="39" borderId="0" xfId="0" applyNumberFormat="1" applyFont="1" applyFill="1"/>
    <xf numFmtId="0" fontId="0" fillId="0" borderId="17" xfId="0" applyBorder="1" applyAlignment="1">
      <alignment wrapText="1"/>
    </xf>
    <xf numFmtId="10" fontId="0" fillId="39" borderId="0" xfId="92" applyNumberFormat="1" applyFont="1" applyFill="1"/>
    <xf numFmtId="0" fontId="46" fillId="39" borderId="11" xfId="82" applyFont="1" applyFill="1" applyBorder="1" applyAlignment="1" applyProtection="1">
      <alignment wrapText="1"/>
      <protection locked="0"/>
    </xf>
    <xf numFmtId="0" fontId="0" fillId="39" borderId="11" xfId="82" applyFont="1" applyFill="1" applyBorder="1" applyAlignment="1">
      <alignment wrapText="1"/>
    </xf>
    <xf numFmtId="0" fontId="49" fillId="0" borderId="0" xfId="0" applyFont="1"/>
    <xf numFmtId="166" fontId="6" fillId="39" borderId="11" xfId="56" applyNumberFormat="1" applyFont="1" applyFill="1" applyBorder="1"/>
    <xf numFmtId="166" fontId="6" fillId="24" borderId="11" xfId="56" applyNumberFormat="1" applyFont="1" applyFill="1" applyBorder="1"/>
    <xf numFmtId="0" fontId="46" fillId="24" borderId="11" xfId="82" applyFont="1" applyFill="1" applyBorder="1" applyProtection="1">
      <protection locked="0"/>
    </xf>
    <xf numFmtId="166" fontId="46" fillId="24" borderId="12" xfId="56" applyNumberFormat="1" applyFont="1" applyFill="1" applyBorder="1" applyAlignment="1" applyProtection="1">
      <alignment horizontal="center"/>
      <protection locked="0"/>
    </xf>
    <xf numFmtId="0" fontId="58" fillId="24" borderId="11" xfId="82" applyFont="1" applyFill="1" applyBorder="1" applyProtection="1">
      <protection locked="0"/>
    </xf>
    <xf numFmtId="0" fontId="46" fillId="24" borderId="12" xfId="82" applyFont="1" applyFill="1" applyBorder="1" applyAlignment="1" applyProtection="1">
      <alignment horizontal="left"/>
      <protection locked="0"/>
    </xf>
    <xf numFmtId="0" fontId="6" fillId="24" borderId="20" xfId="82" applyFont="1" applyFill="1" applyBorder="1" applyAlignment="1" applyProtection="1">
      <alignment horizontal="right"/>
      <protection locked="0"/>
    </xf>
    <xf numFmtId="166" fontId="6" fillId="24" borderId="20" xfId="56" applyNumberFormat="1" applyFont="1" applyFill="1" applyBorder="1" applyProtection="1">
      <protection locked="0"/>
    </xf>
    <xf numFmtId="0" fontId="6" fillId="24" borderId="20" xfId="82" applyFont="1" applyFill="1" applyBorder="1" applyProtection="1">
      <protection locked="0"/>
    </xf>
    <xf numFmtId="166" fontId="6" fillId="24" borderId="17" xfId="56" applyNumberFormat="1" applyFont="1" applyFill="1" applyBorder="1" applyProtection="1">
      <protection locked="0"/>
    </xf>
    <xf numFmtId="165" fontId="46" fillId="24" borderId="11" xfId="82" applyNumberFormat="1" applyFont="1" applyFill="1" applyBorder="1" applyProtection="1">
      <protection locked="0"/>
    </xf>
    <xf numFmtId="0" fontId="55" fillId="0" borderId="0" xfId="72" applyFont="1" applyFill="1" applyBorder="1" applyAlignment="1" applyProtection="1"/>
    <xf numFmtId="0" fontId="48" fillId="0" borderId="0" xfId="82" applyFont="1" applyAlignment="1">
      <alignment horizontal="left"/>
    </xf>
    <xf numFmtId="0" fontId="48" fillId="0" borderId="0" xfId="82" applyFont="1" applyAlignment="1">
      <alignment horizontal="center"/>
    </xf>
    <xf numFmtId="0" fontId="46" fillId="0" borderId="0" xfId="82" applyFont="1" applyProtection="1">
      <protection locked="0"/>
    </xf>
    <xf numFmtId="166" fontId="46" fillId="0" borderId="0" xfId="56" applyNumberFormat="1" applyFont="1" applyFill="1" applyBorder="1" applyAlignment="1" applyProtection="1">
      <alignment horizontal="center"/>
      <protection locked="0"/>
    </xf>
    <xf numFmtId="0" fontId="46" fillId="0" borderId="0" xfId="82" applyFont="1" applyAlignment="1" applyProtection="1">
      <alignment horizontal="left"/>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6" fillId="0" borderId="0" xfId="82" applyFont="1" applyProtection="1">
      <protection locked="0"/>
    </xf>
    <xf numFmtId="165" fontId="46" fillId="0" borderId="0" xfId="82" applyNumberFormat="1" applyFont="1" applyProtection="1">
      <protection locked="0"/>
    </xf>
    <xf numFmtId="0" fontId="28" fillId="0" borderId="0" xfId="72" applyFill="1" applyBorder="1" applyAlignment="1" applyProtection="1">
      <alignment vertical="top"/>
    </xf>
    <xf numFmtId="166" fontId="46" fillId="0" borderId="0" xfId="56" applyNumberFormat="1" applyFont="1" applyFill="1" applyBorder="1" applyAlignment="1">
      <alignment horizontal="center"/>
    </xf>
    <xf numFmtId="0" fontId="46" fillId="0" borderId="0" xfId="82" applyFont="1" applyAlignment="1">
      <alignment horizontal="left"/>
    </xf>
    <xf numFmtId="0" fontId="46" fillId="0" borderId="0" xfId="82" applyFont="1" applyAlignment="1">
      <alignment horizontal="right"/>
    </xf>
    <xf numFmtId="166" fontId="46" fillId="0" borderId="0" xfId="56" applyNumberFormat="1" applyFont="1" applyFill="1" applyBorder="1"/>
    <xf numFmtId="10" fontId="48" fillId="0" borderId="0" xfId="92" applyNumberFormat="1" applyFont="1" applyFill="1" applyBorder="1"/>
    <xf numFmtId="0" fontId="48" fillId="0" borderId="0" xfId="82" applyFont="1" applyAlignment="1">
      <alignment horizontal="center" wrapText="1"/>
    </xf>
    <xf numFmtId="10" fontId="46" fillId="0" borderId="0" xfId="92" applyNumberFormat="1" applyFont="1" applyFill="1" applyBorder="1" applyProtection="1">
      <protection locked="0"/>
    </xf>
    <xf numFmtId="168" fontId="46" fillId="0" borderId="0" xfId="82" applyNumberFormat="1" applyFont="1"/>
    <xf numFmtId="168" fontId="46" fillId="0" borderId="0" xfId="82" applyNumberFormat="1" applyFont="1" applyProtection="1">
      <protection locked="0"/>
    </xf>
    <xf numFmtId="165" fontId="48" fillId="0" borderId="0" xfId="82" applyNumberFormat="1" applyFont="1"/>
    <xf numFmtId="0" fontId="27" fillId="0" borderId="0" xfId="82" applyFont="1" applyAlignment="1">
      <alignment vertical="top"/>
    </xf>
    <xf numFmtId="168" fontId="2" fillId="0" borderId="0" xfId="82" applyNumberFormat="1"/>
    <xf numFmtId="0" fontId="58" fillId="0" borderId="0" xfId="72" applyFont="1" applyAlignment="1" applyProtection="1"/>
    <xf numFmtId="165" fontId="44" fillId="0" borderId="17" xfId="0" applyNumberFormat="1" applyFont="1" applyBorder="1" applyAlignment="1">
      <alignment horizontal="center" wrapText="1"/>
    </xf>
    <xf numFmtId="0" fontId="0" fillId="0" borderId="20" xfId="0" applyBorder="1" applyAlignment="1">
      <alignment horizontal="left"/>
    </xf>
    <xf numFmtId="3" fontId="46" fillId="0" borderId="11" xfId="0" applyNumberFormat="1" applyFont="1" applyBorder="1" applyAlignment="1">
      <alignment horizontal="right" wrapText="1"/>
    </xf>
    <xf numFmtId="3" fontId="46" fillId="0" borderId="56" xfId="0" applyNumberFormat="1" applyFont="1" applyBorder="1" applyAlignment="1">
      <alignment horizontal="right" wrapText="1"/>
    </xf>
    <xf numFmtId="3" fontId="0" fillId="0" borderId="12" xfId="0" applyNumberFormat="1" applyBorder="1"/>
    <xf numFmtId="3" fontId="46" fillId="0" borderId="17" xfId="0" applyNumberFormat="1" applyFont="1" applyBorder="1" applyAlignment="1">
      <alignment horizontal="right" wrapText="1"/>
    </xf>
    <xf numFmtId="0" fontId="0" fillId="40" borderId="10" xfId="0" applyFill="1" applyBorder="1"/>
    <xf numFmtId="0" fontId="0" fillId="40" borderId="56" xfId="0" applyFill="1" applyBorder="1"/>
    <xf numFmtId="0" fontId="39" fillId="42" borderId="56" xfId="0" applyFont="1" applyFill="1" applyBorder="1"/>
    <xf numFmtId="0" fontId="44" fillId="40" borderId="12" xfId="0" applyFont="1" applyFill="1" applyBorder="1" applyAlignment="1">
      <alignment horizontal="left"/>
    </xf>
    <xf numFmtId="3" fontId="46" fillId="0" borderId="12" xfId="0" applyNumberFormat="1" applyFont="1" applyBorder="1" applyAlignment="1">
      <alignment horizontal="right" wrapText="1"/>
    </xf>
    <xf numFmtId="3" fontId="0" fillId="0" borderId="20" xfId="0" applyNumberFormat="1" applyBorder="1"/>
    <xf numFmtId="9" fontId="58" fillId="39" borderId="11" xfId="56" applyNumberFormat="1" applyFont="1" applyFill="1" applyBorder="1" applyAlignment="1">
      <alignment horizontal="center"/>
    </xf>
    <xf numFmtId="169" fontId="0" fillId="24" borderId="11" xfId="0" applyNumberFormat="1" applyFill="1" applyBorder="1" applyProtection="1">
      <protection locked="0"/>
    </xf>
    <xf numFmtId="5" fontId="6" fillId="39" borderId="11" xfId="56" applyNumberFormat="1" applyFont="1" applyFill="1" applyBorder="1"/>
    <xf numFmtId="5" fontId="46" fillId="39" borderId="11" xfId="56" applyNumberFormat="1" applyFont="1" applyFill="1" applyBorder="1"/>
    <xf numFmtId="5" fontId="48" fillId="39" borderId="11" xfId="56" applyNumberFormat="1" applyFont="1" applyFill="1" applyBorder="1"/>
    <xf numFmtId="0" fontId="48" fillId="0" borderId="12" xfId="0" applyFont="1" applyBorder="1" applyAlignment="1">
      <alignment horizontal="left"/>
    </xf>
    <xf numFmtId="0" fontId="48" fillId="0" borderId="17" xfId="0" applyFont="1" applyBorder="1" applyAlignment="1">
      <alignment horizontal="left"/>
    </xf>
    <xf numFmtId="0" fontId="59" fillId="0" borderId="0" xfId="0" applyFont="1"/>
    <xf numFmtId="0" fontId="58" fillId="0" borderId="11" xfId="72" applyFont="1" applyBorder="1" applyAlignment="1" applyProtection="1"/>
    <xf numFmtId="166" fontId="6" fillId="24" borderId="11" xfId="56" applyNumberFormat="1" applyFont="1" applyFill="1" applyBorder="1" applyAlignment="1">
      <alignment horizontal="right"/>
    </xf>
    <xf numFmtId="169" fontId="46" fillId="0" borderId="10" xfId="82" applyNumberFormat="1" applyFont="1" applyBorder="1"/>
    <xf numFmtId="169" fontId="46" fillId="0" borderId="0" xfId="82" applyNumberFormat="1" applyFont="1"/>
    <xf numFmtId="169" fontId="46" fillId="0" borderId="48" xfId="82" applyNumberFormat="1" applyFont="1" applyBorder="1"/>
    <xf numFmtId="3" fontId="46" fillId="39" borderId="11" xfId="82" applyNumberFormat="1" applyFont="1" applyFill="1" applyBorder="1" applyProtection="1">
      <protection locked="0"/>
    </xf>
    <xf numFmtId="3" fontId="46" fillId="0" borderId="48" xfId="82" applyNumberFormat="1" applyFont="1" applyBorder="1"/>
    <xf numFmtId="176" fontId="0" fillId="0" borderId="35" xfId="0" applyNumberFormat="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61" fillId="0" borderId="0" xfId="0" applyFont="1" applyAlignment="1">
      <alignment horizontal="left" vertical="center" wrapText="1"/>
    </xf>
    <xf numFmtId="0" fontId="0" fillId="0" borderId="12" xfId="0" applyBorder="1" applyAlignment="1">
      <alignment horizontal="left" wrapText="1"/>
    </xf>
    <xf numFmtId="0" fontId="0" fillId="0" borderId="20" xfId="0" applyBorder="1" applyAlignment="1">
      <alignment horizontal="left" wrapText="1"/>
    </xf>
    <xf numFmtId="0" fontId="28" fillId="0" borderId="20" xfId="72" applyBorder="1" applyAlignment="1" applyProtection="1">
      <alignment horizontal="left" wrapText="1"/>
    </xf>
    <xf numFmtId="0" fontId="28" fillId="0" borderId="17" xfId="72" applyBorder="1" applyAlignment="1" applyProtection="1">
      <alignment horizontal="left" wrapText="1"/>
    </xf>
    <xf numFmtId="0" fontId="28" fillId="0" borderId="12" xfId="72" applyFill="1" applyBorder="1" applyAlignment="1" applyProtection="1">
      <alignment horizontal="left" vertical="center" wrapText="1"/>
    </xf>
    <xf numFmtId="0" fontId="28" fillId="0" borderId="20" xfId="72" applyFill="1" applyBorder="1" applyAlignment="1" applyProtection="1">
      <alignment horizontal="left" vertical="center" wrapText="1"/>
    </xf>
    <xf numFmtId="0" fontId="49" fillId="0" borderId="0" xfId="0" applyFont="1" applyAlignment="1">
      <alignment horizontal="left" vertical="center" wrapText="1"/>
    </xf>
    <xf numFmtId="0" fontId="1" fillId="39" borderId="12" xfId="0" applyFont="1" applyFill="1" applyBorder="1" applyAlignment="1">
      <alignment horizontal="left" wrapText="1"/>
    </xf>
    <xf numFmtId="0" fontId="1" fillId="39" borderId="20" xfId="0" applyFont="1" applyFill="1" applyBorder="1" applyAlignment="1">
      <alignment horizontal="left" wrapText="1"/>
    </xf>
    <xf numFmtId="0" fontId="4" fillId="0" borderId="0" xfId="0" applyFont="1" applyAlignment="1">
      <alignment horizontal="left" vertical="center"/>
    </xf>
    <xf numFmtId="0" fontId="0" fillId="0" borderId="0" xfId="82" applyFont="1" applyAlignment="1">
      <alignment horizontal="left" wrapText="1"/>
    </xf>
    <xf numFmtId="0" fontId="0" fillId="39" borderId="11" xfId="82" applyFont="1" applyFill="1" applyBorder="1" applyAlignment="1">
      <alignment vertical="top" wrapText="1"/>
    </xf>
    <xf numFmtId="0" fontId="0" fillId="39" borderId="11" xfId="0" applyFill="1" applyBorder="1" applyAlignment="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medicines.org.uk/emc/product/8442/smpc" TargetMode="External"/><Relationship Id="rId13"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ema.europa.eu/en/documents/product-information/imfinzi-epar-product-information_en.pdf" TargetMode="External"/><Relationship Id="rId12" Type="http://schemas.openxmlformats.org/officeDocument/2006/relationships/printerSettings" Target="../printerSettings/printerSettings4.bin"/><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digital.nhs.uk/data-and-information/publications/statistical/cancer-registration-statistics/england-2022" TargetMode="External"/><Relationship Id="rId11" Type="http://schemas.openxmlformats.org/officeDocument/2006/relationships/hyperlink" Target="https://digital.nhs.uk/data-and-information/publications/statistical/cancer-registration-statistics/england-2022" TargetMode="External"/><Relationship Id="rId5" Type="http://schemas.openxmlformats.org/officeDocument/2006/relationships/hyperlink" Target="https://pmc.ncbi.nlm.nih.gov/articles/PMC2812484/" TargetMode="External"/><Relationship Id="rId10" Type="http://schemas.openxmlformats.org/officeDocument/2006/relationships/hyperlink" Target="https://www.sciencedirect.com/science/article/abs/pii/S0304383522002038" TargetMode="External"/><Relationship Id="rId4" Type="http://schemas.openxmlformats.org/officeDocument/2006/relationships/hyperlink" Target="https://digital.nhs.uk/data-and-information/publications/statistical/health-survey-for-england/2021/health-survey-for-england-2021-data-tables" TargetMode="External"/><Relationship Id="rId9" Type="http://schemas.openxmlformats.org/officeDocument/2006/relationships/hyperlink" Target="https://www.ncbi.nlm.nih.gov/pmc/articles/PMC9330463/" TargetMode="External"/><Relationship Id="rId1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80" zoomScaleNormal="80" workbookViewId="0">
      <selection activeCell="I11" sqref="I11"/>
    </sheetView>
  </sheetViews>
  <sheetFormatPr defaultColWidth="9.1796875" defaultRowHeight="14" x14ac:dyDescent="0.3"/>
  <cols>
    <col min="1" max="1" width="24.453125" style="10" customWidth="1"/>
    <col min="2" max="2" width="49.453125" style="10" customWidth="1"/>
    <col min="3" max="3" width="63.54296875" style="14" customWidth="1"/>
    <col min="4" max="4" width="20.453125" style="10" customWidth="1"/>
    <col min="5" max="12" width="21" style="10" customWidth="1"/>
    <col min="13" max="13" width="22.81640625" style="10" customWidth="1"/>
    <col min="14" max="14" width="22.54296875" style="10" customWidth="1"/>
    <col min="15" max="15" width="25.81640625" style="10" customWidth="1"/>
    <col min="16" max="16" width="10.81640625" style="10" customWidth="1"/>
    <col min="17" max="17" width="15.1796875" style="11" customWidth="1"/>
    <col min="18" max="18" width="20.1796875" style="11" customWidth="1"/>
    <col min="19" max="23" width="10.81640625" style="11" customWidth="1"/>
    <col min="24" max="42" width="10.81640625" style="11" hidden="1" customWidth="1"/>
    <col min="43" max="50" width="10.81640625" style="12" hidden="1" customWidth="1"/>
    <col min="51" max="100" width="10.81640625" style="1" hidden="1" customWidth="1"/>
    <col min="101" max="106" width="10.81640625" style="1" customWidth="1"/>
    <col min="107" max="190" width="10.81640625" style="10" hidden="1" customWidth="1"/>
    <col min="191" max="193" width="10.81640625" style="10" customWidth="1"/>
    <col min="194" max="194" width="10.453125" style="10" customWidth="1"/>
    <col min="195" max="16384" width="9.1796875" style="10"/>
  </cols>
  <sheetData>
    <row r="1" spans="2:106" x14ac:dyDescent="0.3">
      <c r="C1" s="755" t="s">
        <v>35</v>
      </c>
    </row>
    <row r="2" spans="2:106" x14ac:dyDescent="0.3">
      <c r="B2" s="9" t="s">
        <v>34</v>
      </c>
    </row>
    <row r="3" spans="2:106" x14ac:dyDescent="0.3">
      <c r="B3" s="91" t="s">
        <v>36</v>
      </c>
      <c r="C3" s="469"/>
      <c r="D3" s="470"/>
      <c r="E3" s="470"/>
      <c r="F3" s="470"/>
      <c r="G3" s="92"/>
    </row>
    <row r="4" spans="2:106" x14ac:dyDescent="0.3">
      <c r="B4" s="93"/>
      <c r="C4" s="94"/>
      <c r="D4" s="7"/>
      <c r="E4" s="7"/>
      <c r="F4" s="7"/>
      <c r="G4" s="95"/>
      <c r="L4" s="9" t="s">
        <v>37</v>
      </c>
      <c r="M4" s="9" t="s">
        <v>37</v>
      </c>
      <c r="N4" s="9" t="s">
        <v>38</v>
      </c>
      <c r="O4" s="9" t="s">
        <v>38</v>
      </c>
      <c r="P4" s="9" t="s">
        <v>39</v>
      </c>
      <c r="R4" s="167" t="s">
        <v>40</v>
      </c>
      <c r="S4" s="167" t="s">
        <v>41</v>
      </c>
      <c r="T4" s="167" t="s">
        <v>42</v>
      </c>
      <c r="V4" s="167" t="s">
        <v>43</v>
      </c>
    </row>
    <row r="5" spans="2:106" ht="28" x14ac:dyDescent="0.3">
      <c r="B5" s="96" t="s">
        <v>44</v>
      </c>
      <c r="C5" s="94"/>
      <c r="D5" s="7"/>
      <c r="E5" s="7"/>
      <c r="F5" s="7"/>
      <c r="G5" s="95"/>
      <c r="L5" s="15" t="s">
        <v>45</v>
      </c>
      <c r="M5" s="15" t="s">
        <v>46</v>
      </c>
      <c r="N5" s="15" t="s">
        <v>47</v>
      </c>
      <c r="O5" s="15" t="s">
        <v>48</v>
      </c>
      <c r="P5" s="18"/>
      <c r="Q5" s="16"/>
      <c r="R5" s="15" t="s">
        <v>48</v>
      </c>
      <c r="S5" s="136" t="s">
        <v>49</v>
      </c>
      <c r="V5" s="137">
        <v>4</v>
      </c>
    </row>
    <row r="6" spans="2:106" x14ac:dyDescent="0.3">
      <c r="B6" s="96" t="s">
        <v>50</v>
      </c>
      <c r="C6" s="94"/>
      <c r="D6" s="7"/>
      <c r="E6" s="7"/>
      <c r="F6" s="7"/>
      <c r="G6" s="95"/>
      <c r="J6" s="132"/>
      <c r="L6" s="20" t="s">
        <v>51</v>
      </c>
      <c r="M6" s="20" t="s">
        <v>52</v>
      </c>
      <c r="N6" s="20" t="str">
        <f>'Inputs and eligible population'!$E$11</f>
        <v>National</v>
      </c>
      <c r="O6" s="20" t="str">
        <f>IFERROR(VLOOKUP('Inputs and eligible population'!$E$11, $L$5:$M$14, 2, FALSE), "-")</f>
        <v>NATIONAL</v>
      </c>
      <c r="P6" s="15" t="b">
        <f>ISTEXT('Inputs and eligible population'!$E$12)</f>
        <v>1</v>
      </c>
      <c r="R6" s="189" t="s">
        <v>53</v>
      </c>
      <c r="S6" s="136" t="s">
        <v>54</v>
      </c>
      <c r="V6" s="137">
        <v>5</v>
      </c>
    </row>
    <row r="7" spans="2:106" x14ac:dyDescent="0.3">
      <c r="B7" s="93"/>
      <c r="C7" s="94"/>
      <c r="D7" s="7"/>
      <c r="E7" s="7"/>
      <c r="F7" s="7"/>
      <c r="G7" s="95"/>
      <c r="L7" s="20" t="s">
        <v>55</v>
      </c>
      <c r="M7" s="20" t="s">
        <v>56</v>
      </c>
      <c r="N7" s="20" t="str">
        <f>'Inputs and eligible population'!$E$11</f>
        <v>National</v>
      </c>
      <c r="O7" s="20" t="str">
        <f>IFERROR(VLOOKUP('Inputs and eligible population'!$E$11, $L$5:$M$14, 2, FALSE), "-")</f>
        <v>NATIONAL</v>
      </c>
      <c r="P7" s="15" t="b">
        <f>ISTEXT('Inputs and eligible population'!$E$12)</f>
        <v>1</v>
      </c>
      <c r="R7" s="189" t="s">
        <v>57</v>
      </c>
      <c r="S7" s="367"/>
      <c r="V7" s="137">
        <v>6</v>
      </c>
    </row>
    <row r="8" spans="2:106" ht="19.5" customHeight="1" x14ac:dyDescent="0.3">
      <c r="B8" s="97" t="s">
        <v>58</v>
      </c>
      <c r="C8" s="98"/>
      <c r="D8" s="99"/>
      <c r="E8" s="99"/>
      <c r="F8" s="99"/>
      <c r="G8" s="100"/>
      <c r="L8" s="20" t="s">
        <v>59</v>
      </c>
      <c r="M8" s="20" t="s">
        <v>60</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35">
      <c r="B9" s="13"/>
      <c r="L9" s="20" t="s">
        <v>61</v>
      </c>
      <c r="M9" s="20" t="s">
        <v>62</v>
      </c>
      <c r="N9" s="20" t="str">
        <f>'Inputs and eligible population'!$E$11</f>
        <v>National</v>
      </c>
      <c r="O9" s="20" t="str">
        <f>IFERROR(VLOOKUP('Inputs and eligible population'!$E$11, $L$5:$M$14, 2, FALSE), "-")</f>
        <v>NATIONAL</v>
      </c>
      <c r="P9" s="15" t="b">
        <f>ISTEXT('Inputs and eligible population'!$E$12)</f>
        <v>1</v>
      </c>
      <c r="V9" s="137" t="s">
        <v>63</v>
      </c>
    </row>
    <row r="10" spans="2:106" ht="14.5" x14ac:dyDescent="0.35">
      <c r="B10" s="13"/>
      <c r="K10" s="23"/>
      <c r="L10" s="20" t="s">
        <v>64</v>
      </c>
      <c r="M10" s="20" t="s">
        <v>65</v>
      </c>
      <c r="N10" s="20" t="str">
        <f>'Inputs and eligible population'!$E$11</f>
        <v>National</v>
      </c>
      <c r="O10" s="20" t="str">
        <f>IFERROR(VLOOKUP('Inputs and eligible population'!$E$11, $L$5:$M$14, 2, FALSE), "-")</f>
        <v>NATIONAL</v>
      </c>
      <c r="P10" s="15" t="b">
        <f>ISTEXT('Inputs and eligible population'!$E$12)</f>
        <v>1</v>
      </c>
      <c r="V10" s="137" t="s">
        <v>66</v>
      </c>
    </row>
    <row r="11" spans="2:106" x14ac:dyDescent="0.3">
      <c r="B11" s="9" t="s">
        <v>67</v>
      </c>
      <c r="C11" s="23"/>
      <c r="D11" s="23"/>
      <c r="E11" s="23"/>
      <c r="K11" s="23"/>
      <c r="L11" s="109" t="s">
        <v>68</v>
      </c>
      <c r="M11" s="20" t="s">
        <v>69</v>
      </c>
      <c r="N11" s="20" t="str">
        <f>'Inputs and eligible population'!$E$11</f>
        <v>National</v>
      </c>
      <c r="O11" s="20" t="str">
        <f>IFERROR(VLOOKUP('Inputs and eligible population'!$E$11, $L$5:$M$14, 2, FALSE), "-")</f>
        <v>NATIONAL</v>
      </c>
      <c r="P11" s="15" t="b">
        <f>ISTEXT('Inputs and eligible population'!$E$12)</f>
        <v>1</v>
      </c>
      <c r="V11" s="137" t="s">
        <v>70</v>
      </c>
    </row>
    <row r="12" spans="2:106" ht="43.5" customHeight="1" x14ac:dyDescent="0.3">
      <c r="B12" s="14"/>
      <c r="D12" s="199" t="s">
        <v>71</v>
      </c>
      <c r="E12" s="199" t="s">
        <v>71</v>
      </c>
      <c r="L12" s="20" t="s">
        <v>72</v>
      </c>
      <c r="M12" s="20" t="s">
        <v>73</v>
      </c>
      <c r="N12" s="20" t="str">
        <f>'Inputs and eligible population'!$E$11</f>
        <v>National</v>
      </c>
      <c r="O12" s="20" t="str">
        <f>IFERROR(VLOOKUP('Inputs and eligible population'!$E$11, $L$5:$M$14, 2, FALSE), "-")</f>
        <v>NATIONAL</v>
      </c>
      <c r="P12" s="15" t="b">
        <f>ISTEXT('Inputs and eligible population'!$E$12)</f>
        <v>1</v>
      </c>
      <c r="V12" s="137" t="s">
        <v>74</v>
      </c>
    </row>
    <row r="13" spans="2:106" s="18" customFormat="1" ht="46" customHeight="1" x14ac:dyDescent="0.3">
      <c r="B13" s="200" t="s">
        <v>75</v>
      </c>
      <c r="C13" s="200" t="s">
        <v>76</v>
      </c>
      <c r="D13" s="25" t="s">
        <v>77</v>
      </c>
      <c r="E13" s="25" t="s">
        <v>78</v>
      </c>
      <c r="F13" s="200" t="s">
        <v>79</v>
      </c>
      <c r="G13" s="10"/>
      <c r="H13" s="10"/>
      <c r="I13" s="10"/>
      <c r="K13" s="10"/>
      <c r="L13" s="20" t="s">
        <v>80</v>
      </c>
      <c r="M13" s="20" t="s">
        <v>81</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75">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201"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82</v>
      </c>
      <c r="M14" s="20" t="s">
        <v>83</v>
      </c>
      <c r="N14" s="20" t="str">
        <f>'Inputs and eligible population'!$E$11</f>
        <v>National</v>
      </c>
      <c r="O14" s="20" t="str">
        <f>IFERROR(VLOOKUP('Inputs and eligible population'!$E$11, $L$5:$M$14, 2, FALSE), "-")</f>
        <v>NATIONAL</v>
      </c>
      <c r="P14" s="15" t="b">
        <f>ISTEXT('Inputs and eligible population'!$E$12)</f>
        <v>1</v>
      </c>
      <c r="V14" s="137" t="s">
        <v>84</v>
      </c>
    </row>
    <row r="15" spans="2:106" x14ac:dyDescent="0.3">
      <c r="B15" s="201"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85</v>
      </c>
    </row>
    <row r="16" spans="2:106" x14ac:dyDescent="0.3">
      <c r="B16" s="202" t="s">
        <v>86</v>
      </c>
      <c r="C16" s="203">
        <f>IF(C15&gt;0,C14,C15)</f>
        <v>57106398</v>
      </c>
      <c r="D16" s="203">
        <f>IF(D15&gt;0,D14,D15)</f>
        <v>21895402</v>
      </c>
      <c r="E16" s="203">
        <f>IF(E15&gt;0,E14,E15)</f>
        <v>23324090</v>
      </c>
      <c r="F16" s="203">
        <f>SUM(F15)</f>
        <v>45219492</v>
      </c>
      <c r="L16" s="21"/>
      <c r="M16" s="21"/>
      <c r="P16" s="365">
        <f>COUNTIF(P6:P14, TRUE)</f>
        <v>9</v>
      </c>
    </row>
    <row r="17" spans="1:194" x14ac:dyDescent="0.3">
      <c r="Q17" s="22"/>
      <c r="R17" s="22"/>
    </row>
    <row r="18" spans="1:194" ht="45.65" customHeight="1" x14ac:dyDescent="0.3">
      <c r="B18" s="89"/>
      <c r="C18" s="141"/>
      <c r="D18" s="25" t="s">
        <v>71</v>
      </c>
      <c r="E18" s="25" t="s">
        <v>71</v>
      </c>
      <c r="F18" s="89"/>
      <c r="I18" s="89"/>
      <c r="J18" s="89"/>
      <c r="K18" s="23"/>
      <c r="N18" s="23"/>
    </row>
    <row r="19" spans="1:194" ht="23.15" customHeight="1" x14ac:dyDescent="0.3">
      <c r="D19" s="204">
        <v>2</v>
      </c>
      <c r="E19" s="204">
        <v>3</v>
      </c>
      <c r="F19" s="204">
        <v>4</v>
      </c>
      <c r="G19" s="204">
        <v>5</v>
      </c>
      <c r="H19" s="204">
        <v>6</v>
      </c>
      <c r="K19" s="23"/>
    </row>
    <row r="20" spans="1:194" s="1" customFormat="1" ht="48" customHeight="1" x14ac:dyDescent="0.3">
      <c r="A20" s="122" t="s">
        <v>47</v>
      </c>
      <c r="B20" s="121" t="s">
        <v>87</v>
      </c>
      <c r="C20" s="121" t="s">
        <v>88</v>
      </c>
      <c r="D20" s="81" t="s">
        <v>89</v>
      </c>
      <c r="E20" s="81" t="s">
        <v>89</v>
      </c>
      <c r="F20" s="81" t="s">
        <v>90</v>
      </c>
      <c r="G20" s="81" t="s">
        <v>90</v>
      </c>
      <c r="H20" s="81" t="s">
        <v>90</v>
      </c>
      <c r="I20" s="121" t="s">
        <v>89</v>
      </c>
      <c r="J20" s="121" t="s">
        <v>89</v>
      </c>
      <c r="K20" s="121" t="s">
        <v>91</v>
      </c>
      <c r="L20" s="121" t="s">
        <v>91</v>
      </c>
      <c r="M20" s="123" t="s">
        <v>92</v>
      </c>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1"/>
      <c r="AM20" s="471"/>
      <c r="AN20" s="471"/>
      <c r="AO20" s="471"/>
      <c r="AP20" s="471"/>
      <c r="AQ20" s="471"/>
      <c r="AR20" s="471"/>
      <c r="AS20" s="471"/>
      <c r="AT20" s="471"/>
      <c r="AU20" s="471"/>
      <c r="AV20" s="471"/>
      <c r="AW20" s="471"/>
      <c r="AX20" s="471"/>
      <c r="AY20" s="471"/>
      <c r="AZ20" s="471"/>
      <c r="BA20" s="471"/>
      <c r="BB20" s="471"/>
      <c r="BC20" s="471"/>
      <c r="BD20" s="471"/>
      <c r="BE20" s="471"/>
      <c r="BF20" s="471"/>
      <c r="BG20" s="471"/>
      <c r="BH20" s="471"/>
      <c r="BI20" s="471"/>
      <c r="BJ20" s="471"/>
      <c r="BK20" s="471"/>
      <c r="BL20" s="471"/>
      <c r="BM20" s="471"/>
      <c r="BN20" s="471"/>
      <c r="BO20" s="471"/>
      <c r="BP20" s="471"/>
      <c r="BQ20" s="471"/>
      <c r="BR20" s="471"/>
      <c r="BS20" s="471"/>
      <c r="BT20" s="471"/>
      <c r="BU20" s="471"/>
      <c r="BV20" s="471"/>
      <c r="BW20" s="471"/>
      <c r="BX20" s="471"/>
      <c r="BY20" s="471"/>
      <c r="BZ20" s="471"/>
      <c r="CA20" s="471"/>
      <c r="CB20" s="471"/>
      <c r="CC20" s="471"/>
      <c r="CD20" s="471"/>
      <c r="CE20" s="471"/>
      <c r="CF20" s="471"/>
      <c r="CG20" s="471"/>
      <c r="CH20" s="471"/>
      <c r="CI20" s="471"/>
      <c r="CJ20" s="471"/>
      <c r="CK20" s="471"/>
      <c r="CL20" s="471"/>
      <c r="CM20" s="471"/>
      <c r="CN20" s="471"/>
      <c r="CO20" s="471"/>
      <c r="CP20" s="471"/>
      <c r="CQ20" s="471"/>
      <c r="CR20" s="471"/>
      <c r="CS20" s="471"/>
      <c r="CT20" s="471"/>
      <c r="CU20" s="471"/>
      <c r="CV20" s="471"/>
      <c r="CW20" s="471"/>
      <c r="CX20" s="471"/>
      <c r="CY20" s="124"/>
      <c r="CZ20" s="472" t="s">
        <v>93</v>
      </c>
      <c r="DA20" s="472"/>
      <c r="DB20" s="472"/>
      <c r="DC20" s="472"/>
      <c r="DD20" s="472"/>
      <c r="DE20" s="472"/>
      <c r="DF20" s="472"/>
      <c r="DG20" s="472"/>
      <c r="DH20" s="472"/>
      <c r="DI20" s="472"/>
      <c r="DJ20" s="472"/>
      <c r="DK20" s="472"/>
      <c r="DL20" s="472"/>
      <c r="DM20" s="472"/>
      <c r="DN20" s="472"/>
      <c r="DO20" s="472"/>
      <c r="DP20" s="472"/>
      <c r="DQ20" s="472"/>
      <c r="DR20" s="472"/>
      <c r="DS20" s="472"/>
      <c r="DT20" s="472"/>
      <c r="DU20" s="472"/>
      <c r="DV20" s="472"/>
      <c r="DW20" s="472"/>
      <c r="DX20" s="472"/>
      <c r="DY20" s="472"/>
      <c r="DZ20" s="472"/>
      <c r="EA20" s="472"/>
      <c r="EB20" s="472"/>
      <c r="EC20" s="472"/>
      <c r="ED20" s="472"/>
      <c r="EE20" s="472"/>
      <c r="EF20" s="472"/>
      <c r="EG20" s="472"/>
      <c r="EH20" s="472"/>
      <c r="EI20" s="472"/>
      <c r="EJ20" s="472"/>
      <c r="EK20" s="472"/>
      <c r="EL20" s="472"/>
      <c r="EM20" s="472"/>
      <c r="EN20" s="472"/>
      <c r="EO20" s="472"/>
      <c r="EP20" s="472"/>
      <c r="EQ20" s="472"/>
      <c r="ER20" s="472"/>
      <c r="ES20" s="472"/>
      <c r="ET20" s="472"/>
      <c r="EU20" s="472"/>
      <c r="EV20" s="472"/>
      <c r="EW20" s="472"/>
      <c r="EX20" s="472"/>
      <c r="EY20" s="472"/>
      <c r="EZ20" s="472"/>
      <c r="FA20" s="472"/>
      <c r="FB20" s="472"/>
      <c r="FC20" s="472"/>
      <c r="FD20" s="472"/>
      <c r="FE20" s="472"/>
      <c r="FF20" s="472"/>
      <c r="FG20" s="472"/>
      <c r="FH20" s="472"/>
      <c r="FI20" s="472"/>
      <c r="FJ20" s="472"/>
      <c r="FK20" s="472"/>
      <c r="FL20" s="472"/>
      <c r="FM20" s="472"/>
      <c r="FN20" s="472"/>
      <c r="FO20" s="472"/>
      <c r="FP20" s="472"/>
      <c r="FQ20" s="472"/>
      <c r="FR20" s="472"/>
      <c r="FS20" s="472"/>
      <c r="FT20" s="472"/>
      <c r="FU20" s="472"/>
      <c r="FV20" s="472"/>
      <c r="FW20" s="472"/>
      <c r="FX20" s="472"/>
      <c r="FY20" s="472"/>
      <c r="FZ20" s="472"/>
      <c r="GA20" s="472"/>
      <c r="GB20" s="472"/>
      <c r="GC20" s="472"/>
      <c r="GD20" s="472"/>
      <c r="GE20" s="472"/>
      <c r="GF20" s="472"/>
      <c r="GG20" s="472"/>
      <c r="GH20" s="472"/>
      <c r="GI20" s="472"/>
      <c r="GJ20" s="472"/>
      <c r="GK20" s="472"/>
      <c r="GL20" s="120"/>
    </row>
    <row r="21" spans="1:194" s="8" customFormat="1" ht="28" x14ac:dyDescent="0.3">
      <c r="A21" s="122"/>
      <c r="B21" s="121"/>
      <c r="C21" s="121"/>
      <c r="D21" s="24" t="s">
        <v>77</v>
      </c>
      <c r="E21" s="25" t="s">
        <v>78</v>
      </c>
      <c r="F21" s="81" t="s">
        <v>94</v>
      </c>
      <c r="G21" s="80" t="s">
        <v>92</v>
      </c>
      <c r="H21" s="80" t="s">
        <v>93</v>
      </c>
      <c r="I21" s="81" t="s">
        <v>92</v>
      </c>
      <c r="J21" s="80" t="s">
        <v>93</v>
      </c>
      <c r="K21" s="81" t="s">
        <v>92</v>
      </c>
      <c r="L21" s="26" t="s">
        <v>93</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95</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95</v>
      </c>
    </row>
    <row r="22" spans="1:194" s="1" customFormat="1" x14ac:dyDescent="0.3">
      <c r="A22" s="29"/>
      <c r="B22" s="71"/>
      <c r="C22" s="59"/>
      <c r="D22" s="77"/>
      <c r="E22" s="77"/>
      <c r="F22" s="473"/>
      <c r="G22" s="473"/>
      <c r="H22" s="77"/>
      <c r="I22" s="77"/>
      <c r="J22" s="77"/>
      <c r="K22" s="473"/>
      <c r="L22" s="77"/>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3"/>
      <c r="BZ22" s="473"/>
      <c r="CA22" s="473"/>
      <c r="CB22" s="473"/>
      <c r="CC22" s="473"/>
      <c r="CD22" s="473"/>
      <c r="CE22" s="473"/>
      <c r="CF22" s="473"/>
      <c r="CG22" s="473"/>
      <c r="CH22" s="473"/>
      <c r="CI22" s="473"/>
      <c r="CJ22" s="473"/>
      <c r="CK22" s="473"/>
      <c r="CL22" s="473"/>
      <c r="CM22" s="473"/>
      <c r="CN22" s="473"/>
      <c r="CO22" s="473"/>
      <c r="CP22" s="473"/>
      <c r="CQ22" s="473"/>
      <c r="CR22" s="473"/>
      <c r="CS22" s="473"/>
      <c r="CT22" s="473"/>
      <c r="CU22" s="473"/>
      <c r="CV22" s="473"/>
      <c r="CW22" s="473"/>
      <c r="CX22" s="473"/>
      <c r="CY22" s="77"/>
      <c r="CZ22" s="473"/>
      <c r="DA22" s="473"/>
      <c r="DB22" s="473"/>
      <c r="DC22" s="473"/>
      <c r="DD22" s="473"/>
      <c r="DE22" s="473"/>
      <c r="DF22" s="473"/>
      <c r="DG22" s="473"/>
      <c r="DH22" s="473"/>
      <c r="DI22" s="473"/>
      <c r="DJ22" s="473"/>
      <c r="DK22" s="473"/>
      <c r="DL22" s="473"/>
      <c r="DM22" s="473"/>
      <c r="DN22" s="473"/>
      <c r="DO22" s="473"/>
      <c r="DP22" s="473"/>
      <c r="DQ22" s="473"/>
      <c r="DR22" s="473"/>
      <c r="DS22" s="473"/>
      <c r="DT22" s="473"/>
      <c r="DU22" s="473"/>
      <c r="DV22" s="473"/>
      <c r="DW22" s="473"/>
      <c r="DX22" s="473"/>
      <c r="DY22" s="473"/>
      <c r="DZ22" s="473"/>
      <c r="EA22" s="473"/>
      <c r="EB22" s="473"/>
      <c r="EC22" s="473"/>
      <c r="ED22" s="473"/>
      <c r="EE22" s="473"/>
      <c r="EF22" s="473"/>
      <c r="EG22" s="473"/>
      <c r="EH22" s="473"/>
      <c r="EI22" s="473"/>
      <c r="EJ22" s="473"/>
      <c r="EK22" s="473"/>
      <c r="EL22" s="473"/>
      <c r="EM22" s="473"/>
      <c r="EN22" s="473"/>
      <c r="EO22" s="473"/>
      <c r="EP22" s="473"/>
      <c r="EQ22" s="473"/>
      <c r="ER22" s="473"/>
      <c r="ES22" s="473"/>
      <c r="ET22" s="473"/>
      <c r="EU22" s="473"/>
      <c r="EV22" s="473"/>
      <c r="EW22" s="473"/>
      <c r="EX22" s="473"/>
      <c r="EY22" s="473"/>
      <c r="EZ22" s="473"/>
      <c r="FA22" s="473"/>
      <c r="FB22" s="473"/>
      <c r="FC22" s="473"/>
      <c r="FD22" s="473"/>
      <c r="FE22" s="473"/>
      <c r="FF22" s="473"/>
      <c r="FG22" s="473"/>
      <c r="FH22" s="473"/>
      <c r="FI22" s="473"/>
      <c r="FJ22" s="473"/>
      <c r="FK22" s="473"/>
      <c r="FL22" s="473"/>
      <c r="FM22" s="473"/>
      <c r="FN22" s="473"/>
      <c r="FO22" s="473"/>
      <c r="FP22" s="473"/>
      <c r="FQ22" s="473"/>
      <c r="FR22" s="473"/>
      <c r="FS22" s="473"/>
      <c r="FT22" s="473"/>
      <c r="FU22" s="473"/>
      <c r="FV22" s="473"/>
      <c r="FW22" s="473"/>
      <c r="FX22" s="473"/>
      <c r="FY22" s="473"/>
      <c r="FZ22" s="473"/>
      <c r="GA22" s="473"/>
      <c r="GB22" s="473"/>
      <c r="GC22" s="473"/>
      <c r="GD22" s="473"/>
      <c r="GE22" s="473"/>
      <c r="GF22" s="473"/>
      <c r="GG22" s="473"/>
      <c r="GH22" s="473"/>
      <c r="GI22" s="473"/>
      <c r="GJ22" s="473"/>
      <c r="GK22" s="473"/>
      <c r="GL22" s="77"/>
    </row>
    <row r="23" spans="1:194" s="69" customFormat="1" ht="21.75" customHeight="1" x14ac:dyDescent="0.3">
      <c r="A23" s="64" t="s">
        <v>45</v>
      </c>
      <c r="B23" s="65" t="s">
        <v>45</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3">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3">
      <c r="A25" s="73" t="s">
        <v>55</v>
      </c>
      <c r="B25" s="505" t="s">
        <v>96</v>
      </c>
      <c r="C25" s="74" t="s">
        <v>97</v>
      </c>
      <c r="D25" s="76">
        <f t="shared" ref="D25:E27" si="3">I25</f>
        <v>21895402</v>
      </c>
      <c r="E25" s="76">
        <f t="shared" si="3"/>
        <v>23324090</v>
      </c>
      <c r="F25" s="474">
        <f>G25+H25</f>
        <v>57106398</v>
      </c>
      <c r="G25" s="474">
        <f>SUM(M25:CY25)</f>
        <v>27983290</v>
      </c>
      <c r="H25" s="75">
        <f>SUM(CZ25:GL25)</f>
        <v>29123108</v>
      </c>
      <c r="I25" s="75">
        <f>SUM(AE25:CY25)</f>
        <v>21895402</v>
      </c>
      <c r="J25" s="75">
        <f>SUM(DR25:GL25)</f>
        <v>23324090</v>
      </c>
      <c r="K25" s="475">
        <f>SUM(M25:AD25)</f>
        <v>6087888</v>
      </c>
      <c r="L25" s="76">
        <f>SUM(CZ25:DQ25)</f>
        <v>5799018</v>
      </c>
      <c r="M25" s="474">
        <v>305120</v>
      </c>
      <c r="N25" s="474">
        <v>303019</v>
      </c>
      <c r="O25" s="474">
        <v>314737</v>
      </c>
      <c r="P25" s="474">
        <v>321299</v>
      </c>
      <c r="Q25" s="474">
        <v>325230</v>
      </c>
      <c r="R25" s="474">
        <v>333023</v>
      </c>
      <c r="S25" s="474">
        <v>343154</v>
      </c>
      <c r="T25" s="474">
        <v>339729</v>
      </c>
      <c r="U25" s="474">
        <v>341966</v>
      </c>
      <c r="V25" s="474">
        <v>351482</v>
      </c>
      <c r="W25" s="474">
        <v>360539</v>
      </c>
      <c r="X25" s="474">
        <v>361688</v>
      </c>
      <c r="Y25" s="474">
        <v>356777</v>
      </c>
      <c r="Z25" s="474">
        <v>354079</v>
      </c>
      <c r="AA25" s="474">
        <v>357199</v>
      </c>
      <c r="AB25" s="474">
        <v>344190</v>
      </c>
      <c r="AC25" s="474">
        <v>336612</v>
      </c>
      <c r="AD25" s="474">
        <v>338045</v>
      </c>
      <c r="AE25" s="474">
        <v>339142</v>
      </c>
      <c r="AF25" s="474">
        <v>339234</v>
      </c>
      <c r="AG25" s="474">
        <v>338398</v>
      </c>
      <c r="AH25" s="474">
        <v>338465</v>
      </c>
      <c r="AI25" s="474">
        <v>345338</v>
      </c>
      <c r="AJ25" s="474">
        <v>358287</v>
      </c>
      <c r="AK25" s="474">
        <v>360304</v>
      </c>
      <c r="AL25" s="474">
        <v>365799</v>
      </c>
      <c r="AM25" s="474">
        <v>360324</v>
      </c>
      <c r="AN25" s="474">
        <v>364086</v>
      </c>
      <c r="AO25" s="474">
        <v>372653</v>
      </c>
      <c r="AP25" s="474">
        <v>372807</v>
      </c>
      <c r="AQ25" s="474">
        <v>383710</v>
      </c>
      <c r="AR25" s="474">
        <v>389563</v>
      </c>
      <c r="AS25" s="474">
        <v>387640</v>
      </c>
      <c r="AT25" s="474">
        <v>384620</v>
      </c>
      <c r="AU25" s="474">
        <v>387905</v>
      </c>
      <c r="AV25" s="474">
        <v>378829</v>
      </c>
      <c r="AW25" s="474">
        <v>378199</v>
      </c>
      <c r="AX25" s="474">
        <v>377186</v>
      </c>
      <c r="AY25" s="474">
        <v>365502</v>
      </c>
      <c r="AZ25" s="474">
        <v>366111</v>
      </c>
      <c r="BA25" s="474">
        <v>365728</v>
      </c>
      <c r="BB25" s="474">
        <v>369097</v>
      </c>
      <c r="BC25" s="474">
        <v>371802</v>
      </c>
      <c r="BD25" s="474">
        <v>357560</v>
      </c>
      <c r="BE25" s="474">
        <v>334069</v>
      </c>
      <c r="BF25" s="474">
        <v>328458</v>
      </c>
      <c r="BG25" s="474">
        <v>335746</v>
      </c>
      <c r="BH25" s="474">
        <v>342585</v>
      </c>
      <c r="BI25" s="474">
        <v>346685</v>
      </c>
      <c r="BJ25" s="474">
        <v>360442</v>
      </c>
      <c r="BK25" s="474">
        <v>373390</v>
      </c>
      <c r="BL25" s="474">
        <v>385375</v>
      </c>
      <c r="BM25" s="474">
        <v>375807</v>
      </c>
      <c r="BN25" s="474">
        <v>383988</v>
      </c>
      <c r="BO25" s="474">
        <v>382566</v>
      </c>
      <c r="BP25" s="474">
        <v>385629</v>
      </c>
      <c r="BQ25" s="474">
        <v>381742</v>
      </c>
      <c r="BR25" s="474">
        <v>381998</v>
      </c>
      <c r="BS25" s="474">
        <v>376164</v>
      </c>
      <c r="BT25" s="474">
        <v>367036</v>
      </c>
      <c r="BU25" s="474">
        <v>357672</v>
      </c>
      <c r="BV25" s="474">
        <v>344928</v>
      </c>
      <c r="BW25" s="474">
        <v>329857</v>
      </c>
      <c r="BX25" s="474">
        <v>319451</v>
      </c>
      <c r="BY25" s="474">
        <v>309724</v>
      </c>
      <c r="BZ25" s="474">
        <v>294558</v>
      </c>
      <c r="CA25" s="474">
        <v>282293</v>
      </c>
      <c r="CB25" s="474">
        <v>268536</v>
      </c>
      <c r="CC25" s="474">
        <v>266443</v>
      </c>
      <c r="CD25" s="474">
        <v>260410</v>
      </c>
      <c r="CE25" s="474">
        <v>249450</v>
      </c>
      <c r="CF25" s="474">
        <v>249080</v>
      </c>
      <c r="CG25" s="474">
        <v>249070</v>
      </c>
      <c r="CH25" s="474">
        <v>252982</v>
      </c>
      <c r="CI25" s="474">
        <v>263625</v>
      </c>
      <c r="CJ25" s="474">
        <v>283090</v>
      </c>
      <c r="CK25" s="474">
        <v>211587</v>
      </c>
      <c r="CL25" s="474">
        <v>200401</v>
      </c>
      <c r="CM25" s="474">
        <v>195036</v>
      </c>
      <c r="CN25" s="474">
        <v>174093</v>
      </c>
      <c r="CO25" s="474">
        <v>149572</v>
      </c>
      <c r="CP25" s="474">
        <v>127665</v>
      </c>
      <c r="CQ25" s="474">
        <v>127183</v>
      </c>
      <c r="CR25" s="474">
        <v>120061</v>
      </c>
      <c r="CS25" s="474">
        <v>109873</v>
      </c>
      <c r="CT25" s="474">
        <v>97456</v>
      </c>
      <c r="CU25" s="474">
        <v>84705</v>
      </c>
      <c r="CV25" s="474">
        <v>73428</v>
      </c>
      <c r="CW25" s="474">
        <v>60864</v>
      </c>
      <c r="CX25" s="474">
        <v>51376</v>
      </c>
      <c r="CY25" s="474">
        <v>170964</v>
      </c>
      <c r="CZ25" s="474">
        <v>291186</v>
      </c>
      <c r="DA25" s="474">
        <v>289546</v>
      </c>
      <c r="DB25" s="474">
        <v>300800</v>
      </c>
      <c r="DC25" s="474">
        <v>305906</v>
      </c>
      <c r="DD25" s="474">
        <v>310539</v>
      </c>
      <c r="DE25" s="474">
        <v>318263</v>
      </c>
      <c r="DF25" s="474">
        <v>326932</v>
      </c>
      <c r="DG25" s="474">
        <v>324633</v>
      </c>
      <c r="DH25" s="474">
        <v>326780</v>
      </c>
      <c r="DI25" s="474">
        <v>334543</v>
      </c>
      <c r="DJ25" s="474">
        <v>344341</v>
      </c>
      <c r="DK25" s="474">
        <v>343967</v>
      </c>
      <c r="DL25" s="474">
        <v>339949</v>
      </c>
      <c r="DM25" s="474">
        <v>337345</v>
      </c>
      <c r="DN25" s="474">
        <v>340474</v>
      </c>
      <c r="DO25" s="474">
        <v>326885</v>
      </c>
      <c r="DP25" s="474">
        <v>319023</v>
      </c>
      <c r="DQ25" s="474">
        <v>317906</v>
      </c>
      <c r="DR25" s="474">
        <v>318297</v>
      </c>
      <c r="DS25" s="474">
        <v>319325</v>
      </c>
      <c r="DT25" s="474">
        <v>325075</v>
      </c>
      <c r="DU25" s="474">
        <v>327194</v>
      </c>
      <c r="DV25" s="474">
        <v>333614</v>
      </c>
      <c r="DW25" s="474">
        <v>350669</v>
      </c>
      <c r="DX25" s="474">
        <v>358581</v>
      </c>
      <c r="DY25" s="474">
        <v>367839</v>
      </c>
      <c r="DZ25" s="474">
        <v>363988</v>
      </c>
      <c r="EA25" s="474">
        <v>374022</v>
      </c>
      <c r="EB25" s="474">
        <v>387522</v>
      </c>
      <c r="EC25" s="474">
        <v>390671</v>
      </c>
      <c r="ED25" s="474">
        <v>404331</v>
      </c>
      <c r="EE25" s="474">
        <v>410921</v>
      </c>
      <c r="EF25" s="474">
        <v>413176</v>
      </c>
      <c r="EG25" s="474">
        <v>411450</v>
      </c>
      <c r="EH25" s="474">
        <v>417983</v>
      </c>
      <c r="EI25" s="474">
        <v>409203</v>
      </c>
      <c r="EJ25" s="474">
        <v>404000</v>
      </c>
      <c r="EK25" s="474">
        <v>401928</v>
      </c>
      <c r="EL25" s="474">
        <v>389436</v>
      </c>
      <c r="EM25" s="474">
        <v>389518</v>
      </c>
      <c r="EN25" s="474">
        <v>386124</v>
      </c>
      <c r="EO25" s="474">
        <v>390735</v>
      </c>
      <c r="EP25" s="474">
        <v>390956</v>
      </c>
      <c r="EQ25" s="474">
        <v>373536</v>
      </c>
      <c r="ER25" s="474">
        <v>346385</v>
      </c>
      <c r="ES25" s="474">
        <v>339293</v>
      </c>
      <c r="ET25" s="474">
        <v>345871</v>
      </c>
      <c r="EU25" s="474">
        <v>353016</v>
      </c>
      <c r="EV25" s="474">
        <v>356906</v>
      </c>
      <c r="EW25" s="474">
        <v>370244</v>
      </c>
      <c r="EX25" s="474">
        <v>384214</v>
      </c>
      <c r="EY25" s="474">
        <v>399644</v>
      </c>
      <c r="EZ25" s="474">
        <v>389031</v>
      </c>
      <c r="FA25" s="474">
        <v>397139</v>
      </c>
      <c r="FB25" s="474">
        <v>395547</v>
      </c>
      <c r="FC25" s="474">
        <v>396676</v>
      </c>
      <c r="FD25" s="474">
        <v>396578</v>
      </c>
      <c r="FE25" s="474">
        <v>396708</v>
      </c>
      <c r="FF25" s="474">
        <v>390539</v>
      </c>
      <c r="FG25" s="474">
        <v>380695</v>
      </c>
      <c r="FH25" s="474">
        <v>371143</v>
      </c>
      <c r="FI25" s="474">
        <v>355407</v>
      </c>
      <c r="FJ25" s="474">
        <v>340408</v>
      </c>
      <c r="FK25" s="474">
        <v>331322</v>
      </c>
      <c r="FL25" s="474">
        <v>321164</v>
      </c>
      <c r="FM25" s="474">
        <v>308551</v>
      </c>
      <c r="FN25" s="474">
        <v>295719</v>
      </c>
      <c r="FO25" s="474">
        <v>284931</v>
      </c>
      <c r="FP25" s="474">
        <v>285437</v>
      </c>
      <c r="FQ25" s="474">
        <v>278929</v>
      </c>
      <c r="FR25" s="474">
        <v>271460</v>
      </c>
      <c r="FS25" s="474">
        <v>271487</v>
      </c>
      <c r="FT25" s="474">
        <v>275610</v>
      </c>
      <c r="FU25" s="474">
        <v>280129</v>
      </c>
      <c r="FV25" s="474">
        <v>294843</v>
      </c>
      <c r="FW25" s="474">
        <v>316380</v>
      </c>
      <c r="FX25" s="474">
        <v>240292</v>
      </c>
      <c r="FY25" s="474">
        <v>230370</v>
      </c>
      <c r="FZ25" s="474">
        <v>225985</v>
      </c>
      <c r="GA25" s="474">
        <v>206546</v>
      </c>
      <c r="GB25" s="474">
        <v>181398</v>
      </c>
      <c r="GC25" s="474">
        <v>159103</v>
      </c>
      <c r="GD25" s="474">
        <v>161482</v>
      </c>
      <c r="GE25" s="474">
        <v>155577</v>
      </c>
      <c r="GF25" s="474">
        <v>145759</v>
      </c>
      <c r="GG25" s="474">
        <v>132931</v>
      </c>
      <c r="GH25" s="474">
        <v>120255</v>
      </c>
      <c r="GI25" s="474">
        <v>107758</v>
      </c>
      <c r="GJ25" s="474">
        <v>93505</v>
      </c>
      <c r="GK25" s="474">
        <v>82264</v>
      </c>
      <c r="GL25" s="474">
        <v>349365</v>
      </c>
    </row>
    <row r="26" spans="1:194" s="8" customFormat="1" x14ac:dyDescent="0.3">
      <c r="A26" s="31" t="s">
        <v>55</v>
      </c>
      <c r="B26" s="506" t="s">
        <v>98</v>
      </c>
      <c r="C26" s="32" t="s">
        <v>99</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x14ac:dyDescent="0.3">
      <c r="A27" s="37" t="s">
        <v>55</v>
      </c>
      <c r="B27" s="507" t="s">
        <v>100</v>
      </c>
      <c r="C27" s="38" t="s">
        <v>101</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3">
      <c r="A28" s="43"/>
      <c r="B28" s="508"/>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3">
      <c r="A29" s="82" t="s">
        <v>82</v>
      </c>
      <c r="B29" s="509" t="s">
        <v>102</v>
      </c>
      <c r="C29" s="71" t="str">
        <f t="shared" ref="C29:C92" si="4">CONCATENATE(A29," - ",B29)</f>
        <v xml:space="preserve">England – CCGs - Barnsley </v>
      </c>
      <c r="D29" s="60">
        <f>I29</f>
        <v>95316</v>
      </c>
      <c r="E29" s="60">
        <f>J29</f>
        <v>100485</v>
      </c>
      <c r="F29" s="476">
        <f>G29+H29</f>
        <v>246482</v>
      </c>
      <c r="G29" s="476">
        <f>SUM(M29:CY29)</f>
        <v>121223</v>
      </c>
      <c r="H29" s="61">
        <f>SUM(CZ29:GL29)</f>
        <v>125259</v>
      </c>
      <c r="I29" s="61">
        <f>SUM(AE29:CY29)</f>
        <v>95316</v>
      </c>
      <c r="J29" s="61">
        <f>SUM(DR29:GL29)</f>
        <v>100485</v>
      </c>
      <c r="K29" s="477">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3">
      <c r="A30" s="86" t="s">
        <v>82</v>
      </c>
      <c r="B30" s="509" t="s">
        <v>103</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3">
      <c r="A31" s="86" t="s">
        <v>82</v>
      </c>
      <c r="B31" s="509" t="s">
        <v>104</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3">
      <c r="A32" s="86" t="s">
        <v>82</v>
      </c>
      <c r="B32" s="509" t="s">
        <v>105</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3">
      <c r="A33" s="86" t="s">
        <v>82</v>
      </c>
      <c r="B33" s="509" t="s">
        <v>106</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3">
      <c r="A34" s="86" t="s">
        <v>82</v>
      </c>
      <c r="B34" s="509" t="s">
        <v>107</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3">
      <c r="A35" s="86" t="s">
        <v>82</v>
      </c>
      <c r="B35" s="509" t="s">
        <v>108</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3">
      <c r="A36" s="86" t="s">
        <v>82</v>
      </c>
      <c r="B36" s="509" t="s">
        <v>109</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3">
      <c r="A37" s="86" t="s">
        <v>82</v>
      </c>
      <c r="B37" s="509" t="s">
        <v>110</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3">
      <c r="A38" s="86" t="s">
        <v>82</v>
      </c>
      <c r="B38" s="509" t="s">
        <v>111</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3">
      <c r="A39" s="86" t="s">
        <v>82</v>
      </c>
      <c r="B39" s="509" t="s">
        <v>112</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3">
      <c r="A40" s="86" t="s">
        <v>82</v>
      </c>
      <c r="B40" s="509" t="s">
        <v>113</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3">
      <c r="A41" s="86" t="s">
        <v>82</v>
      </c>
      <c r="B41" s="509" t="s">
        <v>114</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3">
      <c r="A42" s="86" t="s">
        <v>82</v>
      </c>
      <c r="B42" s="509" t="s">
        <v>115</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3">
      <c r="A43" s="86" t="s">
        <v>82</v>
      </c>
      <c r="B43" s="509" t="s">
        <v>116</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3">
      <c r="A44" s="86" t="s">
        <v>82</v>
      </c>
      <c r="B44" s="509" t="s">
        <v>117</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3">
      <c r="A45" s="86" t="s">
        <v>82</v>
      </c>
      <c r="B45" s="509" t="s">
        <v>118</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3">
      <c r="A46" s="86" t="s">
        <v>82</v>
      </c>
      <c r="B46" s="509" t="s">
        <v>119</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3">
      <c r="A47" s="86" t="s">
        <v>82</v>
      </c>
      <c r="B47" s="509" t="s">
        <v>120</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3">
      <c r="A48" s="86" t="s">
        <v>82</v>
      </c>
      <c r="B48" s="509" t="s">
        <v>121</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3">
      <c r="A49" s="86" t="s">
        <v>82</v>
      </c>
      <c r="B49" s="509" t="s">
        <v>122</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3">
      <c r="A50" s="86" t="s">
        <v>82</v>
      </c>
      <c r="B50" s="509" t="s">
        <v>123</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3">
      <c r="A51" s="86" t="s">
        <v>82</v>
      </c>
      <c r="B51" s="509" t="s">
        <v>124</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3">
      <c r="A52" s="86" t="s">
        <v>82</v>
      </c>
      <c r="B52" s="509" t="s">
        <v>125</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3">
      <c r="A53" s="86" t="s">
        <v>82</v>
      </c>
      <c r="B53" s="509" t="s">
        <v>126</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3">
      <c r="A54" s="86" t="s">
        <v>82</v>
      </c>
      <c r="B54" s="509" t="s">
        <v>127</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3">
      <c r="A55" s="86" t="s">
        <v>82</v>
      </c>
      <c r="B55" s="509" t="s">
        <v>128</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3">
      <c r="A56" s="86" t="s">
        <v>82</v>
      </c>
      <c r="B56" s="509" t="s">
        <v>129</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3">
      <c r="A57" s="86" t="s">
        <v>82</v>
      </c>
      <c r="B57" s="509" t="s">
        <v>130</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3">
      <c r="A58" s="86" t="s">
        <v>82</v>
      </c>
      <c r="B58" s="509" t="s">
        <v>131</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3">
      <c r="A59" s="86" t="s">
        <v>82</v>
      </c>
      <c r="B59" s="509" t="s">
        <v>132</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3">
      <c r="A60" s="86" t="s">
        <v>82</v>
      </c>
      <c r="B60" s="509" t="s">
        <v>133</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3">
      <c r="A61" s="86" t="s">
        <v>82</v>
      </c>
      <c r="B61" s="509" t="s">
        <v>134</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3">
      <c r="A62" s="86" t="s">
        <v>82</v>
      </c>
      <c r="B62" s="509" t="s">
        <v>135</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3">
      <c r="A63" s="86" t="s">
        <v>82</v>
      </c>
      <c r="B63" s="509" t="s">
        <v>136</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3">
      <c r="A64" s="86" t="s">
        <v>82</v>
      </c>
      <c r="B64" s="509" t="s">
        <v>137</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3">
      <c r="A65" s="86" t="s">
        <v>82</v>
      </c>
      <c r="B65" s="509" t="s">
        <v>138</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3">
      <c r="A66" s="86" t="s">
        <v>82</v>
      </c>
      <c r="B66" s="509" t="s">
        <v>139</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3">
      <c r="A67" s="86" t="s">
        <v>82</v>
      </c>
      <c r="B67" s="509" t="s">
        <v>140</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3">
      <c r="A68" s="86" t="s">
        <v>82</v>
      </c>
      <c r="B68" s="509" t="s">
        <v>141</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3">
      <c r="A69" s="86" t="s">
        <v>82</v>
      </c>
      <c r="B69" s="509" t="s">
        <v>142</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3">
      <c r="A70" s="86" t="s">
        <v>82</v>
      </c>
      <c r="B70" s="509" t="s">
        <v>143</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3">
      <c r="A71" s="86" t="s">
        <v>82</v>
      </c>
      <c r="B71" s="509" t="s">
        <v>144</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3">
      <c r="A72" s="86" t="s">
        <v>82</v>
      </c>
      <c r="B72" s="509" t="s">
        <v>145</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3">
      <c r="A73" s="86" t="s">
        <v>82</v>
      </c>
      <c r="B73" s="509" t="s">
        <v>146</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3">
      <c r="A74" s="86" t="s">
        <v>82</v>
      </c>
      <c r="B74" s="509" t="s">
        <v>147</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3">
      <c r="A75" s="86" t="s">
        <v>82</v>
      </c>
      <c r="B75" s="509" t="s">
        <v>148</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3">
      <c r="A76" s="86" t="s">
        <v>82</v>
      </c>
      <c r="B76" s="509" t="s">
        <v>149</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3">
      <c r="A77" s="86" t="s">
        <v>82</v>
      </c>
      <c r="B77" s="509" t="s">
        <v>150</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3">
      <c r="A78" s="86" t="s">
        <v>82</v>
      </c>
      <c r="B78" s="509" t="s">
        <v>151</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3">
      <c r="A79" s="86" t="s">
        <v>82</v>
      </c>
      <c r="B79" s="509" t="s">
        <v>152</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3">
      <c r="A80" s="86" t="s">
        <v>82</v>
      </c>
      <c r="B80" s="509" t="s">
        <v>153</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3">
      <c r="A81" s="86" t="s">
        <v>82</v>
      </c>
      <c r="B81" s="509" t="s">
        <v>154</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3">
      <c r="A82" s="86" t="s">
        <v>82</v>
      </c>
      <c r="B82" s="509" t="s">
        <v>155</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3">
      <c r="A83" s="86" t="s">
        <v>82</v>
      </c>
      <c r="B83" s="509" t="s">
        <v>156</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3">
      <c r="A84" s="86" t="s">
        <v>82</v>
      </c>
      <c r="B84" s="509" t="s">
        <v>157</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3">
      <c r="A85" s="86" t="s">
        <v>82</v>
      </c>
      <c r="B85" s="509" t="s">
        <v>158</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3">
      <c r="A86" s="86" t="s">
        <v>82</v>
      </c>
      <c r="B86" s="509" t="s">
        <v>159</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3">
      <c r="A87" s="86" t="s">
        <v>82</v>
      </c>
      <c r="B87" s="509" t="s">
        <v>160</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3">
      <c r="A88" s="86" t="s">
        <v>82</v>
      </c>
      <c r="B88" s="509" t="s">
        <v>161</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3">
      <c r="A89" s="86" t="s">
        <v>82</v>
      </c>
      <c r="B89" s="509" t="s">
        <v>162</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3">
      <c r="A90" s="86" t="s">
        <v>82</v>
      </c>
      <c r="B90" s="509" t="s">
        <v>163</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3">
      <c r="A91" s="86" t="s">
        <v>82</v>
      </c>
      <c r="B91" s="509" t="s">
        <v>164</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3">
      <c r="A92" s="86" t="s">
        <v>82</v>
      </c>
      <c r="B92" s="509" t="s">
        <v>165</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3">
      <c r="A93" s="86" t="s">
        <v>82</v>
      </c>
      <c r="B93" s="509" t="s">
        <v>166</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3">
      <c r="A94" s="86" t="s">
        <v>82</v>
      </c>
      <c r="B94" s="509" t="s">
        <v>167</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3">
      <c r="A95" s="86" t="s">
        <v>82</v>
      </c>
      <c r="B95" s="509" t="s">
        <v>168</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3">
      <c r="A96" s="86" t="s">
        <v>82</v>
      </c>
      <c r="B96" s="509" t="s">
        <v>169</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3">
      <c r="A97" s="86" t="s">
        <v>82</v>
      </c>
      <c r="B97" s="509" t="s">
        <v>170</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3">
      <c r="A98" s="86" t="s">
        <v>82</v>
      </c>
      <c r="B98" s="509" t="s">
        <v>171</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3">
      <c r="A99" s="86" t="s">
        <v>82</v>
      </c>
      <c r="B99" s="509" t="s">
        <v>172</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3">
      <c r="A100" s="86" t="s">
        <v>82</v>
      </c>
      <c r="B100" s="509" t="s">
        <v>173</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3">
      <c r="A101" s="86" t="s">
        <v>82</v>
      </c>
      <c r="B101" s="509" t="s">
        <v>174</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3">
      <c r="A102" s="86" t="s">
        <v>82</v>
      </c>
      <c r="B102" s="509" t="s">
        <v>175</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3">
      <c r="A103" s="86" t="s">
        <v>82</v>
      </c>
      <c r="B103" s="509" t="s">
        <v>176</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3">
      <c r="A104" s="86" t="s">
        <v>82</v>
      </c>
      <c r="B104" s="509" t="s">
        <v>177</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3">
      <c r="A105" s="86" t="s">
        <v>82</v>
      </c>
      <c r="B105" s="509" t="s">
        <v>178</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3">
      <c r="A106" s="86" t="s">
        <v>82</v>
      </c>
      <c r="B106" s="509" t="s">
        <v>179</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3">
      <c r="A107" s="86" t="s">
        <v>82</v>
      </c>
      <c r="B107" s="509" t="s">
        <v>180</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3">
      <c r="A108" s="86" t="s">
        <v>82</v>
      </c>
      <c r="B108" s="509" t="s">
        <v>181</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3">
      <c r="A109" s="86" t="s">
        <v>82</v>
      </c>
      <c r="B109" s="509" t="s">
        <v>182</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3">
      <c r="A110" s="86" t="s">
        <v>82</v>
      </c>
      <c r="B110" s="509" t="s">
        <v>183</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3">
      <c r="A111" s="86" t="s">
        <v>82</v>
      </c>
      <c r="B111" s="509" t="s">
        <v>184</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3">
      <c r="A112" s="86" t="s">
        <v>82</v>
      </c>
      <c r="B112" s="509" t="s">
        <v>185</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3">
      <c r="A113" s="86" t="s">
        <v>82</v>
      </c>
      <c r="B113" s="509" t="s">
        <v>186</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3">
      <c r="A114" s="86" t="s">
        <v>82</v>
      </c>
      <c r="B114" s="509" t="s">
        <v>187</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3">
      <c r="A115" s="86" t="s">
        <v>82</v>
      </c>
      <c r="B115" s="509" t="s">
        <v>188</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3">
      <c r="A116" s="86" t="s">
        <v>82</v>
      </c>
      <c r="B116" s="509" t="s">
        <v>189</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3">
      <c r="A117" s="86" t="s">
        <v>82</v>
      </c>
      <c r="B117" s="509" t="s">
        <v>190</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3">
      <c r="A118" s="86" t="s">
        <v>82</v>
      </c>
      <c r="B118" s="509" t="s">
        <v>191</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3">
      <c r="A119" s="86" t="s">
        <v>82</v>
      </c>
      <c r="B119" s="509" t="s">
        <v>192</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3">
      <c r="A120" s="86" t="s">
        <v>82</v>
      </c>
      <c r="B120" s="509" t="s">
        <v>193</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3">
      <c r="A121" s="86" t="s">
        <v>82</v>
      </c>
      <c r="B121" s="509" t="s">
        <v>194</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3">
      <c r="A122" s="86" t="s">
        <v>82</v>
      </c>
      <c r="B122" s="509" t="s">
        <v>195</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3">
      <c r="A123" s="86" t="s">
        <v>82</v>
      </c>
      <c r="B123" s="509" t="s">
        <v>196</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3">
      <c r="A124" s="86" t="s">
        <v>82</v>
      </c>
      <c r="B124" s="509" t="s">
        <v>197</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3">
      <c r="A125" s="86" t="s">
        <v>82</v>
      </c>
      <c r="B125" s="509" t="s">
        <v>198</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3">
      <c r="A126" s="86" t="s">
        <v>82</v>
      </c>
      <c r="B126" s="509" t="s">
        <v>199</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3">
      <c r="A127" s="86" t="s">
        <v>82</v>
      </c>
      <c r="B127" s="509" t="s">
        <v>200</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3">
      <c r="A128" s="86" t="s">
        <v>82</v>
      </c>
      <c r="B128" s="509" t="s">
        <v>201</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3">
      <c r="A129" s="86" t="s">
        <v>82</v>
      </c>
      <c r="B129" s="509" t="s">
        <v>202</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3">
      <c r="A130" s="86" t="s">
        <v>82</v>
      </c>
      <c r="B130" s="509" t="s">
        <v>203</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3">
      <c r="A131" s="86" t="s">
        <v>82</v>
      </c>
      <c r="B131" s="509" t="s">
        <v>204</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3">
      <c r="A132" s="86" t="s">
        <v>82</v>
      </c>
      <c r="B132" s="509" t="s">
        <v>205</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3">
      <c r="A133" s="86" t="s">
        <v>82</v>
      </c>
      <c r="B133" s="509" t="s">
        <v>206</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3">
      <c r="A134" s="86" t="s">
        <v>82</v>
      </c>
      <c r="B134" s="509" t="s">
        <v>207</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x14ac:dyDescent="0.3">
      <c r="A135" s="111"/>
      <c r="B135" s="510"/>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3">
      <c r="A136" s="53" t="s">
        <v>61</v>
      </c>
      <c r="B136" s="511" t="s">
        <v>208</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3">
      <c r="A137" s="53" t="s">
        <v>61</v>
      </c>
      <c r="B137" s="512" t="s">
        <v>209</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3">
      <c r="A138" s="53" t="s">
        <v>61</v>
      </c>
      <c r="B138" s="512" t="s">
        <v>210</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3">
      <c r="A139" s="53" t="s">
        <v>61</v>
      </c>
      <c r="B139" s="512" t="s">
        <v>211</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3">
      <c r="A140" s="53" t="s">
        <v>61</v>
      </c>
      <c r="B140" s="512" t="s">
        <v>212</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3">
      <c r="A141" s="53" t="s">
        <v>61</v>
      </c>
      <c r="B141" s="512" t="s">
        <v>213</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3">
      <c r="A142" s="54" t="s">
        <v>61</v>
      </c>
      <c r="B142" s="513" t="s">
        <v>214</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x14ac:dyDescent="0.3">
      <c r="A143" s="115"/>
      <c r="B143" s="514"/>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3">
      <c r="A144" s="58" t="s">
        <v>64</v>
      </c>
      <c r="B144" s="511" t="s">
        <v>215</v>
      </c>
      <c r="C144" s="71" t="str">
        <f>CONCATENATE(A144," - ",B144)</f>
        <v>NI – Health and Social Care Trusts - Belfast Health and Social Care Trust</v>
      </c>
      <c r="D144" s="60">
        <f t="shared" ref="D144:E148" si="33">I144</f>
        <v>138553.97738288154</v>
      </c>
      <c r="E144" s="60">
        <f t="shared" si="33"/>
        <v>149546.65719477332</v>
      </c>
      <c r="F144" s="476">
        <f>G144+H144</f>
        <v>364103.61922965694</v>
      </c>
      <c r="G144" s="476">
        <f>SUM(M144:CY144)</f>
        <v>177508.17393508262</v>
      </c>
      <c r="H144" s="61">
        <f>SUM(CZ144:GL144)</f>
        <v>186595.44529457431</v>
      </c>
      <c r="I144" s="61">
        <f>SUM(AE144:CY144)</f>
        <v>138553.97738288154</v>
      </c>
      <c r="J144" s="61">
        <f>SUM(DR144:GL144)</f>
        <v>149546.65719477332</v>
      </c>
      <c r="K144" s="477">
        <f>SUM(M144:AD144)</f>
        <v>38954.196552201036</v>
      </c>
      <c r="L144" s="60">
        <f>SUM(CZ144:DQ144)</f>
        <v>37048.788099800979</v>
      </c>
      <c r="M144" s="477">
        <v>2017.8952120383037</v>
      </c>
      <c r="N144" s="477">
        <v>2031.4154300095463</v>
      </c>
      <c r="O144" s="477">
        <v>2025.5722779004586</v>
      </c>
      <c r="P144" s="477">
        <v>2036.6363244919048</v>
      </c>
      <c r="Q144" s="477">
        <v>2174.8657606103957</v>
      </c>
      <c r="R144" s="477">
        <v>2139.1275684252282</v>
      </c>
      <c r="S144" s="477">
        <v>2269.8788621098379</v>
      </c>
      <c r="T144" s="477">
        <v>2199.8731034482757</v>
      </c>
      <c r="U144" s="477">
        <v>2214.1918960244648</v>
      </c>
      <c r="V144" s="477">
        <v>2323.0202012443356</v>
      </c>
      <c r="W144" s="477">
        <v>2319.2258355916892</v>
      </c>
      <c r="X144" s="477">
        <v>2302.9974595842955</v>
      </c>
      <c r="Y144" s="477">
        <v>2256.5049293083684</v>
      </c>
      <c r="Z144" s="477">
        <v>2212.0418107754977</v>
      </c>
      <c r="AA144" s="477">
        <v>2229.1199141767324</v>
      </c>
      <c r="AB144" s="477">
        <v>2134.8894582108355</v>
      </c>
      <c r="AC144" s="477">
        <v>2012.6591474539725</v>
      </c>
      <c r="AD144" s="477">
        <v>2054.2813607968933</v>
      </c>
      <c r="AE144" s="477">
        <v>2265.0450211864404</v>
      </c>
      <c r="AF144" s="477">
        <v>2804.7232134687529</v>
      </c>
      <c r="AG144" s="477">
        <v>2878.6458486407055</v>
      </c>
      <c r="AH144" s="477">
        <v>2648.2416475163518</v>
      </c>
      <c r="AI144" s="477">
        <v>2812.8031562871206</v>
      </c>
      <c r="AJ144" s="477">
        <v>2819.1729711141679</v>
      </c>
      <c r="AK144" s="477">
        <v>2731.7522704339053</v>
      </c>
      <c r="AL144" s="477">
        <v>2754.8174718956493</v>
      </c>
      <c r="AM144" s="477">
        <v>2792.2450211225105</v>
      </c>
      <c r="AN144" s="477">
        <v>2709.9772329246935</v>
      </c>
      <c r="AO144" s="477">
        <v>2693.0545391183132</v>
      </c>
      <c r="AP144" s="477">
        <v>2739.741847362131</v>
      </c>
      <c r="AQ144" s="477">
        <v>2738.9105892047796</v>
      </c>
      <c r="AR144" s="477">
        <v>2711.0666008067833</v>
      </c>
      <c r="AS144" s="477">
        <v>2782.8070289619263</v>
      </c>
      <c r="AT144" s="477">
        <v>2691.3420944220152</v>
      </c>
      <c r="AU144" s="477">
        <v>2575.2371291098634</v>
      </c>
      <c r="AV144" s="477">
        <v>2616.3572226656024</v>
      </c>
      <c r="AW144" s="477">
        <v>2585.9089460686691</v>
      </c>
      <c r="AX144" s="477">
        <v>2533.264568094025</v>
      </c>
      <c r="AY144" s="477">
        <v>2413.1614349775782</v>
      </c>
      <c r="AZ144" s="477">
        <v>2431.4496314496314</v>
      </c>
      <c r="BA144" s="477">
        <v>2293.8903732491299</v>
      </c>
      <c r="BB144" s="477">
        <v>2344.819097470061</v>
      </c>
      <c r="BC144" s="477">
        <v>2403.7633319021038</v>
      </c>
      <c r="BD144" s="477">
        <v>2239.8626248466794</v>
      </c>
      <c r="BE144" s="477">
        <v>2047.4737312365976</v>
      </c>
      <c r="BF144" s="477">
        <v>2052.8353243075835</v>
      </c>
      <c r="BG144" s="477">
        <v>1984.3233076189651</v>
      </c>
      <c r="BH144" s="477">
        <v>1967.3126347206103</v>
      </c>
      <c r="BI144" s="477">
        <v>1977.5348837209303</v>
      </c>
      <c r="BJ144" s="477">
        <v>2084.857469993683</v>
      </c>
      <c r="BK144" s="477">
        <v>2131.2999446158715</v>
      </c>
      <c r="BL144" s="477">
        <v>2143.6819436775263</v>
      </c>
      <c r="BM144" s="477">
        <v>2073.8563380281689</v>
      </c>
      <c r="BN144" s="477">
        <v>2300.7910402197972</v>
      </c>
      <c r="BO144" s="477">
        <v>2326.6164287385909</v>
      </c>
      <c r="BP144" s="477">
        <v>2307.9060786106033</v>
      </c>
      <c r="BQ144" s="477">
        <v>2344.6145362640732</v>
      </c>
      <c r="BR144" s="477">
        <v>2368.012116504854</v>
      </c>
      <c r="BS144" s="477">
        <v>2252.978437722139</v>
      </c>
      <c r="BT144" s="477">
        <v>2241.3179516972359</v>
      </c>
      <c r="BU144" s="477">
        <v>2297.6054466954502</v>
      </c>
      <c r="BV144" s="477">
        <v>2198.0522088353414</v>
      </c>
      <c r="BW144" s="477">
        <v>2021.5031326614003</v>
      </c>
      <c r="BX144" s="477">
        <v>2002.5265144540601</v>
      </c>
      <c r="BY144" s="477">
        <v>1890.3538506703198</v>
      </c>
      <c r="BZ144" s="477">
        <v>1822.7951142631994</v>
      </c>
      <c r="CA144" s="477">
        <v>1687.8206664564279</v>
      </c>
      <c r="CB144" s="477">
        <v>1588.8602704443015</v>
      </c>
      <c r="CC144" s="477">
        <v>1552.3684032476319</v>
      </c>
      <c r="CD144" s="477">
        <v>1527.1244533743056</v>
      </c>
      <c r="CE144" s="477">
        <v>1273.9034871433603</v>
      </c>
      <c r="CF144" s="477">
        <v>1290.2680573978055</v>
      </c>
      <c r="CG144" s="477">
        <v>1292.323121170439</v>
      </c>
      <c r="CH144" s="477">
        <v>1203.3575933400607</v>
      </c>
      <c r="CI144" s="477">
        <v>1137.5975561687032</v>
      </c>
      <c r="CJ144" s="477">
        <v>1181.2559576345984</v>
      </c>
      <c r="CK144" s="477">
        <v>1033.272138554217</v>
      </c>
      <c r="CL144" s="477">
        <v>966.99722735674675</v>
      </c>
      <c r="CM144" s="477">
        <v>986.02355350742448</v>
      </c>
      <c r="CN144" s="477">
        <v>974.00968523002427</v>
      </c>
      <c r="CO144" s="477">
        <v>796.9</v>
      </c>
      <c r="CP144" s="477">
        <v>696.19117288466236</v>
      </c>
      <c r="CQ144" s="477">
        <v>621.99595857539782</v>
      </c>
      <c r="CR144" s="477">
        <v>600.77992957746471</v>
      </c>
      <c r="CS144" s="477">
        <v>583.85111740635818</v>
      </c>
      <c r="CT144" s="477">
        <v>522.79582712369597</v>
      </c>
      <c r="CU144" s="477">
        <v>452.41860465116281</v>
      </c>
      <c r="CV144" s="477">
        <v>372.84571129707109</v>
      </c>
      <c r="CW144" s="477">
        <v>312.34061135371184</v>
      </c>
      <c r="CX144" s="477">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3">
      <c r="A145" s="58" t="s">
        <v>64</v>
      </c>
      <c r="B145" s="512" t="s">
        <v>216</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3">
      <c r="A146" s="58" t="s">
        <v>64</v>
      </c>
      <c r="B146" s="512" t="s">
        <v>217</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3">
      <c r="A147" s="58" t="s">
        <v>64</v>
      </c>
      <c r="B147" s="512" t="s">
        <v>218</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3">
      <c r="A148" s="62" t="s">
        <v>64</v>
      </c>
      <c r="B148" s="513" t="s">
        <v>219</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x14ac:dyDescent="0.3">
      <c r="A149" s="115"/>
      <c r="B149" s="514"/>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3">
      <c r="A150" s="72" t="s">
        <v>59</v>
      </c>
      <c r="B150" s="515" t="s">
        <v>220</v>
      </c>
      <c r="C150" s="71" t="str">
        <f>CONCATENATE(A150," - ",B150)</f>
        <v>NHSE regions - East of England</v>
      </c>
      <c r="D150" s="60">
        <f t="shared" ref="D150:E156" si="35">I150</f>
        <v>2447757</v>
      </c>
      <c r="E150" s="60">
        <f t="shared" si="35"/>
        <v>2602371</v>
      </c>
      <c r="F150" s="476">
        <f t="shared" ref="F150:F156" si="36">G150+H150</f>
        <v>6398497</v>
      </c>
      <c r="G150" s="476">
        <f t="shared" ref="G150:G156" si="37">SUM(M150:CY150)</f>
        <v>3138914</v>
      </c>
      <c r="H150" s="61">
        <f t="shared" ref="H150:H156" si="38">SUM(CZ150:GL150)</f>
        <v>3259583</v>
      </c>
      <c r="I150" s="61">
        <f t="shared" ref="I150:I156" si="39">SUM(AE150:CY150)</f>
        <v>2447757</v>
      </c>
      <c r="J150" s="61">
        <f t="shared" ref="J150:J156" si="40">SUM(DR150:GL150)</f>
        <v>2602371</v>
      </c>
      <c r="K150" s="477">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3">
      <c r="A151" s="63" t="s">
        <v>59</v>
      </c>
      <c r="B151" s="515" t="s">
        <v>221</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3">
      <c r="A152" s="63" t="s">
        <v>59</v>
      </c>
      <c r="B152" s="515" t="s">
        <v>222</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3">
      <c r="A153" s="63" t="s">
        <v>59</v>
      </c>
      <c r="B153" s="515" t="s">
        <v>223</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3">
      <c r="A154" s="63" t="s">
        <v>59</v>
      </c>
      <c r="B154" s="515" t="s">
        <v>224</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3">
      <c r="A155" s="63" t="s">
        <v>59</v>
      </c>
      <c r="B155" s="515" t="s">
        <v>225</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3">
      <c r="A156" s="138" t="s">
        <v>59</v>
      </c>
      <c r="B156" s="515" t="s">
        <v>226</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x14ac:dyDescent="0.3">
      <c r="A157" s="116"/>
      <c r="B157" s="516"/>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475"/>
      <c r="O157" s="475"/>
      <c r="P157" s="475"/>
      <c r="Q157" s="475"/>
      <c r="R157" s="475"/>
      <c r="S157" s="475"/>
      <c r="T157" s="475"/>
      <c r="U157" s="475"/>
      <c r="V157" s="475"/>
      <c r="W157" s="475"/>
      <c r="X157" s="475"/>
      <c r="Y157" s="475"/>
      <c r="Z157" s="475"/>
      <c r="AA157" s="475"/>
      <c r="AB157" s="475"/>
      <c r="AC157" s="475"/>
      <c r="AD157" s="475"/>
      <c r="AE157" s="475"/>
      <c r="AF157" s="475"/>
      <c r="AG157" s="475"/>
      <c r="AH157" s="475"/>
      <c r="AI157" s="475"/>
      <c r="AJ157" s="475"/>
      <c r="AK157" s="475"/>
      <c r="AL157" s="475"/>
      <c r="AM157" s="475"/>
      <c r="AN157" s="475"/>
      <c r="AO157" s="475"/>
      <c r="AP157" s="475"/>
      <c r="AQ157" s="475"/>
      <c r="AR157" s="475"/>
      <c r="AS157" s="475"/>
      <c r="AT157" s="475"/>
      <c r="AU157" s="475"/>
      <c r="AV157" s="475"/>
      <c r="AW157" s="475"/>
      <c r="AX157" s="475"/>
      <c r="AY157" s="475"/>
      <c r="AZ157" s="475"/>
      <c r="BA157" s="475"/>
      <c r="BB157" s="475"/>
      <c r="BC157" s="475"/>
      <c r="BD157" s="475"/>
      <c r="BE157" s="475"/>
      <c r="BF157" s="475"/>
      <c r="BG157" s="475"/>
      <c r="BH157" s="475"/>
      <c r="BI157" s="475"/>
      <c r="BJ157" s="475"/>
      <c r="BK157" s="475"/>
      <c r="BL157" s="475"/>
      <c r="BM157" s="475"/>
      <c r="BN157" s="475"/>
      <c r="BO157" s="475"/>
      <c r="BP157" s="475"/>
      <c r="BQ157" s="475"/>
      <c r="BR157" s="475"/>
      <c r="BS157" s="475"/>
      <c r="BT157" s="475"/>
      <c r="BU157" s="475"/>
      <c r="BV157" s="475"/>
      <c r="BW157" s="475"/>
      <c r="BX157" s="475"/>
      <c r="BY157" s="475"/>
      <c r="BZ157" s="475"/>
      <c r="CA157" s="475"/>
      <c r="CB157" s="475"/>
      <c r="CC157" s="475"/>
      <c r="CD157" s="475"/>
      <c r="CE157" s="475"/>
      <c r="CF157" s="475"/>
      <c r="CG157" s="475"/>
      <c r="CH157" s="475"/>
      <c r="CI157" s="475"/>
      <c r="CJ157" s="475"/>
      <c r="CK157" s="475"/>
      <c r="CL157" s="475"/>
      <c r="CM157" s="475"/>
      <c r="CN157" s="475"/>
      <c r="CO157" s="475"/>
      <c r="CP157" s="475"/>
      <c r="CQ157" s="475"/>
      <c r="CR157" s="475"/>
      <c r="CS157" s="475"/>
      <c r="CT157" s="475"/>
      <c r="CU157" s="475"/>
      <c r="CV157" s="475"/>
      <c r="CW157" s="475"/>
      <c r="CX157" s="475"/>
      <c r="CY157" s="76"/>
      <c r="CZ157" s="117"/>
      <c r="DA157" s="475"/>
      <c r="DB157" s="475"/>
      <c r="DC157" s="475"/>
      <c r="DD157" s="475"/>
      <c r="DE157" s="475"/>
      <c r="DF157" s="475"/>
      <c r="DG157" s="475"/>
      <c r="DH157" s="475"/>
      <c r="DI157" s="475"/>
      <c r="DJ157" s="475"/>
      <c r="DK157" s="475"/>
      <c r="DL157" s="475"/>
      <c r="DM157" s="475"/>
      <c r="DN157" s="475"/>
      <c r="DO157" s="475"/>
      <c r="DP157" s="475"/>
      <c r="DQ157" s="475"/>
      <c r="DR157" s="475"/>
      <c r="DS157" s="475"/>
      <c r="DT157" s="475"/>
      <c r="DU157" s="475"/>
      <c r="DV157" s="475"/>
      <c r="DW157" s="475"/>
      <c r="DX157" s="475"/>
      <c r="DY157" s="475"/>
      <c r="DZ157" s="475"/>
      <c r="EA157" s="475"/>
      <c r="EB157" s="475"/>
      <c r="EC157" s="475"/>
      <c r="ED157" s="475"/>
      <c r="EE157" s="475"/>
      <c r="EF157" s="475"/>
      <c r="EG157" s="475"/>
      <c r="EH157" s="475"/>
      <c r="EI157" s="475"/>
      <c r="EJ157" s="475"/>
      <c r="EK157" s="475"/>
      <c r="EL157" s="475"/>
      <c r="EM157" s="475"/>
      <c r="EN157" s="475"/>
      <c r="EO157" s="475"/>
      <c r="EP157" s="475"/>
      <c r="EQ157" s="475"/>
      <c r="ER157" s="475"/>
      <c r="ES157" s="475"/>
      <c r="ET157" s="475"/>
      <c r="EU157" s="475"/>
      <c r="EV157" s="475"/>
      <c r="EW157" s="475"/>
      <c r="EX157" s="475"/>
      <c r="EY157" s="475"/>
      <c r="EZ157" s="475"/>
      <c r="FA157" s="475"/>
      <c r="FB157" s="475"/>
      <c r="FC157" s="475"/>
      <c r="FD157" s="475"/>
      <c r="FE157" s="475"/>
      <c r="FF157" s="475"/>
      <c r="FG157" s="475"/>
      <c r="FH157" s="475"/>
      <c r="FI157" s="475"/>
      <c r="FJ157" s="475"/>
      <c r="FK157" s="475"/>
      <c r="FL157" s="475"/>
      <c r="FM157" s="475"/>
      <c r="FN157" s="475"/>
      <c r="FO157" s="475"/>
      <c r="FP157" s="475"/>
      <c r="FQ157" s="475"/>
      <c r="FR157" s="475"/>
      <c r="FS157" s="475"/>
      <c r="FT157" s="475"/>
      <c r="FU157" s="475"/>
      <c r="FV157" s="475"/>
      <c r="FW157" s="475"/>
      <c r="FX157" s="475"/>
      <c r="FY157" s="475"/>
      <c r="FZ157" s="475"/>
      <c r="GA157" s="475"/>
      <c r="GB157" s="475"/>
      <c r="GC157" s="475"/>
      <c r="GD157" s="475"/>
      <c r="GE157" s="475"/>
      <c r="GF157" s="475"/>
      <c r="GG157" s="475"/>
      <c r="GH157" s="475"/>
      <c r="GI157" s="475"/>
      <c r="GJ157" s="475"/>
      <c r="GK157" s="475"/>
      <c r="GL157" s="76"/>
    </row>
    <row r="158" spans="1:194" s="1" customFormat="1" x14ac:dyDescent="0.3">
      <c r="A158" s="106" t="s">
        <v>51</v>
      </c>
      <c r="B158" s="517" t="s">
        <v>227</v>
      </c>
      <c r="C158" s="478" t="str">
        <f t="shared" si="43"/>
        <v>England ICB - NHS Bath and North East Somerset, Swindon and Wiltshire Integrated Care Board</v>
      </c>
      <c r="D158" s="78">
        <f t="shared" ref="D158:E163" si="45">I158</f>
        <v>372192</v>
      </c>
      <c r="E158" s="78">
        <f t="shared" si="45"/>
        <v>388592</v>
      </c>
      <c r="F158" s="107">
        <f t="shared" ref="F158:F163" si="46">G158+H158</f>
        <v>953852</v>
      </c>
      <c r="G158" s="476">
        <f t="shared" ref="G158:G163" si="47">SUM(M158:CY158)</f>
        <v>470982</v>
      </c>
      <c r="H158" s="61">
        <f t="shared" ref="H158:H163" si="48">SUM(CZ158:GL158)</f>
        <v>482870</v>
      </c>
      <c r="I158" s="476">
        <f t="shared" ref="I158:I163" si="49">SUM(AE158:CY158)</f>
        <v>372192</v>
      </c>
      <c r="J158" s="102">
        <f t="shared" ref="J158:J163" si="50">SUM(DR158:GL158)</f>
        <v>388592</v>
      </c>
      <c r="K158" s="104">
        <f t="shared" ref="K158:K163" si="51">SUM(M158:AD158)</f>
        <v>98790</v>
      </c>
      <c r="L158" s="60">
        <f t="shared" ref="L158:L163" si="52">SUM(CZ158:DQ158)</f>
        <v>94278</v>
      </c>
      <c r="M158" s="104">
        <v>4647</v>
      </c>
      <c r="N158" s="477">
        <v>4706</v>
      </c>
      <c r="O158" s="477">
        <v>4907</v>
      </c>
      <c r="P158" s="477">
        <v>5108</v>
      </c>
      <c r="Q158" s="477">
        <v>5293</v>
      </c>
      <c r="R158" s="477">
        <v>5287</v>
      </c>
      <c r="S158" s="477">
        <v>5628</v>
      </c>
      <c r="T158" s="477">
        <v>5623</v>
      </c>
      <c r="U158" s="477">
        <v>5617</v>
      </c>
      <c r="V158" s="477">
        <v>5799</v>
      </c>
      <c r="W158" s="477">
        <v>6160</v>
      </c>
      <c r="X158" s="477">
        <v>6033</v>
      </c>
      <c r="Y158" s="477">
        <v>5955</v>
      </c>
      <c r="Z158" s="477">
        <v>5803</v>
      </c>
      <c r="AA158" s="477">
        <v>5710</v>
      </c>
      <c r="AB158" s="477">
        <v>5605</v>
      </c>
      <c r="AC158" s="477">
        <v>5496</v>
      </c>
      <c r="AD158" s="477">
        <v>5413</v>
      </c>
      <c r="AE158" s="477">
        <v>5967</v>
      </c>
      <c r="AF158" s="477">
        <v>6678</v>
      </c>
      <c r="AG158" s="477">
        <v>6216</v>
      </c>
      <c r="AH158" s="477">
        <v>5569</v>
      </c>
      <c r="AI158" s="477">
        <v>5932</v>
      </c>
      <c r="AJ158" s="477">
        <v>5961</v>
      </c>
      <c r="AK158" s="477">
        <v>5644</v>
      </c>
      <c r="AL158" s="477">
        <v>5569</v>
      </c>
      <c r="AM158" s="477">
        <v>5603</v>
      </c>
      <c r="AN158" s="477">
        <v>5436</v>
      </c>
      <c r="AO158" s="477">
        <v>5723</v>
      </c>
      <c r="AP158" s="477">
        <v>5509</v>
      </c>
      <c r="AQ158" s="477">
        <v>5906</v>
      </c>
      <c r="AR158" s="477">
        <v>5926</v>
      </c>
      <c r="AS158" s="477">
        <v>5999</v>
      </c>
      <c r="AT158" s="477">
        <v>5968</v>
      </c>
      <c r="AU158" s="477">
        <v>6124</v>
      </c>
      <c r="AV158" s="477">
        <v>6089</v>
      </c>
      <c r="AW158" s="477">
        <v>6037</v>
      </c>
      <c r="AX158" s="477">
        <v>5950</v>
      </c>
      <c r="AY158" s="477">
        <v>6029</v>
      </c>
      <c r="AZ158" s="477">
        <v>5880</v>
      </c>
      <c r="BA158" s="477">
        <v>5821</v>
      </c>
      <c r="BB158" s="477">
        <v>5960</v>
      </c>
      <c r="BC158" s="477">
        <v>6033</v>
      </c>
      <c r="BD158" s="477">
        <v>5922</v>
      </c>
      <c r="BE158" s="477">
        <v>5375</v>
      </c>
      <c r="BF158" s="477">
        <v>5274</v>
      </c>
      <c r="BG158" s="477">
        <v>5437</v>
      </c>
      <c r="BH158" s="477">
        <v>5820</v>
      </c>
      <c r="BI158" s="477">
        <v>5866</v>
      </c>
      <c r="BJ158" s="477">
        <v>6432</v>
      </c>
      <c r="BK158" s="477">
        <v>6631</v>
      </c>
      <c r="BL158" s="477">
        <v>6700</v>
      </c>
      <c r="BM158" s="477">
        <v>6536</v>
      </c>
      <c r="BN158" s="477">
        <v>6527</v>
      </c>
      <c r="BO158" s="477">
        <v>6586</v>
      </c>
      <c r="BP158" s="477">
        <v>6746</v>
      </c>
      <c r="BQ158" s="477">
        <v>6723</v>
      </c>
      <c r="BR158" s="477">
        <v>6887</v>
      </c>
      <c r="BS158" s="477">
        <v>6661</v>
      </c>
      <c r="BT158" s="477">
        <v>6550</v>
      </c>
      <c r="BU158" s="477">
        <v>6440</v>
      </c>
      <c r="BV158" s="477">
        <v>6192</v>
      </c>
      <c r="BW158" s="477">
        <v>5977</v>
      </c>
      <c r="BX158" s="477">
        <v>5691</v>
      </c>
      <c r="BY158" s="477">
        <v>5371</v>
      </c>
      <c r="BZ158" s="477">
        <v>5135</v>
      </c>
      <c r="CA158" s="477">
        <v>4863</v>
      </c>
      <c r="CB158" s="477">
        <v>4730</v>
      </c>
      <c r="CC158" s="477">
        <v>4797</v>
      </c>
      <c r="CD158" s="477">
        <v>4544</v>
      </c>
      <c r="CE158" s="477">
        <v>4485</v>
      </c>
      <c r="CF158" s="477">
        <v>4422</v>
      </c>
      <c r="CG158" s="477">
        <v>4421</v>
      </c>
      <c r="CH158" s="477">
        <v>4529</v>
      </c>
      <c r="CI158" s="477">
        <v>4861</v>
      </c>
      <c r="CJ158" s="477">
        <v>5197</v>
      </c>
      <c r="CK158" s="477">
        <v>3865</v>
      </c>
      <c r="CL158" s="477">
        <v>3773</v>
      </c>
      <c r="CM158" s="477">
        <v>3497</v>
      </c>
      <c r="CN158" s="477">
        <v>3141</v>
      </c>
      <c r="CO158" s="477">
        <v>2804</v>
      </c>
      <c r="CP158" s="477">
        <v>2380</v>
      </c>
      <c r="CQ158" s="477">
        <v>2335</v>
      </c>
      <c r="CR158" s="477">
        <v>2209</v>
      </c>
      <c r="CS158" s="477">
        <v>2008</v>
      </c>
      <c r="CT158" s="477">
        <v>1804</v>
      </c>
      <c r="CU158" s="477">
        <v>1625</v>
      </c>
      <c r="CV158" s="477">
        <v>1368</v>
      </c>
      <c r="CW158" s="477">
        <v>1144</v>
      </c>
      <c r="CX158" s="477">
        <v>1023</v>
      </c>
      <c r="CY158" s="60">
        <v>3359</v>
      </c>
      <c r="CZ158" s="104">
        <v>4395</v>
      </c>
      <c r="DA158" s="477">
        <v>4569</v>
      </c>
      <c r="DB158" s="477">
        <v>4724</v>
      </c>
      <c r="DC158" s="477">
        <v>4830</v>
      </c>
      <c r="DD158" s="477">
        <v>5033</v>
      </c>
      <c r="DE158" s="477">
        <v>5193</v>
      </c>
      <c r="DF158" s="477">
        <v>5362</v>
      </c>
      <c r="DG158" s="477">
        <v>5295</v>
      </c>
      <c r="DH158" s="477">
        <v>5344</v>
      </c>
      <c r="DI158" s="477">
        <v>5565</v>
      </c>
      <c r="DJ158" s="477">
        <v>5551</v>
      </c>
      <c r="DK158" s="477">
        <v>5719</v>
      </c>
      <c r="DL158" s="477">
        <v>5546</v>
      </c>
      <c r="DM158" s="477">
        <v>5549</v>
      </c>
      <c r="DN158" s="477">
        <v>5624</v>
      </c>
      <c r="DO158" s="477">
        <v>5574</v>
      </c>
      <c r="DP158" s="477">
        <v>5184</v>
      </c>
      <c r="DQ158" s="477">
        <v>5221</v>
      </c>
      <c r="DR158" s="477">
        <v>5415</v>
      </c>
      <c r="DS158" s="477">
        <v>5600</v>
      </c>
      <c r="DT158" s="477">
        <v>5189</v>
      </c>
      <c r="DU158" s="477">
        <v>4912</v>
      </c>
      <c r="DV158" s="477">
        <v>5426</v>
      </c>
      <c r="DW158" s="477">
        <v>5137</v>
      </c>
      <c r="DX158" s="477">
        <v>5128</v>
      </c>
      <c r="DY158" s="477">
        <v>5294</v>
      </c>
      <c r="DZ158" s="477">
        <v>5013</v>
      </c>
      <c r="EA158" s="477">
        <v>5302</v>
      </c>
      <c r="EB158" s="477">
        <v>5698</v>
      </c>
      <c r="EC158" s="477">
        <v>5815</v>
      </c>
      <c r="ED158" s="477">
        <v>5939</v>
      </c>
      <c r="EE158" s="477">
        <v>6272</v>
      </c>
      <c r="EF158" s="477">
        <v>6263</v>
      </c>
      <c r="EG158" s="477">
        <v>6313</v>
      </c>
      <c r="EH158" s="477">
        <v>6318</v>
      </c>
      <c r="EI158" s="477">
        <v>6535</v>
      </c>
      <c r="EJ158" s="477">
        <v>6131</v>
      </c>
      <c r="EK158" s="477">
        <v>6244</v>
      </c>
      <c r="EL158" s="477">
        <v>6165</v>
      </c>
      <c r="EM158" s="477">
        <v>5942</v>
      </c>
      <c r="EN158" s="477">
        <v>6211</v>
      </c>
      <c r="EO158" s="477">
        <v>6218</v>
      </c>
      <c r="EP158" s="477">
        <v>6104</v>
      </c>
      <c r="EQ158" s="477">
        <v>5799</v>
      </c>
      <c r="ER158" s="477">
        <v>5574</v>
      </c>
      <c r="ES158" s="477">
        <v>5586</v>
      </c>
      <c r="ET158" s="477">
        <v>5770</v>
      </c>
      <c r="EU158" s="477">
        <v>5831</v>
      </c>
      <c r="EV158" s="477">
        <v>6251</v>
      </c>
      <c r="EW158" s="477">
        <v>6563</v>
      </c>
      <c r="EX158" s="477">
        <v>6923</v>
      </c>
      <c r="EY158" s="477">
        <v>6736</v>
      </c>
      <c r="EZ158" s="477">
        <v>6661</v>
      </c>
      <c r="FA158" s="477">
        <v>6860</v>
      </c>
      <c r="FB158" s="477">
        <v>6795</v>
      </c>
      <c r="FC158" s="477">
        <v>7093</v>
      </c>
      <c r="FD158" s="477">
        <v>7056</v>
      </c>
      <c r="FE158" s="477">
        <v>6890</v>
      </c>
      <c r="FF158" s="477">
        <v>6926</v>
      </c>
      <c r="FG158" s="477">
        <v>6551</v>
      </c>
      <c r="FH158" s="477">
        <v>6513</v>
      </c>
      <c r="FI158" s="477">
        <v>6413</v>
      </c>
      <c r="FJ158" s="477">
        <v>5897</v>
      </c>
      <c r="FK158" s="477">
        <v>5838</v>
      </c>
      <c r="FL158" s="477">
        <v>5643</v>
      </c>
      <c r="FM158" s="477">
        <v>5384</v>
      </c>
      <c r="FN158" s="477">
        <v>5189</v>
      </c>
      <c r="FO158" s="477">
        <v>5034</v>
      </c>
      <c r="FP158" s="477">
        <v>5088</v>
      </c>
      <c r="FQ158" s="477">
        <v>5112</v>
      </c>
      <c r="FR158" s="477">
        <v>4845</v>
      </c>
      <c r="FS158" s="477">
        <v>4831</v>
      </c>
      <c r="FT158" s="477">
        <v>4917</v>
      </c>
      <c r="FU158" s="477">
        <v>5074</v>
      </c>
      <c r="FV158" s="477">
        <v>5409</v>
      </c>
      <c r="FW158" s="477">
        <v>5546</v>
      </c>
      <c r="FX158" s="477">
        <v>4375</v>
      </c>
      <c r="FY158" s="477">
        <v>4296</v>
      </c>
      <c r="FZ158" s="477">
        <v>4189</v>
      </c>
      <c r="GA158" s="477">
        <v>3718</v>
      </c>
      <c r="GB158" s="477">
        <v>3306</v>
      </c>
      <c r="GC158" s="477">
        <v>2846</v>
      </c>
      <c r="GD158" s="477">
        <v>2931</v>
      </c>
      <c r="GE158" s="477">
        <v>2828</v>
      </c>
      <c r="GF158" s="477">
        <v>2632</v>
      </c>
      <c r="GG158" s="477">
        <v>2327</v>
      </c>
      <c r="GH158" s="477">
        <v>2137</v>
      </c>
      <c r="GI158" s="477">
        <v>1982</v>
      </c>
      <c r="GJ158" s="477">
        <v>1693</v>
      </c>
      <c r="GK158" s="477">
        <v>1476</v>
      </c>
      <c r="GL158" s="60">
        <v>6674</v>
      </c>
    </row>
    <row r="159" spans="1:194" s="1" customFormat="1" x14ac:dyDescent="0.3">
      <c r="A159" s="108" t="s">
        <v>51</v>
      </c>
      <c r="B159" s="518" t="s">
        <v>228</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3">
      <c r="A160" s="108" t="s">
        <v>51</v>
      </c>
      <c r="B160" s="518" t="s">
        <v>229</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3">
      <c r="A161" s="108" t="s">
        <v>51</v>
      </c>
      <c r="B161" s="518" t="s">
        <v>230</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3">
      <c r="A162" s="108" t="s">
        <v>51</v>
      </c>
      <c r="B162" s="518" t="s">
        <v>231</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3">
      <c r="A163" s="108" t="s">
        <v>51</v>
      </c>
      <c r="B163" s="518" t="s">
        <v>232</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3">
      <c r="A164" s="108" t="s">
        <v>51</v>
      </c>
      <c r="B164" s="518" t="s">
        <v>233</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3">
      <c r="A165" s="108" t="s">
        <v>51</v>
      </c>
      <c r="B165" s="518" t="s">
        <v>234</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3">
      <c r="A166" s="108" t="s">
        <v>51</v>
      </c>
      <c r="B166" s="518" t="s">
        <v>235</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3">
      <c r="A167" s="108" t="s">
        <v>51</v>
      </c>
      <c r="B167" s="518" t="s">
        <v>236</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3">
      <c r="A168" s="108" t="s">
        <v>51</v>
      </c>
      <c r="B168" s="518" t="s">
        <v>237</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3">
      <c r="A169" s="108" t="s">
        <v>51</v>
      </c>
      <c r="B169" s="518" t="s">
        <v>238</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3">
      <c r="A170" s="108" t="s">
        <v>51</v>
      </c>
      <c r="B170" s="518" t="s">
        <v>239</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3">
      <c r="A171" s="108" t="s">
        <v>51</v>
      </c>
      <c r="B171" s="518" t="s">
        <v>240</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3">
      <c r="A172" s="108" t="s">
        <v>51</v>
      </c>
      <c r="B172" s="518" t="s">
        <v>241</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3">
      <c r="A173" s="108" t="s">
        <v>51</v>
      </c>
      <c r="B173" s="518" t="s">
        <v>242</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3">
      <c r="A174" s="108" t="s">
        <v>51</v>
      </c>
      <c r="B174" s="518" t="s">
        <v>243</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3">
      <c r="A175" s="108" t="s">
        <v>51</v>
      </c>
      <c r="B175" s="518" t="s">
        <v>244</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3">
      <c r="A176" s="108" t="s">
        <v>51</v>
      </c>
      <c r="B176" s="518" t="s">
        <v>245</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3">
      <c r="A177" s="108" t="s">
        <v>51</v>
      </c>
      <c r="B177" s="518" t="s">
        <v>246</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3">
      <c r="A178" s="108" t="s">
        <v>51</v>
      </c>
      <c r="B178" s="518" t="s">
        <v>247</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3">
      <c r="A179" s="108" t="s">
        <v>51</v>
      </c>
      <c r="B179" s="518" t="s">
        <v>248</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3">
      <c r="A180" s="108" t="s">
        <v>51</v>
      </c>
      <c r="B180" s="518" t="s">
        <v>249</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3">
      <c r="A181" s="108" t="s">
        <v>51</v>
      </c>
      <c r="B181" s="518" t="s">
        <v>250</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3">
      <c r="A182" s="108" t="s">
        <v>51</v>
      </c>
      <c r="B182" s="518" t="s">
        <v>251</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3">
      <c r="A183" s="108" t="s">
        <v>51</v>
      </c>
      <c r="B183" s="518" t="s">
        <v>252</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3">
      <c r="A184" s="108" t="s">
        <v>51</v>
      </c>
      <c r="B184" s="518" t="s">
        <v>253</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3">
      <c r="A185" s="108" t="s">
        <v>51</v>
      </c>
      <c r="B185" s="518" t="s">
        <v>254</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3">
      <c r="A186" s="108" t="s">
        <v>51</v>
      </c>
      <c r="B186" s="518" t="s">
        <v>255</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3">
      <c r="A187" s="108" t="s">
        <v>51</v>
      </c>
      <c r="B187" s="518" t="s">
        <v>256</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3">
      <c r="A188" s="108" t="s">
        <v>51</v>
      </c>
      <c r="B188" s="518" t="s">
        <v>257</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3">
      <c r="A189" s="108" t="s">
        <v>51</v>
      </c>
      <c r="B189" s="518" t="s">
        <v>258</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3">
      <c r="A190" s="108" t="s">
        <v>51</v>
      </c>
      <c r="B190" s="518" t="s">
        <v>259</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3">
      <c r="A191" s="108" t="s">
        <v>51</v>
      </c>
      <c r="B191" s="518" t="s">
        <v>260</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3">
      <c r="A192" s="108" t="s">
        <v>51</v>
      </c>
      <c r="B192" s="518" t="s">
        <v>261</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3">
      <c r="A193" s="108" t="s">
        <v>51</v>
      </c>
      <c r="B193" s="518" t="s">
        <v>262</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3">
      <c r="A194" s="108" t="s">
        <v>51</v>
      </c>
      <c r="B194" s="518" t="s">
        <v>263</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3">
      <c r="A195" s="108" t="s">
        <v>51</v>
      </c>
      <c r="B195" s="518" t="s">
        <v>264</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3">
      <c r="A196" s="108" t="s">
        <v>51</v>
      </c>
      <c r="B196" s="518" t="s">
        <v>265</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3">
      <c r="A197" s="108" t="s">
        <v>51</v>
      </c>
      <c r="B197" s="518" t="s">
        <v>266</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3">
      <c r="A198" s="108" t="s">
        <v>51</v>
      </c>
      <c r="B198" s="518" t="s">
        <v>267</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3">
      <c r="A199" s="108" t="s">
        <v>51</v>
      </c>
      <c r="B199" s="518" t="s">
        <v>268</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x14ac:dyDescent="0.3">
      <c r="A200" s="111"/>
      <c r="B200" s="519"/>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3">
      <c r="A201" s="30" t="s">
        <v>80</v>
      </c>
      <c r="B201" s="1" t="s">
        <v>269</v>
      </c>
      <c r="C201" s="71" t="str">
        <f>CONCATENATE(A201," - ",B201)</f>
        <v>LA England - Adur</v>
      </c>
      <c r="D201" s="60">
        <f t="shared" ref="D201:D265" si="73">I201</f>
        <v>24443</v>
      </c>
      <c r="E201" s="60">
        <f t="shared" ref="E201:E265" si="74">J201</f>
        <v>27108</v>
      </c>
      <c r="F201" s="476">
        <f t="shared" ref="F201:F265" si="75">G201+H201</f>
        <v>64688</v>
      </c>
      <c r="G201" s="476">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3">
      <c r="A202" s="30" t="s">
        <v>80</v>
      </c>
      <c r="B202" s="1" t="s">
        <v>270</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3">
      <c r="A203" s="30" t="s">
        <v>80</v>
      </c>
      <c r="B203" s="1" t="s">
        <v>271</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3">
      <c r="A204" s="30" t="s">
        <v>80</v>
      </c>
      <c r="B204" s="1" t="s">
        <v>272</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3">
      <c r="A205" s="30" t="s">
        <v>80</v>
      </c>
      <c r="B205" s="1" t="s">
        <v>273</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3">
      <c r="A206" s="30" t="s">
        <v>80</v>
      </c>
      <c r="B206" s="1" t="s">
        <v>274</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3">
      <c r="A207" s="30" t="s">
        <v>80</v>
      </c>
      <c r="B207" s="1" t="s">
        <v>275</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3">
      <c r="A208" s="30" t="s">
        <v>80</v>
      </c>
      <c r="B208" s="1" t="s">
        <v>276</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3">
      <c r="A209" s="30" t="s">
        <v>80</v>
      </c>
      <c r="B209" s="1" t="s">
        <v>277</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3">
      <c r="A210" s="30" t="s">
        <v>80</v>
      </c>
      <c r="B210" s="1" t="s">
        <v>278</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3">
      <c r="A211" s="30" t="s">
        <v>80</v>
      </c>
      <c r="B211" s="1" t="s">
        <v>279</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3">
      <c r="A212" s="30" t="s">
        <v>80</v>
      </c>
      <c r="B212" s="1" t="s">
        <v>280</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3">
      <c r="A213" s="30" t="s">
        <v>80</v>
      </c>
      <c r="B213" s="1" t="s">
        <v>281</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3">
      <c r="A214" s="30" t="s">
        <v>80</v>
      </c>
      <c r="B214" s="1" t="s">
        <v>282</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3">
      <c r="A215" s="30" t="s">
        <v>80</v>
      </c>
      <c r="B215" s="1" t="s">
        <v>283</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3">
      <c r="A216" s="30" t="s">
        <v>80</v>
      </c>
      <c r="B216" s="1" t="s">
        <v>284</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3">
      <c r="A217" s="30" t="s">
        <v>80</v>
      </c>
      <c r="B217" s="1" t="s">
        <v>285</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3">
      <c r="A218" s="30" t="s">
        <v>80</v>
      </c>
      <c r="B218" s="1" t="s">
        <v>286</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3">
      <c r="A219" s="30" t="s">
        <v>80</v>
      </c>
      <c r="B219" s="1" t="s">
        <v>287</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3">
      <c r="A220" s="30" t="s">
        <v>80</v>
      </c>
      <c r="B220" s="1" t="s">
        <v>288</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3">
      <c r="A221" s="30" t="s">
        <v>80</v>
      </c>
      <c r="B221" s="1" t="s">
        <v>289</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3">
      <c r="A222" s="30" t="s">
        <v>80</v>
      </c>
      <c r="B222" s="1" t="s">
        <v>290</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3">
      <c r="A223" s="30" t="s">
        <v>80</v>
      </c>
      <c r="B223" s="1" t="s">
        <v>291</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3">
      <c r="A224" s="30" t="s">
        <v>80</v>
      </c>
      <c r="B224" s="1" t="s">
        <v>292</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3">
      <c r="A225" s="30" t="s">
        <v>80</v>
      </c>
      <c r="B225" s="1" t="s">
        <v>293</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3">
      <c r="A226" s="30" t="s">
        <v>80</v>
      </c>
      <c r="B226" s="1" t="s">
        <v>294</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3">
      <c r="A227" s="30" t="s">
        <v>80</v>
      </c>
      <c r="B227" s="1" t="s">
        <v>295</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3">
      <c r="A228" s="30" t="s">
        <v>80</v>
      </c>
      <c r="B228" s="1" t="s">
        <v>296</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3">
      <c r="A229" s="30" t="s">
        <v>80</v>
      </c>
      <c r="B229" s="1" t="s">
        <v>297</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3">
      <c r="A230" s="30" t="s">
        <v>80</v>
      </c>
      <c r="B230" s="1" t="s">
        <v>298</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3">
      <c r="A231" s="30" t="s">
        <v>80</v>
      </c>
      <c r="B231" s="1" t="s">
        <v>299</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3">
      <c r="A232" s="30" t="s">
        <v>80</v>
      </c>
      <c r="B232" s="1" t="s">
        <v>300</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3">
      <c r="A233" s="30" t="s">
        <v>80</v>
      </c>
      <c r="B233" s="1" t="s">
        <v>301</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3">
      <c r="A234" s="30" t="s">
        <v>80</v>
      </c>
      <c r="B234" s="1" t="s">
        <v>302</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3">
      <c r="A235" s="30" t="s">
        <v>80</v>
      </c>
      <c r="B235" s="1" t="s">
        <v>303</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3">
      <c r="A236" s="30" t="s">
        <v>80</v>
      </c>
      <c r="B236" s="1" t="s">
        <v>304</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3">
      <c r="A237" s="30" t="s">
        <v>80</v>
      </c>
      <c r="B237" s="1" t="s">
        <v>305</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3">
      <c r="A238" s="30" t="s">
        <v>80</v>
      </c>
      <c r="B238" s="1" t="s">
        <v>306</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3">
      <c r="A239" s="30" t="s">
        <v>80</v>
      </c>
      <c r="B239" s="1" t="s">
        <v>307</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3">
      <c r="A240" s="30" t="s">
        <v>80</v>
      </c>
      <c r="B240" s="1" t="s">
        <v>308</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3">
      <c r="A241" s="30" t="s">
        <v>80</v>
      </c>
      <c r="B241" s="1" t="s">
        <v>309</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3">
      <c r="A242" s="30" t="s">
        <v>80</v>
      </c>
      <c r="B242" s="1" t="s">
        <v>310</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3">
      <c r="A243" s="30" t="s">
        <v>80</v>
      </c>
      <c r="B243" s="1" t="s">
        <v>311</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3">
      <c r="A244" s="30" t="s">
        <v>80</v>
      </c>
      <c r="B244" s="1" t="s">
        <v>312</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3">
      <c r="A245" s="30" t="s">
        <v>80</v>
      </c>
      <c r="B245" s="1" t="s">
        <v>313</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3">
      <c r="A246" s="30" t="s">
        <v>80</v>
      </c>
      <c r="B246" s="1" t="s">
        <v>314</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3">
      <c r="A247" s="30" t="s">
        <v>80</v>
      </c>
      <c r="B247" s="1" t="s">
        <v>315</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3">
      <c r="A248" s="30" t="s">
        <v>80</v>
      </c>
      <c r="B248" s="1" t="s">
        <v>316</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3">
      <c r="A249" s="30" t="s">
        <v>80</v>
      </c>
      <c r="B249" s="1" t="s">
        <v>317</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3">
      <c r="A250" s="30" t="s">
        <v>80</v>
      </c>
      <c r="B250" s="1" t="s">
        <v>318</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3">
      <c r="A251" s="30" t="s">
        <v>80</v>
      </c>
      <c r="B251" s="1" t="s">
        <v>319</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3">
      <c r="A252" s="30" t="s">
        <v>80</v>
      </c>
      <c r="B252" s="1" t="s">
        <v>320</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3">
      <c r="A253" s="30" t="s">
        <v>80</v>
      </c>
      <c r="B253" s="1" t="s">
        <v>321</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3">
      <c r="A254" s="30" t="s">
        <v>80</v>
      </c>
      <c r="B254" s="1" t="s">
        <v>322</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3">
      <c r="A255" s="30" t="s">
        <v>80</v>
      </c>
      <c r="B255" s="1" t="s">
        <v>323</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3">
      <c r="A256" s="30" t="s">
        <v>80</v>
      </c>
      <c r="B256" s="1" t="s">
        <v>324</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3">
      <c r="A257" s="30" t="s">
        <v>80</v>
      </c>
      <c r="B257" s="1" t="s">
        <v>325</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3">
      <c r="A258" s="30" t="s">
        <v>80</v>
      </c>
      <c r="B258" s="1" t="s">
        <v>326</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3">
      <c r="A259" s="30" t="s">
        <v>80</v>
      </c>
      <c r="B259" s="1" t="s">
        <v>327</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3">
      <c r="A260" s="30" t="s">
        <v>80</v>
      </c>
      <c r="B260" s="1" t="s">
        <v>328</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3">
      <c r="A261" s="30" t="s">
        <v>80</v>
      </c>
      <c r="B261" s="1" t="s">
        <v>329</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3">
      <c r="A262" s="30" t="s">
        <v>80</v>
      </c>
      <c r="B262" s="1" t="s">
        <v>330</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3">
      <c r="A263" s="30" t="s">
        <v>80</v>
      </c>
      <c r="B263" s="1" t="s">
        <v>331</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3">
      <c r="A264" s="30" t="s">
        <v>80</v>
      </c>
      <c r="B264" s="1" t="s">
        <v>332</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3">
      <c r="A265" s="30" t="s">
        <v>80</v>
      </c>
      <c r="B265" s="1" t="s">
        <v>333</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3">
      <c r="A266" s="30" t="s">
        <v>80</v>
      </c>
      <c r="B266" s="1" t="s">
        <v>334</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3">
      <c r="A267" s="30" t="s">
        <v>80</v>
      </c>
      <c r="B267" s="1" t="s">
        <v>335</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3">
      <c r="A268" s="30" t="s">
        <v>80</v>
      </c>
      <c r="B268" s="1" t="s">
        <v>336</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3">
      <c r="A269" s="30" t="s">
        <v>80</v>
      </c>
      <c r="B269" s="1" t="s">
        <v>337</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3">
      <c r="A270" s="30" t="s">
        <v>80</v>
      </c>
      <c r="B270" s="1" t="s">
        <v>338</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3">
      <c r="A271" s="30" t="s">
        <v>80</v>
      </c>
      <c r="B271" s="1" t="s">
        <v>339</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3">
      <c r="A272" s="30" t="s">
        <v>80</v>
      </c>
      <c r="B272" s="1" t="s">
        <v>340</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3">
      <c r="A273" s="30" t="s">
        <v>80</v>
      </c>
      <c r="B273" s="1" t="s">
        <v>341</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3">
      <c r="A274" s="30" t="s">
        <v>80</v>
      </c>
      <c r="B274" s="1" t="s">
        <v>342</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3">
      <c r="A275" s="30" t="s">
        <v>80</v>
      </c>
      <c r="B275" s="1" t="s">
        <v>343</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3">
      <c r="A276" s="30" t="s">
        <v>80</v>
      </c>
      <c r="B276" s="1" t="s">
        <v>344</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3">
      <c r="A277" s="30" t="s">
        <v>80</v>
      </c>
      <c r="B277" s="1" t="s">
        <v>345</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3">
      <c r="A278" s="30" t="s">
        <v>80</v>
      </c>
      <c r="B278" s="1" t="s">
        <v>346</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3">
      <c r="A279" s="30" t="s">
        <v>80</v>
      </c>
      <c r="B279" s="1" t="s">
        <v>347</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3">
      <c r="A280" s="30" t="s">
        <v>80</v>
      </c>
      <c r="B280" s="1" t="s">
        <v>348</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3">
      <c r="A281" s="30" t="s">
        <v>80</v>
      </c>
      <c r="B281" s="1" t="s">
        <v>349</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3">
      <c r="A282" s="30" t="s">
        <v>80</v>
      </c>
      <c r="B282" s="1" t="s">
        <v>350</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3">
      <c r="A283" s="30" t="s">
        <v>80</v>
      </c>
      <c r="B283" s="1" t="s">
        <v>351</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3">
      <c r="A284" s="30" t="s">
        <v>80</v>
      </c>
      <c r="B284" s="1" t="s">
        <v>352</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3">
      <c r="A285" s="30" t="s">
        <v>80</v>
      </c>
      <c r="B285" s="1" t="s">
        <v>353</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3">
      <c r="A286" s="30" t="s">
        <v>80</v>
      </c>
      <c r="B286" s="1" t="s">
        <v>354</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3">
      <c r="A287" s="30" t="s">
        <v>80</v>
      </c>
      <c r="B287" s="1" t="s">
        <v>355</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3">
      <c r="A288" s="30" t="s">
        <v>80</v>
      </c>
      <c r="B288" s="1" t="s">
        <v>356</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3">
      <c r="A289" s="30" t="s">
        <v>80</v>
      </c>
      <c r="B289" s="1" t="s">
        <v>357</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3">
      <c r="A290" s="30" t="s">
        <v>80</v>
      </c>
      <c r="B290" s="1" t="s">
        <v>358</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3">
      <c r="A291" s="30" t="s">
        <v>80</v>
      </c>
      <c r="B291" s="1" t="s">
        <v>359</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3">
      <c r="A292" s="30" t="s">
        <v>80</v>
      </c>
      <c r="B292" s="1" t="s">
        <v>360</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3">
      <c r="A293" s="30" t="s">
        <v>80</v>
      </c>
      <c r="B293" s="1" t="s">
        <v>361</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3">
      <c r="A294" s="30" t="s">
        <v>80</v>
      </c>
      <c r="B294" s="1" t="s">
        <v>362</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3">
      <c r="A295" s="30" t="s">
        <v>80</v>
      </c>
      <c r="B295" s="1" t="s">
        <v>363</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3">
      <c r="A296" s="30" t="s">
        <v>80</v>
      </c>
      <c r="B296" s="1" t="s">
        <v>364</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3">
      <c r="A297" s="30" t="s">
        <v>80</v>
      </c>
      <c r="B297" s="1" t="s">
        <v>365</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3">
      <c r="A298" s="30" t="s">
        <v>80</v>
      </c>
      <c r="B298" s="1" t="s">
        <v>366</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3">
      <c r="A299" s="30" t="s">
        <v>80</v>
      </c>
      <c r="B299" s="1" t="s">
        <v>367</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3">
      <c r="A300" s="30" t="s">
        <v>80</v>
      </c>
      <c r="B300" s="1" t="s">
        <v>368</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3">
      <c r="A301" s="30" t="s">
        <v>80</v>
      </c>
      <c r="B301" s="1" t="s">
        <v>369</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3">
      <c r="A302" s="30" t="s">
        <v>80</v>
      </c>
      <c r="B302" s="1" t="s">
        <v>370</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3">
      <c r="A303" s="30" t="s">
        <v>80</v>
      </c>
      <c r="B303" s="1" t="s">
        <v>371</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3">
      <c r="A304" s="30" t="s">
        <v>80</v>
      </c>
      <c r="B304" s="1" t="s">
        <v>372</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3">
      <c r="A305" s="30" t="s">
        <v>80</v>
      </c>
      <c r="B305" s="1" t="s">
        <v>373</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3">
      <c r="A306" s="30" t="s">
        <v>80</v>
      </c>
      <c r="B306" s="1" t="s">
        <v>374</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3">
      <c r="A307" s="30" t="s">
        <v>80</v>
      </c>
      <c r="B307" s="1" t="s">
        <v>375</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3">
      <c r="A308" s="30" t="s">
        <v>80</v>
      </c>
      <c r="B308" s="1" t="s">
        <v>376</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3">
      <c r="A309" s="30" t="s">
        <v>80</v>
      </c>
      <c r="B309" s="1" t="s">
        <v>377</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3">
      <c r="A310" s="30" t="s">
        <v>80</v>
      </c>
      <c r="B310" s="1" t="s">
        <v>378</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3">
      <c r="A311" s="30" t="s">
        <v>80</v>
      </c>
      <c r="B311" s="1" t="s">
        <v>379</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3">
      <c r="A312" s="30" t="s">
        <v>80</v>
      </c>
      <c r="B312" s="1" t="s">
        <v>380</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3">
      <c r="A313" s="30" t="s">
        <v>80</v>
      </c>
      <c r="B313" s="1" t="s">
        <v>381</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3">
      <c r="A314" s="30" t="s">
        <v>80</v>
      </c>
      <c r="B314" s="1" t="s">
        <v>382</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3">
      <c r="A315" s="30" t="s">
        <v>80</v>
      </c>
      <c r="B315" s="1" t="s">
        <v>383</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3">
      <c r="A316" s="30" t="s">
        <v>80</v>
      </c>
      <c r="B316" s="1" t="s">
        <v>384</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3">
      <c r="A317" s="30" t="s">
        <v>80</v>
      </c>
      <c r="B317" s="1" t="s">
        <v>385</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3">
      <c r="A318" s="30" t="s">
        <v>80</v>
      </c>
      <c r="B318" s="1" t="s">
        <v>386</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3">
      <c r="A319" s="30" t="s">
        <v>80</v>
      </c>
      <c r="B319" s="1" t="s">
        <v>387</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3">
      <c r="A320" s="30" t="s">
        <v>80</v>
      </c>
      <c r="B320" s="1" t="s">
        <v>388</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3">
      <c r="A321" s="30" t="s">
        <v>80</v>
      </c>
      <c r="B321" s="1" t="s">
        <v>389</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3">
      <c r="A322" s="30" t="s">
        <v>80</v>
      </c>
      <c r="B322" s="1" t="s">
        <v>390</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3">
      <c r="A323" s="30" t="s">
        <v>80</v>
      </c>
      <c r="B323" s="1" t="s">
        <v>391</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3">
      <c r="A324" s="30" t="s">
        <v>80</v>
      </c>
      <c r="B324" s="1" t="s">
        <v>392</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3">
      <c r="A325" s="30" t="s">
        <v>80</v>
      </c>
      <c r="B325" s="1" t="s">
        <v>393</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3">
      <c r="A326" s="30" t="s">
        <v>80</v>
      </c>
      <c r="B326" s="1" t="s">
        <v>394</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3">
      <c r="A327" s="30" t="s">
        <v>80</v>
      </c>
      <c r="B327" s="1" t="s">
        <v>395</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3">
      <c r="A328" s="30" t="s">
        <v>80</v>
      </c>
      <c r="B328" s="1" t="s">
        <v>396</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3">
      <c r="A329" s="30" t="s">
        <v>80</v>
      </c>
      <c r="B329" s="1" t="s">
        <v>397</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3">
      <c r="A330" s="30" t="s">
        <v>80</v>
      </c>
      <c r="B330" s="1" t="s">
        <v>398</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3">
      <c r="A331" s="30" t="s">
        <v>80</v>
      </c>
      <c r="B331" s="1" t="s">
        <v>399</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3">
      <c r="A332" s="30" t="s">
        <v>80</v>
      </c>
      <c r="B332" s="1" t="s">
        <v>400</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3">
      <c r="A333" s="30" t="s">
        <v>80</v>
      </c>
      <c r="B333" s="1" t="s">
        <v>401</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3">
      <c r="A334" s="30" t="s">
        <v>80</v>
      </c>
      <c r="B334" s="1" t="s">
        <v>402</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3">
      <c r="A335" s="30" t="s">
        <v>80</v>
      </c>
      <c r="B335" s="1" t="s">
        <v>403</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3">
      <c r="A336" s="30" t="s">
        <v>80</v>
      </c>
      <c r="B336" s="1" t="s">
        <v>404</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3">
      <c r="A337" s="30" t="s">
        <v>80</v>
      </c>
      <c r="B337" s="1" t="s">
        <v>405</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3">
      <c r="A338" s="30" t="s">
        <v>80</v>
      </c>
      <c r="B338" s="1" t="s">
        <v>406</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3">
      <c r="A339" s="30" t="s">
        <v>80</v>
      </c>
      <c r="B339" s="1" t="s">
        <v>407</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3">
      <c r="A340" s="30" t="s">
        <v>80</v>
      </c>
      <c r="B340" s="1" t="s">
        <v>408</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3">
      <c r="A341" s="30" t="s">
        <v>80</v>
      </c>
      <c r="B341" s="1" t="s">
        <v>409</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3">
      <c r="A342" s="30" t="s">
        <v>80</v>
      </c>
      <c r="B342" s="1" t="s">
        <v>410</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3">
      <c r="A343" s="30" t="s">
        <v>80</v>
      </c>
      <c r="B343" s="1" t="s">
        <v>411</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3">
      <c r="A344" s="30" t="s">
        <v>80</v>
      </c>
      <c r="B344" s="1" t="s">
        <v>412</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3">
      <c r="A345" s="30" t="s">
        <v>80</v>
      </c>
      <c r="B345" s="1" t="s">
        <v>413</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3">
      <c r="A346" s="30" t="s">
        <v>80</v>
      </c>
      <c r="B346" s="1" t="s">
        <v>414</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3">
      <c r="A347" s="30" t="s">
        <v>80</v>
      </c>
      <c r="B347" s="1" t="s">
        <v>415</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3">
      <c r="A348" s="30" t="s">
        <v>80</v>
      </c>
      <c r="B348" s="1" t="s">
        <v>416</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3">
      <c r="A349" s="30" t="s">
        <v>80</v>
      </c>
      <c r="B349" s="1" t="s">
        <v>417</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3">
      <c r="A350" s="30" t="s">
        <v>80</v>
      </c>
      <c r="B350" s="1" t="s">
        <v>418</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3">
      <c r="A351" s="30" t="s">
        <v>80</v>
      </c>
      <c r="B351" s="1" t="s">
        <v>419</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3">
      <c r="A352" s="30" t="s">
        <v>80</v>
      </c>
      <c r="B352" s="1" t="s">
        <v>420</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3">
      <c r="A353" s="30" t="s">
        <v>80</v>
      </c>
      <c r="B353" s="1" t="s">
        <v>421</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3">
      <c r="A354" s="30" t="s">
        <v>80</v>
      </c>
      <c r="B354" s="1" t="s">
        <v>422</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3">
      <c r="A355" s="30" t="s">
        <v>80</v>
      </c>
      <c r="B355" s="1" t="s">
        <v>423</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3">
      <c r="A356" s="30" t="s">
        <v>80</v>
      </c>
      <c r="B356" s="1" t="s">
        <v>424</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3">
      <c r="A357" s="30" t="s">
        <v>80</v>
      </c>
      <c r="B357" s="1" t="s">
        <v>425</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3">
      <c r="A358" s="30" t="s">
        <v>80</v>
      </c>
      <c r="B358" s="1" t="s">
        <v>426</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3">
      <c r="A359" s="30" t="s">
        <v>80</v>
      </c>
      <c r="B359" s="1" t="s">
        <v>427</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3">
      <c r="A360" s="30" t="s">
        <v>80</v>
      </c>
      <c r="B360" s="1" t="s">
        <v>428</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3">
      <c r="A361" s="30" t="s">
        <v>80</v>
      </c>
      <c r="B361" s="1" t="s">
        <v>429</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3">
      <c r="A362" s="30" t="s">
        <v>80</v>
      </c>
      <c r="B362" s="1" t="s">
        <v>430</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3">
      <c r="A363" s="30" t="s">
        <v>80</v>
      </c>
      <c r="B363" s="1" t="s">
        <v>431</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3">
      <c r="A364" s="30" t="s">
        <v>80</v>
      </c>
      <c r="B364" s="1" t="s">
        <v>432</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3">
      <c r="A365" s="30" t="s">
        <v>80</v>
      </c>
      <c r="B365" s="1" t="s">
        <v>433</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3">
      <c r="A366" s="30" t="s">
        <v>80</v>
      </c>
      <c r="B366" s="1" t="s">
        <v>434</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3">
      <c r="A367" s="30" t="s">
        <v>80</v>
      </c>
      <c r="B367" s="1" t="s">
        <v>435</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3">
      <c r="A368" s="30" t="s">
        <v>80</v>
      </c>
      <c r="B368" s="1" t="s">
        <v>436</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3">
      <c r="A369" s="30" t="s">
        <v>80</v>
      </c>
      <c r="B369" s="1" t="s">
        <v>437</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3">
      <c r="A370" s="30" t="s">
        <v>80</v>
      </c>
      <c r="B370" s="1" t="s">
        <v>438</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3">
      <c r="A371" s="30" t="s">
        <v>80</v>
      </c>
      <c r="B371" s="1" t="s">
        <v>439</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3">
      <c r="A372" s="30" t="s">
        <v>80</v>
      </c>
      <c r="B372" s="1" t="s">
        <v>440</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3">
      <c r="A373" s="30" t="s">
        <v>80</v>
      </c>
      <c r="B373" s="1" t="s">
        <v>441</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3">
      <c r="A374" s="30" t="s">
        <v>80</v>
      </c>
      <c r="B374" s="1" t="s">
        <v>442</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3">
      <c r="A375" s="30" t="s">
        <v>80</v>
      </c>
      <c r="B375" s="1" t="s">
        <v>443</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3">
      <c r="A376" s="30" t="s">
        <v>80</v>
      </c>
      <c r="B376" s="1" t="s">
        <v>444</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3">
      <c r="A377" s="30" t="s">
        <v>80</v>
      </c>
      <c r="B377" s="1" t="s">
        <v>445</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3">
      <c r="A378" s="30" t="s">
        <v>80</v>
      </c>
      <c r="B378" s="1" t="s">
        <v>446</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3">
      <c r="A379" s="30" t="s">
        <v>80</v>
      </c>
      <c r="B379" s="1" t="s">
        <v>447</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3">
      <c r="A380" s="30" t="s">
        <v>80</v>
      </c>
      <c r="B380" s="1" t="s">
        <v>448</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3">
      <c r="A381" s="30" t="s">
        <v>80</v>
      </c>
      <c r="B381" s="1" t="s">
        <v>449</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3">
      <c r="A382" s="30" t="s">
        <v>80</v>
      </c>
      <c r="B382" s="1" t="s">
        <v>450</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3">
      <c r="A383" s="30" t="s">
        <v>80</v>
      </c>
      <c r="B383" s="1" t="s">
        <v>451</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3">
      <c r="A384" s="30" t="s">
        <v>80</v>
      </c>
      <c r="B384" s="1" t="s">
        <v>452</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3">
      <c r="A385" s="30" t="s">
        <v>80</v>
      </c>
      <c r="B385" s="1" t="s">
        <v>453</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3">
      <c r="A386" s="30" t="s">
        <v>80</v>
      </c>
      <c r="B386" s="1" t="s">
        <v>454</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3">
      <c r="A387" s="30" t="s">
        <v>80</v>
      </c>
      <c r="B387" s="1" t="s">
        <v>455</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3">
      <c r="A388" s="30" t="s">
        <v>80</v>
      </c>
      <c r="B388" s="1" t="s">
        <v>456</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3">
      <c r="A389" s="30" t="s">
        <v>80</v>
      </c>
      <c r="B389" s="1" t="s">
        <v>457</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3">
      <c r="A390" s="30" t="s">
        <v>80</v>
      </c>
      <c r="B390" s="1" t="s">
        <v>458</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3">
      <c r="A391" s="30" t="s">
        <v>80</v>
      </c>
      <c r="B391" s="1" t="s">
        <v>459</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3">
      <c r="A392" s="30" t="s">
        <v>80</v>
      </c>
      <c r="B392" s="1" t="s">
        <v>460</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3">
      <c r="A393" s="30" t="s">
        <v>80</v>
      </c>
      <c r="B393" s="1" t="s">
        <v>461</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3">
      <c r="A394" s="30" t="s">
        <v>80</v>
      </c>
      <c r="B394" s="1" t="s">
        <v>462</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3">
      <c r="A395" s="30" t="s">
        <v>80</v>
      </c>
      <c r="B395" s="1" t="s">
        <v>463</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3">
      <c r="A396" s="30" t="s">
        <v>80</v>
      </c>
      <c r="B396" s="1" t="s">
        <v>464</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3">
      <c r="A397" s="30" t="s">
        <v>80</v>
      </c>
      <c r="B397" s="1" t="s">
        <v>465</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3">
      <c r="A398" s="30" t="s">
        <v>80</v>
      </c>
      <c r="B398" s="1" t="s">
        <v>466</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3">
      <c r="A399" s="30" t="s">
        <v>80</v>
      </c>
      <c r="B399" s="1" t="s">
        <v>467</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3">
      <c r="A400" s="30" t="s">
        <v>80</v>
      </c>
      <c r="B400" s="1" t="s">
        <v>468</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3">
      <c r="A401" s="30" t="s">
        <v>80</v>
      </c>
      <c r="B401" s="1" t="s">
        <v>469</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3">
      <c r="A402" s="30" t="s">
        <v>80</v>
      </c>
      <c r="B402" s="1" t="s">
        <v>470</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3">
      <c r="A403" s="30" t="s">
        <v>80</v>
      </c>
      <c r="B403" s="1" t="s">
        <v>471</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3">
      <c r="A404" s="30" t="s">
        <v>80</v>
      </c>
      <c r="B404" s="1" t="s">
        <v>472</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3">
      <c r="A405" s="30" t="s">
        <v>80</v>
      </c>
      <c r="B405" s="1" t="s">
        <v>473</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3">
      <c r="A406" s="30" t="s">
        <v>80</v>
      </c>
      <c r="B406" s="1" t="s">
        <v>474</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3">
      <c r="A407" s="30" t="s">
        <v>80</v>
      </c>
      <c r="B407" s="1" t="s">
        <v>475</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3">
      <c r="A408" s="30" t="s">
        <v>80</v>
      </c>
      <c r="B408" s="1" t="s">
        <v>476</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3">
      <c r="A409" s="30" t="s">
        <v>80</v>
      </c>
      <c r="B409" s="1" t="s">
        <v>477</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3">
      <c r="A410" s="30" t="s">
        <v>80</v>
      </c>
      <c r="B410" s="1" t="s">
        <v>478</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3">
      <c r="A411" s="30" t="s">
        <v>80</v>
      </c>
      <c r="B411" s="1" t="s">
        <v>479</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3">
      <c r="A412" s="30" t="s">
        <v>80</v>
      </c>
      <c r="B412" s="1" t="s">
        <v>480</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3">
      <c r="A413" s="30" t="s">
        <v>80</v>
      </c>
      <c r="B413" s="1" t="s">
        <v>481</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3">
      <c r="A414" s="30" t="s">
        <v>80</v>
      </c>
      <c r="B414" s="1" t="s">
        <v>482</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3">
      <c r="A415" s="30" t="s">
        <v>80</v>
      </c>
      <c r="B415" s="1" t="s">
        <v>483</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3">
      <c r="A416" s="30" t="s">
        <v>80</v>
      </c>
      <c r="B416" s="1" t="s">
        <v>484</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3">
      <c r="A417" s="30" t="s">
        <v>80</v>
      </c>
      <c r="B417" s="1" t="s">
        <v>485</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3">
      <c r="A418" s="30" t="s">
        <v>80</v>
      </c>
      <c r="B418" s="1" t="s">
        <v>486</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3">
      <c r="A419" s="30" t="s">
        <v>80</v>
      </c>
      <c r="B419" s="1" t="s">
        <v>487</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3">
      <c r="A420" s="30" t="s">
        <v>80</v>
      </c>
      <c r="B420" s="1" t="s">
        <v>488</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3">
      <c r="A421" s="30" t="s">
        <v>80</v>
      </c>
      <c r="B421" s="1" t="s">
        <v>489</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3">
      <c r="A422" s="30" t="s">
        <v>80</v>
      </c>
      <c r="B422" s="1" t="s">
        <v>490</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3">
      <c r="A423" s="30" t="s">
        <v>80</v>
      </c>
      <c r="B423" s="1" t="s">
        <v>491</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3">
      <c r="A424" s="30" t="s">
        <v>80</v>
      </c>
      <c r="B424" s="1" t="s">
        <v>492</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3">
      <c r="A425" s="30" t="s">
        <v>80</v>
      </c>
      <c r="B425" s="1" t="s">
        <v>493</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3">
      <c r="A426" s="30" t="s">
        <v>80</v>
      </c>
      <c r="B426" s="1" t="s">
        <v>494</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3">
      <c r="A427" s="30" t="s">
        <v>80</v>
      </c>
      <c r="B427" s="1" t="s">
        <v>495</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3">
      <c r="A428" s="30" t="s">
        <v>80</v>
      </c>
      <c r="B428" s="1" t="s">
        <v>496</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3">
      <c r="A429" s="30" t="s">
        <v>80</v>
      </c>
      <c r="B429" s="1" t="s">
        <v>497</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3">
      <c r="A430" s="30" t="s">
        <v>80</v>
      </c>
      <c r="B430" s="1" t="s">
        <v>498</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3">
      <c r="A431" s="30" t="s">
        <v>80</v>
      </c>
      <c r="B431" s="1" t="s">
        <v>499</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3">
      <c r="A432" s="30" t="s">
        <v>80</v>
      </c>
      <c r="B432" s="1" t="s">
        <v>500</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3">
      <c r="A433" s="30" t="s">
        <v>80</v>
      </c>
      <c r="B433" s="1" t="s">
        <v>501</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3">
      <c r="A434" s="30" t="s">
        <v>80</v>
      </c>
      <c r="B434" s="1" t="s">
        <v>502</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3">
      <c r="A435" s="30" t="s">
        <v>80</v>
      </c>
      <c r="B435" s="1" t="s">
        <v>503</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3">
      <c r="A436" s="30" t="s">
        <v>80</v>
      </c>
      <c r="B436" s="1" t="s">
        <v>504</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3">
      <c r="A437" s="30" t="s">
        <v>80</v>
      </c>
      <c r="B437" s="1" t="s">
        <v>505</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3">
      <c r="A438" s="30" t="s">
        <v>80</v>
      </c>
      <c r="B438" s="1" t="s">
        <v>506</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3">
      <c r="A439" s="30" t="s">
        <v>80</v>
      </c>
      <c r="B439" s="1" t="s">
        <v>507</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3">
      <c r="A440" s="30" t="s">
        <v>80</v>
      </c>
      <c r="B440" s="1" t="s">
        <v>508</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3">
      <c r="A441" s="30" t="s">
        <v>80</v>
      </c>
      <c r="B441" s="1" t="s">
        <v>509</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3">
      <c r="A442" s="30" t="s">
        <v>80</v>
      </c>
      <c r="B442" s="1" t="s">
        <v>510</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3">
      <c r="A443" s="30" t="s">
        <v>80</v>
      </c>
      <c r="B443" s="1" t="s">
        <v>511</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3">
      <c r="A444" s="30" t="s">
        <v>80</v>
      </c>
      <c r="B444" s="1" t="s">
        <v>512</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3">
      <c r="A445" s="30" t="s">
        <v>80</v>
      </c>
      <c r="B445" s="1" t="s">
        <v>513</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3">
      <c r="A446" s="30" t="s">
        <v>80</v>
      </c>
      <c r="B446" s="1" t="s">
        <v>514</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3">
      <c r="A447" s="30" t="s">
        <v>80</v>
      </c>
      <c r="B447" s="1" t="s">
        <v>515</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3">
      <c r="A448" s="30" t="s">
        <v>80</v>
      </c>
      <c r="B448" s="1" t="s">
        <v>516</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3">
      <c r="A449" s="30" t="s">
        <v>80</v>
      </c>
      <c r="B449" s="1" t="s">
        <v>517</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3">
      <c r="A450" s="30" t="s">
        <v>80</v>
      </c>
      <c r="B450" s="1" t="s">
        <v>518</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3">
      <c r="A451" s="30" t="s">
        <v>80</v>
      </c>
      <c r="B451" s="1" t="s">
        <v>519</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3">
      <c r="A452" s="30" t="s">
        <v>80</v>
      </c>
      <c r="B452" s="1" t="s">
        <v>520</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3">
      <c r="A453" s="30" t="s">
        <v>80</v>
      </c>
      <c r="B453" s="1" t="s">
        <v>521</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3">
      <c r="A454" s="30" t="s">
        <v>80</v>
      </c>
      <c r="B454" s="1" t="s">
        <v>522</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3">
      <c r="A455" s="30" t="s">
        <v>80</v>
      </c>
      <c r="B455" s="1" t="s">
        <v>523</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3">
      <c r="A456" s="30" t="s">
        <v>80</v>
      </c>
      <c r="B456" s="1" t="s">
        <v>524</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3">
      <c r="A457" s="30" t="s">
        <v>80</v>
      </c>
      <c r="B457" s="1" t="s">
        <v>525</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3">
      <c r="A458" s="30" t="s">
        <v>80</v>
      </c>
      <c r="B458" s="1" t="s">
        <v>526</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3">
      <c r="A459" s="30" t="s">
        <v>80</v>
      </c>
      <c r="B459" s="1" t="s">
        <v>527</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3">
      <c r="A460" s="30" t="s">
        <v>80</v>
      </c>
      <c r="B460" s="1" t="s">
        <v>528</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3">
      <c r="A461" s="30" t="s">
        <v>80</v>
      </c>
      <c r="B461" s="1" t="s">
        <v>529</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3">
      <c r="A462" s="30" t="s">
        <v>80</v>
      </c>
      <c r="B462" s="1" t="s">
        <v>530</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3">
      <c r="A463" s="30" t="s">
        <v>80</v>
      </c>
      <c r="B463" s="1" t="s">
        <v>531</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3">
      <c r="A464" s="30" t="s">
        <v>80</v>
      </c>
      <c r="B464" s="1" t="s">
        <v>532</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3">
      <c r="A465" s="30" t="s">
        <v>80</v>
      </c>
      <c r="B465" s="1" t="s">
        <v>533</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3">
      <c r="A466" s="30" t="s">
        <v>80</v>
      </c>
      <c r="B466" s="1" t="s">
        <v>534</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3">
      <c r="A467" s="30" t="s">
        <v>80</v>
      </c>
      <c r="B467" s="1" t="s">
        <v>535</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3">
      <c r="A468" s="30" t="s">
        <v>80</v>
      </c>
      <c r="B468" s="1" t="s">
        <v>536</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3">
      <c r="A469" s="30" t="s">
        <v>80</v>
      </c>
      <c r="B469" s="1" t="s">
        <v>537</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3">
      <c r="A470" s="30" t="s">
        <v>80</v>
      </c>
      <c r="B470" s="1" t="s">
        <v>538</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3">
      <c r="A471" s="30" t="s">
        <v>80</v>
      </c>
      <c r="B471" s="1" t="s">
        <v>539</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3">
      <c r="A472" s="30" t="s">
        <v>80</v>
      </c>
      <c r="B472" s="1" t="s">
        <v>540</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3">
      <c r="A473" s="30" t="s">
        <v>80</v>
      </c>
      <c r="B473" s="1" t="s">
        <v>541</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3">
      <c r="A474" s="30" t="s">
        <v>80</v>
      </c>
      <c r="B474" s="1" t="s">
        <v>542</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3">
      <c r="A475" s="30" t="s">
        <v>80</v>
      </c>
      <c r="B475" s="1" t="s">
        <v>543</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3">
      <c r="A476" s="30" t="s">
        <v>80</v>
      </c>
      <c r="B476" s="1" t="s">
        <v>544</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3">
      <c r="A477" s="30" t="s">
        <v>80</v>
      </c>
      <c r="B477" s="1" t="s">
        <v>545</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3">
      <c r="A478" s="30" t="s">
        <v>80</v>
      </c>
      <c r="B478" s="1" t="s">
        <v>546</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3">
      <c r="A479" s="30" t="s">
        <v>80</v>
      </c>
      <c r="B479" s="1" t="s">
        <v>547</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3">
      <c r="A480" s="30" t="s">
        <v>80</v>
      </c>
      <c r="B480" s="1" t="s">
        <v>548</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3">
      <c r="A481" s="30" t="s">
        <v>80</v>
      </c>
      <c r="B481" s="1" t="s">
        <v>549</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3">
      <c r="A482" s="30" t="s">
        <v>80</v>
      </c>
      <c r="B482" s="1" t="s">
        <v>550</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3">
      <c r="A483" s="30" t="s">
        <v>80</v>
      </c>
      <c r="B483" s="1" t="s">
        <v>551</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3">
      <c r="A484" s="30" t="s">
        <v>80</v>
      </c>
      <c r="B484" s="1" t="s">
        <v>552</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3">
      <c r="A485" s="30" t="s">
        <v>80</v>
      </c>
      <c r="B485" s="1" t="s">
        <v>553</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3">
      <c r="A486" s="30" t="s">
        <v>80</v>
      </c>
      <c r="B486" s="1" t="s">
        <v>554</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3">
      <c r="A487" s="30" t="s">
        <v>80</v>
      </c>
      <c r="B487" s="1" t="s">
        <v>555</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3">
      <c r="A488" s="30" t="s">
        <v>80</v>
      </c>
      <c r="B488" s="1" t="s">
        <v>556</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3">
      <c r="A489" s="30" t="s">
        <v>80</v>
      </c>
      <c r="B489" s="1" t="s">
        <v>557</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3">
      <c r="A490" s="30" t="s">
        <v>80</v>
      </c>
      <c r="B490" s="1" t="s">
        <v>558</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3">
      <c r="A491" s="30" t="s">
        <v>80</v>
      </c>
      <c r="B491" s="1" t="s">
        <v>559</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3">
      <c r="A492" s="30" t="s">
        <v>80</v>
      </c>
      <c r="B492" s="1" t="s">
        <v>560</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3">
      <c r="A493" s="30" t="s">
        <v>80</v>
      </c>
      <c r="B493" s="1" t="s">
        <v>561</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3">
      <c r="A494" s="30" t="s">
        <v>80</v>
      </c>
      <c r="B494" s="1" t="s">
        <v>562</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3">
      <c r="A495" s="30" t="s">
        <v>80</v>
      </c>
      <c r="B495" s="1" t="s">
        <v>563</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3">
      <c r="A496" s="30" t="s">
        <v>80</v>
      </c>
      <c r="B496" s="1" t="s">
        <v>564</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x14ac:dyDescent="0.3">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3">
      <c r="A498" s="30" t="s">
        <v>565</v>
      </c>
      <c r="B498" s="1" t="s">
        <v>566</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04">
        <v>391</v>
      </c>
      <c r="N498" s="504">
        <v>334</v>
      </c>
      <c r="O498" s="504">
        <v>374</v>
      </c>
      <c r="P498" s="504">
        <v>393</v>
      </c>
      <c r="Q498" s="504">
        <v>365</v>
      </c>
      <c r="R498" s="504">
        <v>333</v>
      </c>
      <c r="S498" s="504">
        <v>365</v>
      </c>
      <c r="T498" s="504">
        <v>388</v>
      </c>
      <c r="U498" s="504">
        <v>394</v>
      </c>
      <c r="V498" s="504">
        <v>392</v>
      </c>
      <c r="W498" s="504">
        <v>375</v>
      </c>
      <c r="X498" s="504">
        <v>423</v>
      </c>
      <c r="Y498" s="504">
        <v>403</v>
      </c>
      <c r="Z498" s="504">
        <v>425</v>
      </c>
      <c r="AA498" s="504">
        <v>394</v>
      </c>
      <c r="AB498" s="504">
        <v>319</v>
      </c>
      <c r="AC498" s="504">
        <v>337</v>
      </c>
      <c r="AD498" s="504">
        <v>363</v>
      </c>
      <c r="AE498" s="504">
        <v>363</v>
      </c>
      <c r="AF498" s="504">
        <v>317</v>
      </c>
      <c r="AG498" s="504">
        <v>288</v>
      </c>
      <c r="AH498" s="504">
        <v>332</v>
      </c>
      <c r="AI498" s="504">
        <v>374</v>
      </c>
      <c r="AJ498" s="504">
        <v>338</v>
      </c>
      <c r="AK498" s="504">
        <v>389</v>
      </c>
      <c r="AL498" s="504">
        <v>412</v>
      </c>
      <c r="AM498" s="504">
        <v>367</v>
      </c>
      <c r="AN498" s="504">
        <v>361</v>
      </c>
      <c r="AO498" s="504">
        <v>441</v>
      </c>
      <c r="AP498" s="504">
        <v>438</v>
      </c>
      <c r="AQ498" s="504">
        <v>468</v>
      </c>
      <c r="AR498" s="504">
        <v>465</v>
      </c>
      <c r="AS498" s="504">
        <v>442</v>
      </c>
      <c r="AT498" s="504">
        <v>467</v>
      </c>
      <c r="AU498" s="504">
        <v>398</v>
      </c>
      <c r="AV498" s="504">
        <v>423</v>
      </c>
      <c r="AW498" s="504">
        <v>418</v>
      </c>
      <c r="AX498" s="504">
        <v>449</v>
      </c>
      <c r="AY498" s="504">
        <v>389</v>
      </c>
      <c r="AZ498" s="504">
        <v>409</v>
      </c>
      <c r="BA498" s="504">
        <v>365</v>
      </c>
      <c r="BB498" s="504">
        <v>396</v>
      </c>
      <c r="BC498" s="504">
        <v>373</v>
      </c>
      <c r="BD498" s="504">
        <v>369</v>
      </c>
      <c r="BE498" s="504">
        <v>348</v>
      </c>
      <c r="BF498" s="504">
        <v>299</v>
      </c>
      <c r="BG498" s="504">
        <v>345</v>
      </c>
      <c r="BH498" s="504">
        <v>417</v>
      </c>
      <c r="BI498" s="504">
        <v>386</v>
      </c>
      <c r="BJ498" s="504">
        <v>430</v>
      </c>
      <c r="BK498" s="504">
        <v>495</v>
      </c>
      <c r="BL498" s="504">
        <v>469</v>
      </c>
      <c r="BM498" s="504">
        <v>471</v>
      </c>
      <c r="BN498" s="504">
        <v>521</v>
      </c>
      <c r="BO498" s="504">
        <v>498</v>
      </c>
      <c r="BP498" s="504">
        <v>491</v>
      </c>
      <c r="BQ498" s="504">
        <v>525</v>
      </c>
      <c r="BR498" s="504">
        <v>529</v>
      </c>
      <c r="BS498" s="504">
        <v>512</v>
      </c>
      <c r="BT498" s="504">
        <v>493</v>
      </c>
      <c r="BU498" s="504">
        <v>503</v>
      </c>
      <c r="BV498" s="504">
        <v>432</v>
      </c>
      <c r="BW498" s="504">
        <v>445</v>
      </c>
      <c r="BX498" s="504">
        <v>434</v>
      </c>
      <c r="BY498" s="504">
        <v>364</v>
      </c>
      <c r="BZ498" s="504">
        <v>441</v>
      </c>
      <c r="CA498" s="504">
        <v>389</v>
      </c>
      <c r="CB498" s="504">
        <v>372</v>
      </c>
      <c r="CC498" s="504">
        <v>364</v>
      </c>
      <c r="CD498" s="504">
        <v>375</v>
      </c>
      <c r="CE498" s="504">
        <v>341</v>
      </c>
      <c r="CF498" s="504">
        <v>358</v>
      </c>
      <c r="CG498" s="504">
        <v>351</v>
      </c>
      <c r="CH498" s="504">
        <v>359</v>
      </c>
      <c r="CI498" s="504">
        <v>343</v>
      </c>
      <c r="CJ498" s="504">
        <v>401</v>
      </c>
      <c r="CK498" s="504">
        <v>297</v>
      </c>
      <c r="CL498" s="504">
        <v>262</v>
      </c>
      <c r="CM498" s="504">
        <v>235</v>
      </c>
      <c r="CN498" s="504">
        <v>261</v>
      </c>
      <c r="CO498" s="504">
        <v>210</v>
      </c>
      <c r="CP498" s="504">
        <v>179</v>
      </c>
      <c r="CQ498" s="504">
        <v>155</v>
      </c>
      <c r="CR498" s="504">
        <v>164</v>
      </c>
      <c r="CS498" s="504">
        <v>135</v>
      </c>
      <c r="CT498" s="504">
        <v>101</v>
      </c>
      <c r="CU498" s="504">
        <v>100</v>
      </c>
      <c r="CV498" s="504">
        <v>87</v>
      </c>
      <c r="CW498" s="504">
        <v>55</v>
      </c>
      <c r="CX498" s="504">
        <v>58</v>
      </c>
      <c r="CY498" s="504">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3">
      <c r="A499" s="30" t="s">
        <v>68</v>
      </c>
      <c r="B499" s="1" t="s">
        <v>567</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04">
        <v>731</v>
      </c>
      <c r="N499" s="504">
        <v>689</v>
      </c>
      <c r="O499" s="504">
        <v>714</v>
      </c>
      <c r="P499" s="504">
        <v>751</v>
      </c>
      <c r="Q499" s="504">
        <v>788</v>
      </c>
      <c r="R499" s="504">
        <v>823</v>
      </c>
      <c r="S499" s="504">
        <v>811</v>
      </c>
      <c r="T499" s="504">
        <v>852</v>
      </c>
      <c r="U499" s="504">
        <v>862</v>
      </c>
      <c r="V499" s="504">
        <v>879</v>
      </c>
      <c r="W499" s="504">
        <v>884</v>
      </c>
      <c r="X499" s="504">
        <v>978</v>
      </c>
      <c r="Y499" s="504">
        <v>895</v>
      </c>
      <c r="Z499" s="504">
        <v>924</v>
      </c>
      <c r="AA499" s="504">
        <v>890</v>
      </c>
      <c r="AB499" s="504">
        <v>868</v>
      </c>
      <c r="AC499" s="504">
        <v>836</v>
      </c>
      <c r="AD499" s="504">
        <v>905</v>
      </c>
      <c r="AE499" s="504">
        <v>777</v>
      </c>
      <c r="AF499" s="504">
        <v>641</v>
      </c>
      <c r="AG499" s="504">
        <v>674</v>
      </c>
      <c r="AH499" s="504">
        <v>686</v>
      </c>
      <c r="AI499" s="504">
        <v>727</v>
      </c>
      <c r="AJ499" s="504">
        <v>840</v>
      </c>
      <c r="AK499" s="504">
        <v>858</v>
      </c>
      <c r="AL499" s="504">
        <v>945</v>
      </c>
      <c r="AM499" s="504">
        <v>890</v>
      </c>
      <c r="AN499" s="504">
        <v>816</v>
      </c>
      <c r="AO499" s="504">
        <v>944</v>
      </c>
      <c r="AP499" s="504">
        <v>857</v>
      </c>
      <c r="AQ499" s="504">
        <v>968</v>
      </c>
      <c r="AR499" s="504">
        <v>910</v>
      </c>
      <c r="AS499" s="504">
        <v>982</v>
      </c>
      <c r="AT499" s="504">
        <v>986</v>
      </c>
      <c r="AU499" s="504">
        <v>996</v>
      </c>
      <c r="AV499" s="504">
        <v>984</v>
      </c>
      <c r="AW499" s="504">
        <v>944</v>
      </c>
      <c r="AX499" s="504">
        <v>937</v>
      </c>
      <c r="AY499" s="504">
        <v>874</v>
      </c>
      <c r="AZ499" s="504">
        <v>882</v>
      </c>
      <c r="BA499" s="504">
        <v>860</v>
      </c>
      <c r="BB499" s="504">
        <v>916</v>
      </c>
      <c r="BC499" s="504">
        <v>935</v>
      </c>
      <c r="BD499" s="504">
        <v>885</v>
      </c>
      <c r="BE499" s="504">
        <v>798</v>
      </c>
      <c r="BF499" s="504">
        <v>764</v>
      </c>
      <c r="BG499" s="504">
        <v>821</v>
      </c>
      <c r="BH499" s="504">
        <v>816</v>
      </c>
      <c r="BI499" s="504">
        <v>884</v>
      </c>
      <c r="BJ499" s="504">
        <v>901</v>
      </c>
      <c r="BK499" s="504">
        <v>1009</v>
      </c>
      <c r="BL499" s="504">
        <v>1091</v>
      </c>
      <c r="BM499" s="504">
        <v>977</v>
      </c>
      <c r="BN499" s="504">
        <v>1017</v>
      </c>
      <c r="BO499" s="504">
        <v>1078</v>
      </c>
      <c r="BP499" s="504">
        <v>1056</v>
      </c>
      <c r="BQ499" s="504">
        <v>1081</v>
      </c>
      <c r="BR499" s="504">
        <v>1062</v>
      </c>
      <c r="BS499" s="504">
        <v>1067</v>
      </c>
      <c r="BT499" s="504">
        <v>1000</v>
      </c>
      <c r="BU499" s="504">
        <v>1035</v>
      </c>
      <c r="BV499" s="504">
        <v>984</v>
      </c>
      <c r="BW499" s="504">
        <v>918</v>
      </c>
      <c r="BX499" s="504">
        <v>903</v>
      </c>
      <c r="BY499" s="504">
        <v>907</v>
      </c>
      <c r="BZ499" s="504">
        <v>835</v>
      </c>
      <c r="CA499" s="504">
        <v>831</v>
      </c>
      <c r="CB499" s="504">
        <v>766</v>
      </c>
      <c r="CC499" s="504">
        <v>742</v>
      </c>
      <c r="CD499" s="504">
        <v>776</v>
      </c>
      <c r="CE499" s="504">
        <v>736</v>
      </c>
      <c r="CF499" s="504">
        <v>767</v>
      </c>
      <c r="CG499" s="504">
        <v>726</v>
      </c>
      <c r="CH499" s="504">
        <v>780</v>
      </c>
      <c r="CI499" s="504">
        <v>754</v>
      </c>
      <c r="CJ499" s="504">
        <v>809</v>
      </c>
      <c r="CK499" s="504">
        <v>632</v>
      </c>
      <c r="CL499" s="504">
        <v>617</v>
      </c>
      <c r="CM499" s="504">
        <v>572</v>
      </c>
      <c r="CN499" s="504">
        <v>506</v>
      </c>
      <c r="CO499" s="504">
        <v>443</v>
      </c>
      <c r="CP499" s="504">
        <v>449</v>
      </c>
      <c r="CQ499" s="504">
        <v>367</v>
      </c>
      <c r="CR499" s="504">
        <v>336</v>
      </c>
      <c r="CS499" s="504">
        <v>314</v>
      </c>
      <c r="CT499" s="504">
        <v>257</v>
      </c>
      <c r="CU499" s="504">
        <v>226</v>
      </c>
      <c r="CV499" s="504">
        <v>223</v>
      </c>
      <c r="CW499" s="504">
        <v>154</v>
      </c>
      <c r="CX499" s="504">
        <v>144</v>
      </c>
      <c r="CY499" s="504">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3">
      <c r="A500" s="30" t="s">
        <v>68</v>
      </c>
      <c r="B500" s="1" t="s">
        <v>568</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04">
        <v>834</v>
      </c>
      <c r="N500" s="504">
        <v>824</v>
      </c>
      <c r="O500" s="504">
        <v>908</v>
      </c>
      <c r="P500" s="504">
        <v>935</v>
      </c>
      <c r="Q500" s="504">
        <v>1007</v>
      </c>
      <c r="R500" s="504">
        <v>996</v>
      </c>
      <c r="S500" s="504">
        <v>1029</v>
      </c>
      <c r="T500" s="504">
        <v>1072</v>
      </c>
      <c r="U500" s="504">
        <v>1068</v>
      </c>
      <c r="V500" s="504">
        <v>1056</v>
      </c>
      <c r="W500" s="504">
        <v>1069</v>
      </c>
      <c r="X500" s="504">
        <v>1095</v>
      </c>
      <c r="Y500" s="504">
        <v>1148</v>
      </c>
      <c r="Z500" s="504">
        <v>1126</v>
      </c>
      <c r="AA500" s="504">
        <v>1141</v>
      </c>
      <c r="AB500" s="504">
        <v>1053</v>
      </c>
      <c r="AC500" s="504">
        <v>1026</v>
      </c>
      <c r="AD500" s="504">
        <v>1028</v>
      </c>
      <c r="AE500" s="504">
        <v>1108</v>
      </c>
      <c r="AF500" s="504">
        <v>875</v>
      </c>
      <c r="AG500" s="504">
        <v>817</v>
      </c>
      <c r="AH500" s="504">
        <v>888</v>
      </c>
      <c r="AI500" s="504">
        <v>942</v>
      </c>
      <c r="AJ500" s="504">
        <v>891</v>
      </c>
      <c r="AK500" s="504">
        <v>901</v>
      </c>
      <c r="AL500" s="504">
        <v>1103</v>
      </c>
      <c r="AM500" s="504">
        <v>1005</v>
      </c>
      <c r="AN500" s="504">
        <v>987</v>
      </c>
      <c r="AO500" s="504">
        <v>1032</v>
      </c>
      <c r="AP500" s="504">
        <v>1030</v>
      </c>
      <c r="AQ500" s="504">
        <v>1074</v>
      </c>
      <c r="AR500" s="504">
        <v>1182</v>
      </c>
      <c r="AS500" s="504">
        <v>1115</v>
      </c>
      <c r="AT500" s="504">
        <v>1132</v>
      </c>
      <c r="AU500" s="504">
        <v>1167</v>
      </c>
      <c r="AV500" s="504">
        <v>1071</v>
      </c>
      <c r="AW500" s="504">
        <v>1140</v>
      </c>
      <c r="AX500" s="504">
        <v>1077</v>
      </c>
      <c r="AY500" s="504">
        <v>1079</v>
      </c>
      <c r="AZ500" s="504">
        <v>1060</v>
      </c>
      <c r="BA500" s="504">
        <v>1012</v>
      </c>
      <c r="BB500" s="504">
        <v>1070</v>
      </c>
      <c r="BC500" s="504">
        <v>1085</v>
      </c>
      <c r="BD500" s="504">
        <v>1002</v>
      </c>
      <c r="BE500" s="504">
        <v>958</v>
      </c>
      <c r="BF500" s="504">
        <v>997</v>
      </c>
      <c r="BG500" s="504">
        <v>992</v>
      </c>
      <c r="BH500" s="504">
        <v>988</v>
      </c>
      <c r="BI500" s="504">
        <v>1077</v>
      </c>
      <c r="BJ500" s="504">
        <v>1113</v>
      </c>
      <c r="BK500" s="504">
        <v>1157</v>
      </c>
      <c r="BL500" s="504">
        <v>1232</v>
      </c>
      <c r="BM500" s="504">
        <v>1129</v>
      </c>
      <c r="BN500" s="504">
        <v>1299</v>
      </c>
      <c r="BO500" s="504">
        <v>1259</v>
      </c>
      <c r="BP500" s="504">
        <v>1214</v>
      </c>
      <c r="BQ500" s="504">
        <v>1265</v>
      </c>
      <c r="BR500" s="504">
        <v>1277</v>
      </c>
      <c r="BS500" s="504">
        <v>1255</v>
      </c>
      <c r="BT500" s="504">
        <v>1273</v>
      </c>
      <c r="BU500" s="504">
        <v>1181</v>
      </c>
      <c r="BV500" s="504">
        <v>1146</v>
      </c>
      <c r="BW500" s="504">
        <v>1118</v>
      </c>
      <c r="BX500" s="504">
        <v>1064</v>
      </c>
      <c r="BY500" s="504">
        <v>1058</v>
      </c>
      <c r="BZ500" s="504">
        <v>1029</v>
      </c>
      <c r="CA500" s="504">
        <v>925</v>
      </c>
      <c r="CB500" s="504">
        <v>870</v>
      </c>
      <c r="CC500" s="504">
        <v>989</v>
      </c>
      <c r="CD500" s="504">
        <v>948</v>
      </c>
      <c r="CE500" s="504">
        <v>880</v>
      </c>
      <c r="CF500" s="504">
        <v>910</v>
      </c>
      <c r="CG500" s="504">
        <v>938</v>
      </c>
      <c r="CH500" s="504">
        <v>837</v>
      </c>
      <c r="CI500" s="504">
        <v>970</v>
      </c>
      <c r="CJ500" s="504">
        <v>989</v>
      </c>
      <c r="CK500" s="504">
        <v>740</v>
      </c>
      <c r="CL500" s="504">
        <v>691</v>
      </c>
      <c r="CM500" s="504">
        <v>645</v>
      </c>
      <c r="CN500" s="504">
        <v>570</v>
      </c>
      <c r="CO500" s="504">
        <v>578</v>
      </c>
      <c r="CP500" s="504">
        <v>442</v>
      </c>
      <c r="CQ500" s="504">
        <v>426</v>
      </c>
      <c r="CR500" s="504">
        <v>410</v>
      </c>
      <c r="CS500" s="504">
        <v>355</v>
      </c>
      <c r="CT500" s="504">
        <v>296</v>
      </c>
      <c r="CU500" s="504">
        <v>259</v>
      </c>
      <c r="CV500" s="504">
        <v>215</v>
      </c>
      <c r="CW500" s="504">
        <v>176</v>
      </c>
      <c r="CX500" s="504">
        <v>150</v>
      </c>
      <c r="CY500" s="504">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3">
      <c r="A501" s="30" t="s">
        <v>68</v>
      </c>
      <c r="B501" s="1" t="s">
        <v>569</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04">
        <v>1950</v>
      </c>
      <c r="N501" s="504">
        <v>1875</v>
      </c>
      <c r="O501" s="504">
        <v>1880</v>
      </c>
      <c r="P501" s="504">
        <v>1977</v>
      </c>
      <c r="Q501" s="504">
        <v>2035</v>
      </c>
      <c r="R501" s="504">
        <v>2099</v>
      </c>
      <c r="S501" s="504">
        <v>2234</v>
      </c>
      <c r="T501" s="504">
        <v>2194</v>
      </c>
      <c r="U501" s="504">
        <v>2213</v>
      </c>
      <c r="V501" s="504">
        <v>2181</v>
      </c>
      <c r="W501" s="504">
        <v>2303</v>
      </c>
      <c r="X501" s="504">
        <v>2380</v>
      </c>
      <c r="Y501" s="504">
        <v>2271</v>
      </c>
      <c r="Z501" s="504">
        <v>2188</v>
      </c>
      <c r="AA501" s="504">
        <v>2173</v>
      </c>
      <c r="AB501" s="504">
        <v>2117</v>
      </c>
      <c r="AC501" s="504">
        <v>2130</v>
      </c>
      <c r="AD501" s="504">
        <v>2130</v>
      </c>
      <c r="AE501" s="504">
        <v>2327</v>
      </c>
      <c r="AF501" s="504">
        <v>4164</v>
      </c>
      <c r="AG501" s="504">
        <v>4565</v>
      </c>
      <c r="AH501" s="504">
        <v>4249</v>
      </c>
      <c r="AI501" s="504">
        <v>3797</v>
      </c>
      <c r="AJ501" s="504">
        <v>3628</v>
      </c>
      <c r="AK501" s="504">
        <v>3513</v>
      </c>
      <c r="AL501" s="504">
        <v>3439</v>
      </c>
      <c r="AM501" s="504">
        <v>3420</v>
      </c>
      <c r="AN501" s="504">
        <v>3228</v>
      </c>
      <c r="AO501" s="504">
        <v>3077</v>
      </c>
      <c r="AP501" s="504">
        <v>2999</v>
      </c>
      <c r="AQ501" s="504">
        <v>2824</v>
      </c>
      <c r="AR501" s="504">
        <v>2846</v>
      </c>
      <c r="AS501" s="504">
        <v>2776</v>
      </c>
      <c r="AT501" s="504">
        <v>2588</v>
      </c>
      <c r="AU501" s="504">
        <v>2705</v>
      </c>
      <c r="AV501" s="504">
        <v>2608</v>
      </c>
      <c r="AW501" s="504">
        <v>2669</v>
      </c>
      <c r="AX501" s="504">
        <v>2467</v>
      </c>
      <c r="AY501" s="504">
        <v>2494</v>
      </c>
      <c r="AZ501" s="504">
        <v>2498</v>
      </c>
      <c r="BA501" s="504">
        <v>2343</v>
      </c>
      <c r="BB501" s="504">
        <v>2361</v>
      </c>
      <c r="BC501" s="504">
        <v>2324</v>
      </c>
      <c r="BD501" s="504">
        <v>2260</v>
      </c>
      <c r="BE501" s="504">
        <v>2022</v>
      </c>
      <c r="BF501" s="504">
        <v>2128</v>
      </c>
      <c r="BG501" s="504">
        <v>2019</v>
      </c>
      <c r="BH501" s="504">
        <v>2027</v>
      </c>
      <c r="BI501" s="504">
        <v>2070</v>
      </c>
      <c r="BJ501" s="504">
        <v>1928</v>
      </c>
      <c r="BK501" s="504">
        <v>1966</v>
      </c>
      <c r="BL501" s="504">
        <v>2100</v>
      </c>
      <c r="BM501" s="504">
        <v>2061</v>
      </c>
      <c r="BN501" s="504">
        <v>2078</v>
      </c>
      <c r="BO501" s="504">
        <v>1992</v>
      </c>
      <c r="BP501" s="504">
        <v>2070</v>
      </c>
      <c r="BQ501" s="504">
        <v>1888</v>
      </c>
      <c r="BR501" s="504">
        <v>2027</v>
      </c>
      <c r="BS501" s="504">
        <v>1976</v>
      </c>
      <c r="BT501" s="504">
        <v>1918</v>
      </c>
      <c r="BU501" s="504">
        <v>1994</v>
      </c>
      <c r="BV501" s="504">
        <v>1814</v>
      </c>
      <c r="BW501" s="504">
        <v>1830</v>
      </c>
      <c r="BX501" s="504">
        <v>1808</v>
      </c>
      <c r="BY501" s="504">
        <v>1654</v>
      </c>
      <c r="BZ501" s="504">
        <v>1666</v>
      </c>
      <c r="CA501" s="504">
        <v>1538</v>
      </c>
      <c r="CB501" s="504">
        <v>1449</v>
      </c>
      <c r="CC501" s="504">
        <v>1467</v>
      </c>
      <c r="CD501" s="504">
        <v>1364</v>
      </c>
      <c r="CE501" s="504">
        <v>1286</v>
      </c>
      <c r="CF501" s="504">
        <v>1359</v>
      </c>
      <c r="CG501" s="504">
        <v>1353</v>
      </c>
      <c r="CH501" s="504">
        <v>1306</v>
      </c>
      <c r="CI501" s="504">
        <v>1244</v>
      </c>
      <c r="CJ501" s="504">
        <v>1342</v>
      </c>
      <c r="CK501" s="504">
        <v>991</v>
      </c>
      <c r="CL501" s="504">
        <v>942</v>
      </c>
      <c r="CM501" s="504">
        <v>905</v>
      </c>
      <c r="CN501" s="504">
        <v>742</v>
      </c>
      <c r="CO501" s="504">
        <v>691</v>
      </c>
      <c r="CP501" s="504">
        <v>611</v>
      </c>
      <c r="CQ501" s="504">
        <v>589</v>
      </c>
      <c r="CR501" s="504">
        <v>538</v>
      </c>
      <c r="CS501" s="504">
        <v>490</v>
      </c>
      <c r="CT501" s="504">
        <v>446</v>
      </c>
      <c r="CU501" s="504">
        <v>394</v>
      </c>
      <c r="CV501" s="504">
        <v>368</v>
      </c>
      <c r="CW501" s="504">
        <v>281</v>
      </c>
      <c r="CX501" s="504">
        <v>249</v>
      </c>
      <c r="CY501" s="504">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3">
      <c r="A502" s="30" t="s">
        <v>68</v>
      </c>
      <c r="B502" s="1" t="s">
        <v>570</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04">
        <v>856</v>
      </c>
      <c r="N502" s="504">
        <v>866</v>
      </c>
      <c r="O502" s="504">
        <v>854</v>
      </c>
      <c r="P502" s="504">
        <v>934</v>
      </c>
      <c r="Q502" s="504">
        <v>976</v>
      </c>
      <c r="R502" s="504">
        <v>1016</v>
      </c>
      <c r="S502" s="504">
        <v>1068</v>
      </c>
      <c r="T502" s="504">
        <v>1057</v>
      </c>
      <c r="U502" s="504">
        <v>1032</v>
      </c>
      <c r="V502" s="504">
        <v>1077</v>
      </c>
      <c r="W502" s="504">
        <v>1158</v>
      </c>
      <c r="X502" s="504">
        <v>1168</v>
      </c>
      <c r="Y502" s="504">
        <v>1148</v>
      </c>
      <c r="Z502" s="504">
        <v>1099</v>
      </c>
      <c r="AA502" s="504">
        <v>1137</v>
      </c>
      <c r="AB502" s="504">
        <v>1146</v>
      </c>
      <c r="AC502" s="504">
        <v>1150</v>
      </c>
      <c r="AD502" s="504">
        <v>1098</v>
      </c>
      <c r="AE502" s="504">
        <v>1071</v>
      </c>
      <c r="AF502" s="504">
        <v>898</v>
      </c>
      <c r="AG502" s="504">
        <v>829</v>
      </c>
      <c r="AH502" s="504">
        <v>834</v>
      </c>
      <c r="AI502" s="504">
        <v>847</v>
      </c>
      <c r="AJ502" s="504">
        <v>907</v>
      </c>
      <c r="AK502" s="504">
        <v>957</v>
      </c>
      <c r="AL502" s="504">
        <v>1013</v>
      </c>
      <c r="AM502" s="504">
        <v>1000</v>
      </c>
      <c r="AN502" s="504">
        <v>923</v>
      </c>
      <c r="AO502" s="504">
        <v>977</v>
      </c>
      <c r="AP502" s="504">
        <v>975</v>
      </c>
      <c r="AQ502" s="504">
        <v>1005</v>
      </c>
      <c r="AR502" s="504">
        <v>1049</v>
      </c>
      <c r="AS502" s="504">
        <v>1077</v>
      </c>
      <c r="AT502" s="504">
        <v>1035</v>
      </c>
      <c r="AU502" s="504">
        <v>1116</v>
      </c>
      <c r="AV502" s="504">
        <v>1060</v>
      </c>
      <c r="AW502" s="504">
        <v>1050</v>
      </c>
      <c r="AX502" s="504">
        <v>991</v>
      </c>
      <c r="AY502" s="504">
        <v>1021</v>
      </c>
      <c r="AZ502" s="504">
        <v>1015</v>
      </c>
      <c r="BA502" s="504">
        <v>996</v>
      </c>
      <c r="BB502" s="504">
        <v>1033</v>
      </c>
      <c r="BC502" s="504">
        <v>1042</v>
      </c>
      <c r="BD502" s="504">
        <v>1003</v>
      </c>
      <c r="BE502" s="504">
        <v>929</v>
      </c>
      <c r="BF502" s="504">
        <v>918</v>
      </c>
      <c r="BG502" s="504">
        <v>1008</v>
      </c>
      <c r="BH502" s="504">
        <v>1037</v>
      </c>
      <c r="BI502" s="504">
        <v>1074</v>
      </c>
      <c r="BJ502" s="504">
        <v>1130</v>
      </c>
      <c r="BK502" s="504">
        <v>1203</v>
      </c>
      <c r="BL502" s="504">
        <v>1281</v>
      </c>
      <c r="BM502" s="504">
        <v>1243</v>
      </c>
      <c r="BN502" s="504">
        <v>1231</v>
      </c>
      <c r="BO502" s="504">
        <v>1260</v>
      </c>
      <c r="BP502" s="504">
        <v>1356</v>
      </c>
      <c r="BQ502" s="504">
        <v>1372</v>
      </c>
      <c r="BR502" s="504">
        <v>1413</v>
      </c>
      <c r="BS502" s="504">
        <v>1455</v>
      </c>
      <c r="BT502" s="504">
        <v>1317</v>
      </c>
      <c r="BU502" s="504">
        <v>1416</v>
      </c>
      <c r="BV502" s="504">
        <v>1373</v>
      </c>
      <c r="BW502" s="504">
        <v>1349</v>
      </c>
      <c r="BX502" s="504">
        <v>1279</v>
      </c>
      <c r="BY502" s="504">
        <v>1311</v>
      </c>
      <c r="BZ502" s="504">
        <v>1261</v>
      </c>
      <c r="CA502" s="504">
        <v>1172</v>
      </c>
      <c r="CB502" s="504">
        <v>1270</v>
      </c>
      <c r="CC502" s="504">
        <v>1212</v>
      </c>
      <c r="CD502" s="504">
        <v>1197</v>
      </c>
      <c r="CE502" s="504">
        <v>1164</v>
      </c>
      <c r="CF502" s="504">
        <v>1112</v>
      </c>
      <c r="CG502" s="504">
        <v>1141</v>
      </c>
      <c r="CH502" s="504">
        <v>1175</v>
      </c>
      <c r="CI502" s="504">
        <v>1186</v>
      </c>
      <c r="CJ502" s="504">
        <v>1175</v>
      </c>
      <c r="CK502" s="504">
        <v>999</v>
      </c>
      <c r="CL502" s="504">
        <v>920</v>
      </c>
      <c r="CM502" s="504">
        <v>863</v>
      </c>
      <c r="CN502" s="504">
        <v>789</v>
      </c>
      <c r="CO502" s="504">
        <v>736</v>
      </c>
      <c r="CP502" s="504">
        <v>619</v>
      </c>
      <c r="CQ502" s="504">
        <v>561</v>
      </c>
      <c r="CR502" s="504">
        <v>506</v>
      </c>
      <c r="CS502" s="504">
        <v>445</v>
      </c>
      <c r="CT502" s="504">
        <v>454</v>
      </c>
      <c r="CU502" s="504">
        <v>361</v>
      </c>
      <c r="CV502" s="504">
        <v>330</v>
      </c>
      <c r="CW502" s="504">
        <v>265</v>
      </c>
      <c r="CX502" s="504">
        <v>198</v>
      </c>
      <c r="CY502" s="504">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3">
      <c r="A503" s="30" t="s">
        <v>68</v>
      </c>
      <c r="B503" s="1" t="s">
        <v>571</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04">
        <v>276</v>
      </c>
      <c r="N503" s="504">
        <v>237</v>
      </c>
      <c r="O503" s="504">
        <v>271</v>
      </c>
      <c r="P503" s="504">
        <v>294</v>
      </c>
      <c r="Q503" s="504">
        <v>285</v>
      </c>
      <c r="R503" s="504">
        <v>312</v>
      </c>
      <c r="S503" s="504">
        <v>341</v>
      </c>
      <c r="T503" s="504">
        <v>317</v>
      </c>
      <c r="U503" s="504">
        <v>309</v>
      </c>
      <c r="V503" s="504">
        <v>360</v>
      </c>
      <c r="W503" s="504">
        <v>360</v>
      </c>
      <c r="X503" s="504">
        <v>370</v>
      </c>
      <c r="Y503" s="504">
        <v>368</v>
      </c>
      <c r="Z503" s="504">
        <v>326</v>
      </c>
      <c r="AA503" s="504">
        <v>334</v>
      </c>
      <c r="AB503" s="504">
        <v>346</v>
      </c>
      <c r="AC503" s="504">
        <v>355</v>
      </c>
      <c r="AD503" s="504">
        <v>378</v>
      </c>
      <c r="AE503" s="504">
        <v>435</v>
      </c>
      <c r="AF503" s="504">
        <v>855</v>
      </c>
      <c r="AG503" s="504">
        <v>809</v>
      </c>
      <c r="AH503" s="504">
        <v>767</v>
      </c>
      <c r="AI503" s="504">
        <v>615</v>
      </c>
      <c r="AJ503" s="504">
        <v>548</v>
      </c>
      <c r="AK503" s="504">
        <v>432</v>
      </c>
      <c r="AL503" s="504">
        <v>350</v>
      </c>
      <c r="AM503" s="504">
        <v>336</v>
      </c>
      <c r="AN503" s="504">
        <v>361</v>
      </c>
      <c r="AO503" s="504">
        <v>363</v>
      </c>
      <c r="AP503" s="504">
        <v>307</v>
      </c>
      <c r="AQ503" s="504">
        <v>338</v>
      </c>
      <c r="AR503" s="504">
        <v>347</v>
      </c>
      <c r="AS503" s="504">
        <v>354</v>
      </c>
      <c r="AT503" s="504">
        <v>356</v>
      </c>
      <c r="AU503" s="504">
        <v>352</v>
      </c>
      <c r="AV503" s="504">
        <v>311</v>
      </c>
      <c r="AW503" s="504">
        <v>316</v>
      </c>
      <c r="AX503" s="504">
        <v>334</v>
      </c>
      <c r="AY503" s="504">
        <v>320</v>
      </c>
      <c r="AZ503" s="504">
        <v>335</v>
      </c>
      <c r="BA503" s="504">
        <v>353</v>
      </c>
      <c r="BB503" s="504">
        <v>347</v>
      </c>
      <c r="BC503" s="504">
        <v>316</v>
      </c>
      <c r="BD503" s="504">
        <v>308</v>
      </c>
      <c r="BE503" s="504">
        <v>280</v>
      </c>
      <c r="BF503" s="504">
        <v>309</v>
      </c>
      <c r="BG503" s="504">
        <v>342</v>
      </c>
      <c r="BH503" s="504">
        <v>348</v>
      </c>
      <c r="BI503" s="504">
        <v>356</v>
      </c>
      <c r="BJ503" s="504">
        <v>339</v>
      </c>
      <c r="BK503" s="504">
        <v>402</v>
      </c>
      <c r="BL503" s="504">
        <v>431</v>
      </c>
      <c r="BM503" s="504">
        <v>435</v>
      </c>
      <c r="BN503" s="504">
        <v>504</v>
      </c>
      <c r="BO503" s="504">
        <v>475</v>
      </c>
      <c r="BP503" s="504">
        <v>496</v>
      </c>
      <c r="BQ503" s="504">
        <v>511</v>
      </c>
      <c r="BR503" s="504">
        <v>501</v>
      </c>
      <c r="BS503" s="504">
        <v>541</v>
      </c>
      <c r="BT503" s="504">
        <v>553</v>
      </c>
      <c r="BU503" s="504">
        <v>538</v>
      </c>
      <c r="BV503" s="504">
        <v>517</v>
      </c>
      <c r="BW503" s="504">
        <v>495</v>
      </c>
      <c r="BX503" s="504">
        <v>529</v>
      </c>
      <c r="BY503" s="504">
        <v>518</v>
      </c>
      <c r="BZ503" s="504">
        <v>495</v>
      </c>
      <c r="CA503" s="504">
        <v>519</v>
      </c>
      <c r="CB503" s="504">
        <v>491</v>
      </c>
      <c r="CC503" s="504">
        <v>490</v>
      </c>
      <c r="CD503" s="504">
        <v>448</v>
      </c>
      <c r="CE503" s="504">
        <v>472</v>
      </c>
      <c r="CF503" s="504">
        <v>453</v>
      </c>
      <c r="CG503" s="504">
        <v>454</v>
      </c>
      <c r="CH503" s="504">
        <v>509</v>
      </c>
      <c r="CI503" s="504">
        <v>531</v>
      </c>
      <c r="CJ503" s="504">
        <v>500</v>
      </c>
      <c r="CK503" s="504">
        <v>376</v>
      </c>
      <c r="CL503" s="504">
        <v>376</v>
      </c>
      <c r="CM503" s="504">
        <v>354</v>
      </c>
      <c r="CN503" s="504">
        <v>347</v>
      </c>
      <c r="CO503" s="504">
        <v>289</v>
      </c>
      <c r="CP503" s="504">
        <v>213</v>
      </c>
      <c r="CQ503" s="504">
        <v>241</v>
      </c>
      <c r="CR503" s="504">
        <v>198</v>
      </c>
      <c r="CS503" s="504">
        <v>175</v>
      </c>
      <c r="CT503" s="504">
        <v>168</v>
      </c>
      <c r="CU503" s="504">
        <v>134</v>
      </c>
      <c r="CV503" s="504">
        <v>115</v>
      </c>
      <c r="CW503" s="504">
        <v>97</v>
      </c>
      <c r="CX503" s="504">
        <v>84</v>
      </c>
      <c r="CY503" s="504">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3">
      <c r="A504" s="30" t="s">
        <v>68</v>
      </c>
      <c r="B504" s="1" t="s">
        <v>572</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04">
        <v>483</v>
      </c>
      <c r="N504" s="504">
        <v>469</v>
      </c>
      <c r="O504" s="504">
        <v>522</v>
      </c>
      <c r="P504" s="504">
        <v>523</v>
      </c>
      <c r="Q504" s="504">
        <v>549</v>
      </c>
      <c r="R504" s="504">
        <v>540</v>
      </c>
      <c r="S504" s="504">
        <v>563</v>
      </c>
      <c r="T504" s="504">
        <v>620</v>
      </c>
      <c r="U504" s="504">
        <v>583</v>
      </c>
      <c r="V504" s="504">
        <v>622</v>
      </c>
      <c r="W504" s="504">
        <v>611</v>
      </c>
      <c r="X504" s="504">
        <v>686</v>
      </c>
      <c r="Y504" s="504">
        <v>621</v>
      </c>
      <c r="Z504" s="504">
        <v>634</v>
      </c>
      <c r="AA504" s="504">
        <v>601</v>
      </c>
      <c r="AB504" s="504">
        <v>642</v>
      </c>
      <c r="AC504" s="504">
        <v>627</v>
      </c>
      <c r="AD504" s="504">
        <v>641</v>
      </c>
      <c r="AE504" s="504">
        <v>613</v>
      </c>
      <c r="AF504" s="504">
        <v>404</v>
      </c>
      <c r="AG504" s="504">
        <v>422</v>
      </c>
      <c r="AH504" s="504">
        <v>441</v>
      </c>
      <c r="AI504" s="504">
        <v>543</v>
      </c>
      <c r="AJ504" s="504">
        <v>525</v>
      </c>
      <c r="AK504" s="504">
        <v>583</v>
      </c>
      <c r="AL504" s="504">
        <v>572</v>
      </c>
      <c r="AM504" s="504">
        <v>471</v>
      </c>
      <c r="AN504" s="504">
        <v>561</v>
      </c>
      <c r="AO504" s="504">
        <v>538</v>
      </c>
      <c r="AP504" s="504">
        <v>526</v>
      </c>
      <c r="AQ504" s="504">
        <v>576</v>
      </c>
      <c r="AR504" s="504">
        <v>623</v>
      </c>
      <c r="AS504" s="504">
        <v>576</v>
      </c>
      <c r="AT504" s="504">
        <v>615</v>
      </c>
      <c r="AU504" s="504">
        <v>597</v>
      </c>
      <c r="AV504" s="504">
        <v>594</v>
      </c>
      <c r="AW504" s="504">
        <v>552</v>
      </c>
      <c r="AX504" s="504">
        <v>589</v>
      </c>
      <c r="AY504" s="504">
        <v>559</v>
      </c>
      <c r="AZ504" s="504">
        <v>543</v>
      </c>
      <c r="BA504" s="504">
        <v>551</v>
      </c>
      <c r="BB504" s="504">
        <v>596</v>
      </c>
      <c r="BC504" s="504">
        <v>626</v>
      </c>
      <c r="BD504" s="504">
        <v>555</v>
      </c>
      <c r="BE504" s="504">
        <v>470</v>
      </c>
      <c r="BF504" s="504">
        <v>555</v>
      </c>
      <c r="BG504" s="504">
        <v>559</v>
      </c>
      <c r="BH504" s="504">
        <v>569</v>
      </c>
      <c r="BI504" s="504">
        <v>603</v>
      </c>
      <c r="BJ504" s="504">
        <v>679</v>
      </c>
      <c r="BK504" s="504">
        <v>788</v>
      </c>
      <c r="BL504" s="504">
        <v>775</v>
      </c>
      <c r="BM504" s="504">
        <v>750</v>
      </c>
      <c r="BN504" s="504">
        <v>805</v>
      </c>
      <c r="BO504" s="504">
        <v>775</v>
      </c>
      <c r="BP504" s="504">
        <v>819</v>
      </c>
      <c r="BQ504" s="504">
        <v>862</v>
      </c>
      <c r="BR504" s="504">
        <v>890</v>
      </c>
      <c r="BS504" s="504">
        <v>870</v>
      </c>
      <c r="BT504" s="504">
        <v>881</v>
      </c>
      <c r="BU504" s="504">
        <v>879</v>
      </c>
      <c r="BV504" s="504">
        <v>894</v>
      </c>
      <c r="BW504" s="504">
        <v>876</v>
      </c>
      <c r="BX504" s="504">
        <v>830</v>
      </c>
      <c r="BY504" s="504">
        <v>792</v>
      </c>
      <c r="BZ504" s="504">
        <v>785</v>
      </c>
      <c r="CA504" s="504">
        <v>740</v>
      </c>
      <c r="CB504" s="504">
        <v>717</v>
      </c>
      <c r="CC504" s="504">
        <v>789</v>
      </c>
      <c r="CD504" s="504">
        <v>744</v>
      </c>
      <c r="CE504" s="504">
        <v>734</v>
      </c>
      <c r="CF504" s="504">
        <v>780</v>
      </c>
      <c r="CG504" s="504">
        <v>723</v>
      </c>
      <c r="CH504" s="504">
        <v>809</v>
      </c>
      <c r="CI504" s="504">
        <v>853</v>
      </c>
      <c r="CJ504" s="504">
        <v>851</v>
      </c>
      <c r="CK504" s="504">
        <v>673</v>
      </c>
      <c r="CL504" s="504">
        <v>628</v>
      </c>
      <c r="CM504" s="504">
        <v>602</v>
      </c>
      <c r="CN504" s="504">
        <v>548</v>
      </c>
      <c r="CO504" s="504">
        <v>479</v>
      </c>
      <c r="CP504" s="504">
        <v>400</v>
      </c>
      <c r="CQ504" s="504">
        <v>367</v>
      </c>
      <c r="CR504" s="504">
        <v>373</v>
      </c>
      <c r="CS504" s="504">
        <v>296</v>
      </c>
      <c r="CT504" s="504">
        <v>289</v>
      </c>
      <c r="CU504" s="504">
        <v>267</v>
      </c>
      <c r="CV504" s="504">
        <v>251</v>
      </c>
      <c r="CW504" s="504">
        <v>195</v>
      </c>
      <c r="CX504" s="504">
        <v>194</v>
      </c>
      <c r="CY504" s="504">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3">
      <c r="A505" s="30" t="s">
        <v>68</v>
      </c>
      <c r="B505" s="1" t="s">
        <v>573</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04">
        <v>457</v>
      </c>
      <c r="N505" s="504">
        <v>493</v>
      </c>
      <c r="O505" s="504">
        <v>520</v>
      </c>
      <c r="P505" s="504">
        <v>480</v>
      </c>
      <c r="Q505" s="504">
        <v>486</v>
      </c>
      <c r="R505" s="504">
        <v>551</v>
      </c>
      <c r="S505" s="504">
        <v>523</v>
      </c>
      <c r="T505" s="504">
        <v>558</v>
      </c>
      <c r="U505" s="504">
        <v>524</v>
      </c>
      <c r="V505" s="504">
        <v>561</v>
      </c>
      <c r="W505" s="504">
        <v>567</v>
      </c>
      <c r="X505" s="504">
        <v>592</v>
      </c>
      <c r="Y505" s="504">
        <v>615</v>
      </c>
      <c r="Z505" s="504">
        <v>593</v>
      </c>
      <c r="AA505" s="504">
        <v>609</v>
      </c>
      <c r="AB505" s="504">
        <v>587</v>
      </c>
      <c r="AC505" s="504">
        <v>587</v>
      </c>
      <c r="AD505" s="504">
        <v>627</v>
      </c>
      <c r="AE505" s="504">
        <v>551</v>
      </c>
      <c r="AF505" s="504">
        <v>439</v>
      </c>
      <c r="AG505" s="504">
        <v>422</v>
      </c>
      <c r="AH505" s="504">
        <v>434</v>
      </c>
      <c r="AI505" s="504">
        <v>423</v>
      </c>
      <c r="AJ505" s="504">
        <v>470</v>
      </c>
      <c r="AK505" s="504">
        <v>490</v>
      </c>
      <c r="AL505" s="504">
        <v>482</v>
      </c>
      <c r="AM505" s="504">
        <v>514</v>
      </c>
      <c r="AN505" s="504">
        <v>470</v>
      </c>
      <c r="AO505" s="504">
        <v>500</v>
      </c>
      <c r="AP505" s="504">
        <v>483</v>
      </c>
      <c r="AQ505" s="504">
        <v>507</v>
      </c>
      <c r="AR505" s="504">
        <v>516</v>
      </c>
      <c r="AS505" s="504">
        <v>511</v>
      </c>
      <c r="AT505" s="504">
        <v>471</v>
      </c>
      <c r="AU505" s="504">
        <v>530</v>
      </c>
      <c r="AV505" s="504">
        <v>513</v>
      </c>
      <c r="AW505" s="504">
        <v>510</v>
      </c>
      <c r="AX505" s="504">
        <v>477</v>
      </c>
      <c r="AY505" s="504">
        <v>509</v>
      </c>
      <c r="AZ505" s="504">
        <v>424</v>
      </c>
      <c r="BA505" s="504">
        <v>488</v>
      </c>
      <c r="BB505" s="504">
        <v>496</v>
      </c>
      <c r="BC505" s="504">
        <v>500</v>
      </c>
      <c r="BD505" s="504">
        <v>478</v>
      </c>
      <c r="BE505" s="504">
        <v>422</v>
      </c>
      <c r="BF505" s="504">
        <v>464</v>
      </c>
      <c r="BG505" s="504">
        <v>515</v>
      </c>
      <c r="BH505" s="504">
        <v>516</v>
      </c>
      <c r="BI505" s="504">
        <v>525</v>
      </c>
      <c r="BJ505" s="504">
        <v>532</v>
      </c>
      <c r="BK505" s="504">
        <v>646</v>
      </c>
      <c r="BL505" s="504">
        <v>654</v>
      </c>
      <c r="BM505" s="504">
        <v>645</v>
      </c>
      <c r="BN505" s="504">
        <v>662</v>
      </c>
      <c r="BO505" s="504">
        <v>643</v>
      </c>
      <c r="BP505" s="504">
        <v>715</v>
      </c>
      <c r="BQ505" s="504">
        <v>681</v>
      </c>
      <c r="BR505" s="504">
        <v>758</v>
      </c>
      <c r="BS505" s="504">
        <v>746</v>
      </c>
      <c r="BT505" s="504">
        <v>697</v>
      </c>
      <c r="BU505" s="504">
        <v>737</v>
      </c>
      <c r="BV505" s="504">
        <v>654</v>
      </c>
      <c r="BW505" s="504">
        <v>713</v>
      </c>
      <c r="BX505" s="504">
        <v>665</v>
      </c>
      <c r="BY505" s="504">
        <v>635</v>
      </c>
      <c r="BZ505" s="504">
        <v>637</v>
      </c>
      <c r="CA505" s="504">
        <v>603</v>
      </c>
      <c r="CB505" s="504">
        <v>603</v>
      </c>
      <c r="CC505" s="504">
        <v>596</v>
      </c>
      <c r="CD505" s="504">
        <v>599</v>
      </c>
      <c r="CE505" s="504">
        <v>543</v>
      </c>
      <c r="CF505" s="504">
        <v>547</v>
      </c>
      <c r="CG505" s="504">
        <v>614</v>
      </c>
      <c r="CH505" s="504">
        <v>653</v>
      </c>
      <c r="CI505" s="504">
        <v>674</v>
      </c>
      <c r="CJ505" s="504">
        <v>666</v>
      </c>
      <c r="CK505" s="504">
        <v>469</v>
      </c>
      <c r="CL505" s="504">
        <v>446</v>
      </c>
      <c r="CM505" s="504">
        <v>473</v>
      </c>
      <c r="CN505" s="504">
        <v>443</v>
      </c>
      <c r="CO505" s="504">
        <v>359</v>
      </c>
      <c r="CP505" s="504">
        <v>328</v>
      </c>
      <c r="CQ505" s="504">
        <v>290</v>
      </c>
      <c r="CR505" s="504">
        <v>259</v>
      </c>
      <c r="CS505" s="504">
        <v>236</v>
      </c>
      <c r="CT505" s="504">
        <v>224</v>
      </c>
      <c r="CU505" s="504">
        <v>181</v>
      </c>
      <c r="CV505" s="504">
        <v>162</v>
      </c>
      <c r="CW505" s="504">
        <v>127</v>
      </c>
      <c r="CX505" s="504">
        <v>108</v>
      </c>
      <c r="CY505" s="504">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3">
      <c r="A506" s="30" t="s">
        <v>68</v>
      </c>
      <c r="B506" s="1" t="s">
        <v>574</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04">
        <v>701</v>
      </c>
      <c r="N506" s="504">
        <v>780</v>
      </c>
      <c r="O506" s="504">
        <v>775</v>
      </c>
      <c r="P506" s="504">
        <v>770</v>
      </c>
      <c r="Q506" s="504">
        <v>817</v>
      </c>
      <c r="R506" s="504">
        <v>825</v>
      </c>
      <c r="S506" s="504">
        <v>849</v>
      </c>
      <c r="T506" s="504">
        <v>888</v>
      </c>
      <c r="U506" s="504">
        <v>904</v>
      </c>
      <c r="V506" s="504">
        <v>899</v>
      </c>
      <c r="W506" s="504">
        <v>971</v>
      </c>
      <c r="X506" s="504">
        <v>933</v>
      </c>
      <c r="Y506" s="504">
        <v>1008</v>
      </c>
      <c r="Z506" s="504">
        <v>933</v>
      </c>
      <c r="AA506" s="504">
        <v>1033</v>
      </c>
      <c r="AB506" s="504">
        <v>950</v>
      </c>
      <c r="AC506" s="504">
        <v>903</v>
      </c>
      <c r="AD506" s="504">
        <v>944</v>
      </c>
      <c r="AE506" s="504">
        <v>881</v>
      </c>
      <c r="AF506" s="504">
        <v>661</v>
      </c>
      <c r="AG506" s="504">
        <v>648</v>
      </c>
      <c r="AH506" s="504">
        <v>673</v>
      </c>
      <c r="AI506" s="504">
        <v>728</v>
      </c>
      <c r="AJ506" s="504">
        <v>844</v>
      </c>
      <c r="AK506" s="504">
        <v>853</v>
      </c>
      <c r="AL506" s="504">
        <v>829</v>
      </c>
      <c r="AM506" s="504">
        <v>799</v>
      </c>
      <c r="AN506" s="504">
        <v>822</v>
      </c>
      <c r="AO506" s="504">
        <v>837</v>
      </c>
      <c r="AP506" s="504">
        <v>879</v>
      </c>
      <c r="AQ506" s="504">
        <v>1004</v>
      </c>
      <c r="AR506" s="504">
        <v>928</v>
      </c>
      <c r="AS506" s="504">
        <v>919</v>
      </c>
      <c r="AT506" s="504">
        <v>961</v>
      </c>
      <c r="AU506" s="504">
        <v>970</v>
      </c>
      <c r="AV506" s="504">
        <v>947</v>
      </c>
      <c r="AW506" s="504">
        <v>978</v>
      </c>
      <c r="AX506" s="504">
        <v>903</v>
      </c>
      <c r="AY506" s="504">
        <v>860</v>
      </c>
      <c r="AZ506" s="504">
        <v>889</v>
      </c>
      <c r="BA506" s="504">
        <v>925</v>
      </c>
      <c r="BB506" s="504">
        <v>916</v>
      </c>
      <c r="BC506" s="504">
        <v>930</v>
      </c>
      <c r="BD506" s="504">
        <v>875</v>
      </c>
      <c r="BE506" s="504">
        <v>855</v>
      </c>
      <c r="BF506" s="504">
        <v>802</v>
      </c>
      <c r="BG506" s="504">
        <v>825</v>
      </c>
      <c r="BH506" s="504">
        <v>925</v>
      </c>
      <c r="BI506" s="504">
        <v>970</v>
      </c>
      <c r="BJ506" s="504">
        <v>989</v>
      </c>
      <c r="BK506" s="504">
        <v>1124</v>
      </c>
      <c r="BL506" s="504">
        <v>1159</v>
      </c>
      <c r="BM506" s="504">
        <v>1172</v>
      </c>
      <c r="BN506" s="504">
        <v>1222</v>
      </c>
      <c r="BO506" s="504">
        <v>1193</v>
      </c>
      <c r="BP506" s="504">
        <v>1115</v>
      </c>
      <c r="BQ506" s="504">
        <v>1116</v>
      </c>
      <c r="BR506" s="504">
        <v>1156</v>
      </c>
      <c r="BS506" s="504">
        <v>1196</v>
      </c>
      <c r="BT506" s="504">
        <v>1096</v>
      </c>
      <c r="BU506" s="504">
        <v>1149</v>
      </c>
      <c r="BV506" s="504">
        <v>1060</v>
      </c>
      <c r="BW506" s="504">
        <v>1024</v>
      </c>
      <c r="BX506" s="504">
        <v>1036</v>
      </c>
      <c r="BY506" s="504">
        <v>912</v>
      </c>
      <c r="BZ506" s="504">
        <v>883</v>
      </c>
      <c r="CA506" s="504">
        <v>867</v>
      </c>
      <c r="CB506" s="504">
        <v>793</v>
      </c>
      <c r="CC506" s="504">
        <v>812</v>
      </c>
      <c r="CD506" s="504">
        <v>850</v>
      </c>
      <c r="CE506" s="504">
        <v>761</v>
      </c>
      <c r="CF506" s="504">
        <v>877</v>
      </c>
      <c r="CG506" s="504">
        <v>832</v>
      </c>
      <c r="CH506" s="504">
        <v>891</v>
      </c>
      <c r="CI506" s="504">
        <v>922</v>
      </c>
      <c r="CJ506" s="504">
        <v>1006</v>
      </c>
      <c r="CK506" s="504">
        <v>637</v>
      </c>
      <c r="CL506" s="504">
        <v>646</v>
      </c>
      <c r="CM506" s="504">
        <v>660</v>
      </c>
      <c r="CN506" s="504">
        <v>553</v>
      </c>
      <c r="CO506" s="504">
        <v>481</v>
      </c>
      <c r="CP506" s="504">
        <v>430</v>
      </c>
      <c r="CQ506" s="504">
        <v>426</v>
      </c>
      <c r="CR506" s="504">
        <v>354</v>
      </c>
      <c r="CS506" s="504">
        <v>350</v>
      </c>
      <c r="CT506" s="504">
        <v>287</v>
      </c>
      <c r="CU506" s="504">
        <v>257</v>
      </c>
      <c r="CV506" s="504">
        <v>212</v>
      </c>
      <c r="CW506" s="504">
        <v>170</v>
      </c>
      <c r="CX506" s="504">
        <v>138</v>
      </c>
      <c r="CY506" s="504">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3">
      <c r="A507" s="30" t="s">
        <v>68</v>
      </c>
      <c r="B507" s="1" t="s">
        <v>575</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04">
        <v>554</v>
      </c>
      <c r="N507" s="504">
        <v>518</v>
      </c>
      <c r="O507" s="504">
        <v>550</v>
      </c>
      <c r="P507" s="504">
        <v>548</v>
      </c>
      <c r="Q507" s="504">
        <v>593</v>
      </c>
      <c r="R507" s="504">
        <v>563</v>
      </c>
      <c r="S507" s="504">
        <v>656</v>
      </c>
      <c r="T507" s="504">
        <v>596</v>
      </c>
      <c r="U507" s="504">
        <v>662</v>
      </c>
      <c r="V507" s="504">
        <v>660</v>
      </c>
      <c r="W507" s="504">
        <v>664</v>
      </c>
      <c r="X507" s="504">
        <v>666</v>
      </c>
      <c r="Y507" s="504">
        <v>714</v>
      </c>
      <c r="Z507" s="504">
        <v>665</v>
      </c>
      <c r="AA507" s="504">
        <v>674</v>
      </c>
      <c r="AB507" s="504">
        <v>671</v>
      </c>
      <c r="AC507" s="504">
        <v>653</v>
      </c>
      <c r="AD507" s="504">
        <v>618</v>
      </c>
      <c r="AE507" s="504">
        <v>660</v>
      </c>
      <c r="AF507" s="504">
        <v>869</v>
      </c>
      <c r="AG507" s="504">
        <v>893</v>
      </c>
      <c r="AH507" s="504">
        <v>930</v>
      </c>
      <c r="AI507" s="504">
        <v>871</v>
      </c>
      <c r="AJ507" s="504">
        <v>777</v>
      </c>
      <c r="AK507" s="504">
        <v>709</v>
      </c>
      <c r="AL507" s="504">
        <v>648</v>
      </c>
      <c r="AM507" s="504">
        <v>637</v>
      </c>
      <c r="AN507" s="504">
        <v>635</v>
      </c>
      <c r="AO507" s="504">
        <v>676</v>
      </c>
      <c r="AP507" s="504">
        <v>659</v>
      </c>
      <c r="AQ507" s="504">
        <v>661</v>
      </c>
      <c r="AR507" s="504">
        <v>643</v>
      </c>
      <c r="AS507" s="504">
        <v>663</v>
      </c>
      <c r="AT507" s="504">
        <v>677</v>
      </c>
      <c r="AU507" s="504">
        <v>680</v>
      </c>
      <c r="AV507" s="504">
        <v>704</v>
      </c>
      <c r="AW507" s="504">
        <v>572</v>
      </c>
      <c r="AX507" s="504">
        <v>595</v>
      </c>
      <c r="AY507" s="504">
        <v>582</v>
      </c>
      <c r="AZ507" s="504">
        <v>586</v>
      </c>
      <c r="BA507" s="504">
        <v>589</v>
      </c>
      <c r="BB507" s="504">
        <v>603</v>
      </c>
      <c r="BC507" s="504">
        <v>613</v>
      </c>
      <c r="BD507" s="504">
        <v>569</v>
      </c>
      <c r="BE507" s="504">
        <v>557</v>
      </c>
      <c r="BF507" s="504">
        <v>575</v>
      </c>
      <c r="BG507" s="504">
        <v>581</v>
      </c>
      <c r="BH507" s="504">
        <v>606</v>
      </c>
      <c r="BI507" s="504">
        <v>678</v>
      </c>
      <c r="BJ507" s="504">
        <v>722</v>
      </c>
      <c r="BK507" s="504">
        <v>767</v>
      </c>
      <c r="BL507" s="504">
        <v>811</v>
      </c>
      <c r="BM507" s="504">
        <v>804</v>
      </c>
      <c r="BN507" s="504">
        <v>775</v>
      </c>
      <c r="BO507" s="504">
        <v>801</v>
      </c>
      <c r="BP507" s="504">
        <v>799</v>
      </c>
      <c r="BQ507" s="504">
        <v>858</v>
      </c>
      <c r="BR507" s="504">
        <v>866</v>
      </c>
      <c r="BS507" s="504">
        <v>874</v>
      </c>
      <c r="BT507" s="504">
        <v>888</v>
      </c>
      <c r="BU507" s="504">
        <v>867</v>
      </c>
      <c r="BV507" s="504">
        <v>849</v>
      </c>
      <c r="BW507" s="504">
        <v>771</v>
      </c>
      <c r="BX507" s="504">
        <v>768</v>
      </c>
      <c r="BY507" s="504">
        <v>811</v>
      </c>
      <c r="BZ507" s="504">
        <v>756</v>
      </c>
      <c r="CA507" s="504">
        <v>711</v>
      </c>
      <c r="CB507" s="504">
        <v>727</v>
      </c>
      <c r="CC507" s="504">
        <v>675</v>
      </c>
      <c r="CD507" s="504">
        <v>709</v>
      </c>
      <c r="CE507" s="504">
        <v>650</v>
      </c>
      <c r="CF507" s="504">
        <v>649</v>
      </c>
      <c r="CG507" s="504">
        <v>649</v>
      </c>
      <c r="CH507" s="504">
        <v>729</v>
      </c>
      <c r="CI507" s="504">
        <v>764</v>
      </c>
      <c r="CJ507" s="504">
        <v>736</v>
      </c>
      <c r="CK507" s="504">
        <v>589</v>
      </c>
      <c r="CL507" s="504">
        <v>522</v>
      </c>
      <c r="CM507" s="504">
        <v>521</v>
      </c>
      <c r="CN507" s="504">
        <v>483</v>
      </c>
      <c r="CO507" s="504">
        <v>379</v>
      </c>
      <c r="CP507" s="504">
        <v>308</v>
      </c>
      <c r="CQ507" s="504">
        <v>331</v>
      </c>
      <c r="CR507" s="504">
        <v>327</v>
      </c>
      <c r="CS507" s="504">
        <v>274</v>
      </c>
      <c r="CT507" s="504">
        <v>248</v>
      </c>
      <c r="CU507" s="504">
        <v>221</v>
      </c>
      <c r="CV507" s="504">
        <v>181</v>
      </c>
      <c r="CW507" s="504">
        <v>162</v>
      </c>
      <c r="CX507" s="504">
        <v>135</v>
      </c>
      <c r="CY507" s="504">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3">
      <c r="A508" s="30" t="s">
        <v>68</v>
      </c>
      <c r="B508" s="1" t="s">
        <v>576</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04">
        <v>273</v>
      </c>
      <c r="N508" s="504">
        <v>322</v>
      </c>
      <c r="O508" s="504">
        <v>305</v>
      </c>
      <c r="P508" s="504">
        <v>320</v>
      </c>
      <c r="Q508" s="504">
        <v>334</v>
      </c>
      <c r="R508" s="504">
        <v>383</v>
      </c>
      <c r="S508" s="504">
        <v>383</v>
      </c>
      <c r="T508" s="504">
        <v>361</v>
      </c>
      <c r="U508" s="504">
        <v>383</v>
      </c>
      <c r="V508" s="504">
        <v>411</v>
      </c>
      <c r="W508" s="504">
        <v>394</v>
      </c>
      <c r="X508" s="504">
        <v>440</v>
      </c>
      <c r="Y508" s="504">
        <v>405</v>
      </c>
      <c r="Z508" s="504">
        <v>438</v>
      </c>
      <c r="AA508" s="504">
        <v>385</v>
      </c>
      <c r="AB508" s="504">
        <v>392</v>
      </c>
      <c r="AC508" s="504">
        <v>391</v>
      </c>
      <c r="AD508" s="504">
        <v>389</v>
      </c>
      <c r="AE508" s="504">
        <v>348</v>
      </c>
      <c r="AF508" s="504">
        <v>299</v>
      </c>
      <c r="AG508" s="504">
        <v>302</v>
      </c>
      <c r="AH508" s="504">
        <v>273</v>
      </c>
      <c r="AI508" s="504">
        <v>297</v>
      </c>
      <c r="AJ508" s="504">
        <v>367</v>
      </c>
      <c r="AK508" s="504">
        <v>299</v>
      </c>
      <c r="AL508" s="504">
        <v>316</v>
      </c>
      <c r="AM508" s="504">
        <v>341</v>
      </c>
      <c r="AN508" s="504">
        <v>319</v>
      </c>
      <c r="AO508" s="504">
        <v>363</v>
      </c>
      <c r="AP508" s="504">
        <v>338</v>
      </c>
      <c r="AQ508" s="504">
        <v>332</v>
      </c>
      <c r="AR508" s="504">
        <v>349</v>
      </c>
      <c r="AS508" s="504">
        <v>346</v>
      </c>
      <c r="AT508" s="504">
        <v>349</v>
      </c>
      <c r="AU508" s="504">
        <v>381</v>
      </c>
      <c r="AV508" s="504">
        <v>373</v>
      </c>
      <c r="AW508" s="504">
        <v>310</v>
      </c>
      <c r="AX508" s="504">
        <v>347</v>
      </c>
      <c r="AY508" s="504">
        <v>371</v>
      </c>
      <c r="AZ508" s="504">
        <v>328</v>
      </c>
      <c r="BA508" s="504">
        <v>331</v>
      </c>
      <c r="BB508" s="504">
        <v>346</v>
      </c>
      <c r="BC508" s="504">
        <v>345</v>
      </c>
      <c r="BD508" s="504">
        <v>373</v>
      </c>
      <c r="BE508" s="504">
        <v>321</v>
      </c>
      <c r="BF508" s="504">
        <v>306</v>
      </c>
      <c r="BG508" s="504">
        <v>326</v>
      </c>
      <c r="BH508" s="504">
        <v>357</v>
      </c>
      <c r="BI508" s="504">
        <v>373</v>
      </c>
      <c r="BJ508" s="504">
        <v>436</v>
      </c>
      <c r="BK508" s="504">
        <v>448</v>
      </c>
      <c r="BL508" s="504">
        <v>493</v>
      </c>
      <c r="BM508" s="504">
        <v>440</v>
      </c>
      <c r="BN508" s="504">
        <v>466</v>
      </c>
      <c r="BO508" s="504">
        <v>481</v>
      </c>
      <c r="BP508" s="504">
        <v>523</v>
      </c>
      <c r="BQ508" s="504">
        <v>490</v>
      </c>
      <c r="BR508" s="504">
        <v>546</v>
      </c>
      <c r="BS508" s="504">
        <v>515</v>
      </c>
      <c r="BT508" s="504">
        <v>563</v>
      </c>
      <c r="BU508" s="504">
        <v>503</v>
      </c>
      <c r="BV508" s="504">
        <v>511</v>
      </c>
      <c r="BW508" s="504">
        <v>539</v>
      </c>
      <c r="BX508" s="504">
        <v>521</v>
      </c>
      <c r="BY508" s="504">
        <v>482</v>
      </c>
      <c r="BZ508" s="504">
        <v>468</v>
      </c>
      <c r="CA508" s="504">
        <v>489</v>
      </c>
      <c r="CB508" s="504">
        <v>476</v>
      </c>
      <c r="CC508" s="504">
        <v>458</v>
      </c>
      <c r="CD508" s="504">
        <v>460</v>
      </c>
      <c r="CE508" s="504">
        <v>458</v>
      </c>
      <c r="CF508" s="504">
        <v>438</v>
      </c>
      <c r="CG508" s="504">
        <v>468</v>
      </c>
      <c r="CH508" s="504">
        <v>490</v>
      </c>
      <c r="CI508" s="504">
        <v>504</v>
      </c>
      <c r="CJ508" s="504">
        <v>484</v>
      </c>
      <c r="CK508" s="504">
        <v>343</v>
      </c>
      <c r="CL508" s="504">
        <v>365</v>
      </c>
      <c r="CM508" s="504">
        <v>374</v>
      </c>
      <c r="CN508" s="504">
        <v>344</v>
      </c>
      <c r="CO508" s="504">
        <v>273</v>
      </c>
      <c r="CP508" s="504">
        <v>244</v>
      </c>
      <c r="CQ508" s="504">
        <v>233</v>
      </c>
      <c r="CR508" s="504">
        <v>249</v>
      </c>
      <c r="CS508" s="504">
        <v>194</v>
      </c>
      <c r="CT508" s="504">
        <v>174</v>
      </c>
      <c r="CU508" s="504">
        <v>143</v>
      </c>
      <c r="CV508" s="504">
        <v>115</v>
      </c>
      <c r="CW508" s="504">
        <v>82</v>
      </c>
      <c r="CX508" s="504">
        <v>77</v>
      </c>
      <c r="CY508" s="504">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3">
      <c r="A509" s="30" t="s">
        <v>68</v>
      </c>
      <c r="B509" s="1" t="s">
        <v>577</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04">
        <v>322</v>
      </c>
      <c r="N509" s="504">
        <v>325</v>
      </c>
      <c r="O509" s="504">
        <v>329</v>
      </c>
      <c r="P509" s="504">
        <v>309</v>
      </c>
      <c r="Q509" s="504">
        <v>371</v>
      </c>
      <c r="R509" s="504">
        <v>402</v>
      </c>
      <c r="S509" s="504">
        <v>381</v>
      </c>
      <c r="T509" s="504">
        <v>384</v>
      </c>
      <c r="U509" s="504">
        <v>350</v>
      </c>
      <c r="V509" s="504">
        <v>355</v>
      </c>
      <c r="W509" s="504">
        <v>378</v>
      </c>
      <c r="X509" s="504">
        <v>405</v>
      </c>
      <c r="Y509" s="504">
        <v>360</v>
      </c>
      <c r="Z509" s="504">
        <v>363</v>
      </c>
      <c r="AA509" s="504">
        <v>375</v>
      </c>
      <c r="AB509" s="504">
        <v>379</v>
      </c>
      <c r="AC509" s="504">
        <v>337</v>
      </c>
      <c r="AD509" s="504">
        <v>307</v>
      </c>
      <c r="AE509" s="504">
        <v>319</v>
      </c>
      <c r="AF509" s="504">
        <v>333</v>
      </c>
      <c r="AG509" s="504">
        <v>297</v>
      </c>
      <c r="AH509" s="504">
        <v>289</v>
      </c>
      <c r="AI509" s="504">
        <v>333</v>
      </c>
      <c r="AJ509" s="504">
        <v>329</v>
      </c>
      <c r="AK509" s="504">
        <v>314</v>
      </c>
      <c r="AL509" s="504">
        <v>356</v>
      </c>
      <c r="AM509" s="504">
        <v>342</v>
      </c>
      <c r="AN509" s="504">
        <v>329</v>
      </c>
      <c r="AO509" s="504">
        <v>375</v>
      </c>
      <c r="AP509" s="504">
        <v>373</v>
      </c>
      <c r="AQ509" s="504">
        <v>362</v>
      </c>
      <c r="AR509" s="504">
        <v>382</v>
      </c>
      <c r="AS509" s="504">
        <v>390</v>
      </c>
      <c r="AT509" s="504">
        <v>371</v>
      </c>
      <c r="AU509" s="504">
        <v>386</v>
      </c>
      <c r="AV509" s="504">
        <v>397</v>
      </c>
      <c r="AW509" s="504">
        <v>396</v>
      </c>
      <c r="AX509" s="504">
        <v>417</v>
      </c>
      <c r="AY509" s="504">
        <v>405</v>
      </c>
      <c r="AZ509" s="504">
        <v>353</v>
      </c>
      <c r="BA509" s="504">
        <v>345</v>
      </c>
      <c r="BB509" s="504">
        <v>368</v>
      </c>
      <c r="BC509" s="504">
        <v>386</v>
      </c>
      <c r="BD509" s="504">
        <v>340</v>
      </c>
      <c r="BE509" s="504">
        <v>284</v>
      </c>
      <c r="BF509" s="504">
        <v>280</v>
      </c>
      <c r="BG509" s="504">
        <v>319</v>
      </c>
      <c r="BH509" s="504">
        <v>331</v>
      </c>
      <c r="BI509" s="504">
        <v>303</v>
      </c>
      <c r="BJ509" s="504">
        <v>340</v>
      </c>
      <c r="BK509" s="504">
        <v>362</v>
      </c>
      <c r="BL509" s="504">
        <v>394</v>
      </c>
      <c r="BM509" s="504">
        <v>378</v>
      </c>
      <c r="BN509" s="504">
        <v>423</v>
      </c>
      <c r="BO509" s="504">
        <v>387</v>
      </c>
      <c r="BP509" s="504">
        <v>385</v>
      </c>
      <c r="BQ509" s="504">
        <v>419</v>
      </c>
      <c r="BR509" s="504">
        <v>416</v>
      </c>
      <c r="BS509" s="504">
        <v>421</v>
      </c>
      <c r="BT509" s="504">
        <v>381</v>
      </c>
      <c r="BU509" s="504">
        <v>405</v>
      </c>
      <c r="BV509" s="504">
        <v>379</v>
      </c>
      <c r="BW509" s="504">
        <v>383</v>
      </c>
      <c r="BX509" s="504">
        <v>405</v>
      </c>
      <c r="BY509" s="504">
        <v>393</v>
      </c>
      <c r="BZ509" s="504">
        <v>324</v>
      </c>
      <c r="CA509" s="504">
        <v>306</v>
      </c>
      <c r="CB509" s="504">
        <v>295</v>
      </c>
      <c r="CC509" s="504">
        <v>323</v>
      </c>
      <c r="CD509" s="504">
        <v>301</v>
      </c>
      <c r="CE509" s="504">
        <v>295</v>
      </c>
      <c r="CF509" s="504">
        <v>300</v>
      </c>
      <c r="CG509" s="504">
        <v>276</v>
      </c>
      <c r="CH509" s="504">
        <v>314</v>
      </c>
      <c r="CI509" s="504">
        <v>295</v>
      </c>
      <c r="CJ509" s="504">
        <v>264</v>
      </c>
      <c r="CK509" s="504">
        <v>208</v>
      </c>
      <c r="CL509" s="504">
        <v>225</v>
      </c>
      <c r="CM509" s="504">
        <v>219</v>
      </c>
      <c r="CN509" s="504">
        <v>190</v>
      </c>
      <c r="CO509" s="504">
        <v>177</v>
      </c>
      <c r="CP509" s="504">
        <v>123</v>
      </c>
      <c r="CQ509" s="504">
        <v>131</v>
      </c>
      <c r="CR509" s="504">
        <v>119</v>
      </c>
      <c r="CS509" s="504">
        <v>109</v>
      </c>
      <c r="CT509" s="504">
        <v>95</v>
      </c>
      <c r="CU509" s="504">
        <v>84</v>
      </c>
      <c r="CV509" s="504">
        <v>76</v>
      </c>
      <c r="CW509" s="504">
        <v>50</v>
      </c>
      <c r="CX509" s="504">
        <v>44</v>
      </c>
      <c r="CY509" s="504">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3">
      <c r="A510" s="30" t="s">
        <v>68</v>
      </c>
      <c r="B510" s="1" t="s">
        <v>578</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04">
        <v>377</v>
      </c>
      <c r="N510" s="504">
        <v>383</v>
      </c>
      <c r="O510" s="504">
        <v>404</v>
      </c>
      <c r="P510" s="504">
        <v>394</v>
      </c>
      <c r="Q510" s="504">
        <v>447</v>
      </c>
      <c r="R510" s="504">
        <v>478</v>
      </c>
      <c r="S510" s="504">
        <v>490</v>
      </c>
      <c r="T510" s="504">
        <v>485</v>
      </c>
      <c r="U510" s="504">
        <v>489</v>
      </c>
      <c r="V510" s="504">
        <v>501</v>
      </c>
      <c r="W510" s="504">
        <v>531</v>
      </c>
      <c r="X510" s="504">
        <v>542</v>
      </c>
      <c r="Y510" s="504">
        <v>515</v>
      </c>
      <c r="Z510" s="504">
        <v>563</v>
      </c>
      <c r="AA510" s="504">
        <v>550</v>
      </c>
      <c r="AB510" s="504">
        <v>559</v>
      </c>
      <c r="AC510" s="504">
        <v>524</v>
      </c>
      <c r="AD510" s="504">
        <v>545</v>
      </c>
      <c r="AE510" s="504">
        <v>490</v>
      </c>
      <c r="AF510" s="504">
        <v>319</v>
      </c>
      <c r="AG510" s="504">
        <v>335</v>
      </c>
      <c r="AH510" s="504">
        <v>372</v>
      </c>
      <c r="AI510" s="504">
        <v>418</v>
      </c>
      <c r="AJ510" s="504">
        <v>441</v>
      </c>
      <c r="AK510" s="504">
        <v>398</v>
      </c>
      <c r="AL510" s="504">
        <v>495</v>
      </c>
      <c r="AM510" s="504">
        <v>449</v>
      </c>
      <c r="AN510" s="504">
        <v>462</v>
      </c>
      <c r="AO510" s="504">
        <v>457</v>
      </c>
      <c r="AP510" s="504">
        <v>442</v>
      </c>
      <c r="AQ510" s="504">
        <v>500</v>
      </c>
      <c r="AR510" s="504">
        <v>537</v>
      </c>
      <c r="AS510" s="504">
        <v>477</v>
      </c>
      <c r="AT510" s="504">
        <v>516</v>
      </c>
      <c r="AU510" s="504">
        <v>453</v>
      </c>
      <c r="AV510" s="504">
        <v>485</v>
      </c>
      <c r="AW510" s="504">
        <v>490</v>
      </c>
      <c r="AX510" s="504">
        <v>484</v>
      </c>
      <c r="AY510" s="504">
        <v>482</v>
      </c>
      <c r="AZ510" s="504">
        <v>486</v>
      </c>
      <c r="BA510" s="504">
        <v>499</v>
      </c>
      <c r="BB510" s="504">
        <v>471</v>
      </c>
      <c r="BC510" s="504">
        <v>509</v>
      </c>
      <c r="BD510" s="504">
        <v>520</v>
      </c>
      <c r="BE510" s="504">
        <v>463</v>
      </c>
      <c r="BF510" s="504">
        <v>519</v>
      </c>
      <c r="BG510" s="504">
        <v>496</v>
      </c>
      <c r="BH510" s="504">
        <v>549</v>
      </c>
      <c r="BI510" s="504">
        <v>538</v>
      </c>
      <c r="BJ510" s="504">
        <v>592</v>
      </c>
      <c r="BK510" s="504">
        <v>667</v>
      </c>
      <c r="BL510" s="504">
        <v>708</v>
      </c>
      <c r="BM510" s="504">
        <v>648</v>
      </c>
      <c r="BN510" s="504">
        <v>693</v>
      </c>
      <c r="BO510" s="504">
        <v>749</v>
      </c>
      <c r="BP510" s="504">
        <v>752</v>
      </c>
      <c r="BQ510" s="504">
        <v>784</v>
      </c>
      <c r="BR510" s="504">
        <v>766</v>
      </c>
      <c r="BS510" s="504">
        <v>756</v>
      </c>
      <c r="BT510" s="504">
        <v>782</v>
      </c>
      <c r="BU510" s="504">
        <v>721</v>
      </c>
      <c r="BV510" s="504">
        <v>717</v>
      </c>
      <c r="BW510" s="504">
        <v>665</v>
      </c>
      <c r="BX510" s="504">
        <v>635</v>
      </c>
      <c r="BY510" s="504">
        <v>685</v>
      </c>
      <c r="BZ510" s="504">
        <v>628</v>
      </c>
      <c r="CA510" s="504">
        <v>575</v>
      </c>
      <c r="CB510" s="504">
        <v>602</v>
      </c>
      <c r="CC510" s="504">
        <v>554</v>
      </c>
      <c r="CD510" s="504">
        <v>603</v>
      </c>
      <c r="CE510" s="504">
        <v>611</v>
      </c>
      <c r="CF510" s="504">
        <v>578</v>
      </c>
      <c r="CG510" s="504">
        <v>625</v>
      </c>
      <c r="CH510" s="504">
        <v>605</v>
      </c>
      <c r="CI510" s="504">
        <v>606</v>
      </c>
      <c r="CJ510" s="504">
        <v>658</v>
      </c>
      <c r="CK510" s="504">
        <v>487</v>
      </c>
      <c r="CL510" s="504">
        <v>470</v>
      </c>
      <c r="CM510" s="504">
        <v>490</v>
      </c>
      <c r="CN510" s="504">
        <v>437</v>
      </c>
      <c r="CO510" s="504">
        <v>368</v>
      </c>
      <c r="CP510" s="504">
        <v>310</v>
      </c>
      <c r="CQ510" s="504">
        <v>342</v>
      </c>
      <c r="CR510" s="504">
        <v>275</v>
      </c>
      <c r="CS510" s="504">
        <v>241</v>
      </c>
      <c r="CT510" s="504">
        <v>224</v>
      </c>
      <c r="CU510" s="504">
        <v>217</v>
      </c>
      <c r="CV510" s="504">
        <v>168</v>
      </c>
      <c r="CW510" s="504">
        <v>170</v>
      </c>
      <c r="CX510" s="504">
        <v>145</v>
      </c>
      <c r="CY510" s="504">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3">
      <c r="A511" s="30" t="s">
        <v>68</v>
      </c>
      <c r="B511" s="1" t="s">
        <v>579</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04">
        <v>636</v>
      </c>
      <c r="N511" s="504">
        <v>642</v>
      </c>
      <c r="O511" s="504">
        <v>647</v>
      </c>
      <c r="P511" s="504">
        <v>707</v>
      </c>
      <c r="Q511" s="504">
        <v>762</v>
      </c>
      <c r="R511" s="504">
        <v>761</v>
      </c>
      <c r="S511" s="504">
        <v>825</v>
      </c>
      <c r="T511" s="504">
        <v>811</v>
      </c>
      <c r="U511" s="504">
        <v>818</v>
      </c>
      <c r="V511" s="504">
        <v>783</v>
      </c>
      <c r="W511" s="504">
        <v>915</v>
      </c>
      <c r="X511" s="504">
        <v>922</v>
      </c>
      <c r="Y511" s="504">
        <v>869</v>
      </c>
      <c r="Z511" s="504">
        <v>864</v>
      </c>
      <c r="AA511" s="504">
        <v>873</v>
      </c>
      <c r="AB511" s="504">
        <v>854</v>
      </c>
      <c r="AC511" s="504">
        <v>858</v>
      </c>
      <c r="AD511" s="504">
        <v>823</v>
      </c>
      <c r="AE511" s="504">
        <v>958</v>
      </c>
      <c r="AF511" s="504">
        <v>1502</v>
      </c>
      <c r="AG511" s="504">
        <v>878</v>
      </c>
      <c r="AH511" s="504">
        <v>667</v>
      </c>
      <c r="AI511" s="504">
        <v>607</v>
      </c>
      <c r="AJ511" s="504">
        <v>701</v>
      </c>
      <c r="AK511" s="504">
        <v>688</v>
      </c>
      <c r="AL511" s="504">
        <v>776</v>
      </c>
      <c r="AM511" s="504">
        <v>789</v>
      </c>
      <c r="AN511" s="504">
        <v>806</v>
      </c>
      <c r="AO511" s="504">
        <v>797</v>
      </c>
      <c r="AP511" s="504">
        <v>829</v>
      </c>
      <c r="AQ511" s="504">
        <v>904</v>
      </c>
      <c r="AR511" s="504">
        <v>851</v>
      </c>
      <c r="AS511" s="504">
        <v>855</v>
      </c>
      <c r="AT511" s="504">
        <v>855</v>
      </c>
      <c r="AU511" s="504">
        <v>825</v>
      </c>
      <c r="AV511" s="504">
        <v>845</v>
      </c>
      <c r="AW511" s="504">
        <v>903</v>
      </c>
      <c r="AX511" s="504">
        <v>859</v>
      </c>
      <c r="AY511" s="504">
        <v>868</v>
      </c>
      <c r="AZ511" s="504">
        <v>830</v>
      </c>
      <c r="BA511" s="504">
        <v>830</v>
      </c>
      <c r="BB511" s="504">
        <v>850</v>
      </c>
      <c r="BC511" s="504">
        <v>826</v>
      </c>
      <c r="BD511" s="504">
        <v>853</v>
      </c>
      <c r="BE511" s="504">
        <v>809</v>
      </c>
      <c r="BF511" s="504">
        <v>756</v>
      </c>
      <c r="BG511" s="504">
        <v>746</v>
      </c>
      <c r="BH511" s="504">
        <v>825</v>
      </c>
      <c r="BI511" s="504">
        <v>777</v>
      </c>
      <c r="BJ511" s="504">
        <v>849</v>
      </c>
      <c r="BK511" s="504">
        <v>862</v>
      </c>
      <c r="BL511" s="504">
        <v>954</v>
      </c>
      <c r="BM511" s="504">
        <v>904</v>
      </c>
      <c r="BN511" s="504">
        <v>948</v>
      </c>
      <c r="BO511" s="504">
        <v>1003</v>
      </c>
      <c r="BP511" s="504">
        <v>945</v>
      </c>
      <c r="BQ511" s="504">
        <v>984</v>
      </c>
      <c r="BR511" s="504">
        <v>991</v>
      </c>
      <c r="BS511" s="504">
        <v>1043</v>
      </c>
      <c r="BT511" s="504">
        <v>992</v>
      </c>
      <c r="BU511" s="504">
        <v>975</v>
      </c>
      <c r="BV511" s="504">
        <v>943</v>
      </c>
      <c r="BW511" s="504">
        <v>960</v>
      </c>
      <c r="BX511" s="504">
        <v>888</v>
      </c>
      <c r="BY511" s="504">
        <v>1006</v>
      </c>
      <c r="BZ511" s="504">
        <v>870</v>
      </c>
      <c r="CA511" s="504">
        <v>796</v>
      </c>
      <c r="CB511" s="504">
        <v>802</v>
      </c>
      <c r="CC511" s="504">
        <v>793</v>
      </c>
      <c r="CD511" s="504">
        <v>815</v>
      </c>
      <c r="CE511" s="504">
        <v>772</v>
      </c>
      <c r="CF511" s="504">
        <v>725</v>
      </c>
      <c r="CG511" s="504">
        <v>778</v>
      </c>
      <c r="CH511" s="504">
        <v>746</v>
      </c>
      <c r="CI511" s="504">
        <v>847</v>
      </c>
      <c r="CJ511" s="504">
        <v>799</v>
      </c>
      <c r="CK511" s="504">
        <v>579</v>
      </c>
      <c r="CL511" s="504">
        <v>577</v>
      </c>
      <c r="CM511" s="504">
        <v>556</v>
      </c>
      <c r="CN511" s="504">
        <v>505</v>
      </c>
      <c r="CO511" s="504">
        <v>452</v>
      </c>
      <c r="CP511" s="504">
        <v>360</v>
      </c>
      <c r="CQ511" s="504">
        <v>384</v>
      </c>
      <c r="CR511" s="504">
        <v>318</v>
      </c>
      <c r="CS511" s="504">
        <v>294</v>
      </c>
      <c r="CT511" s="504">
        <v>260</v>
      </c>
      <c r="CU511" s="504">
        <v>226</v>
      </c>
      <c r="CV511" s="504">
        <v>183</v>
      </c>
      <c r="CW511" s="504">
        <v>177</v>
      </c>
      <c r="CX511" s="504">
        <v>127</v>
      </c>
      <c r="CY511" s="504">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3">
      <c r="A512" s="30" t="s">
        <v>68</v>
      </c>
      <c r="B512" s="1" t="s">
        <v>580</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04">
        <v>1002</v>
      </c>
      <c r="N512" s="504">
        <v>958</v>
      </c>
      <c r="O512" s="504">
        <v>993</v>
      </c>
      <c r="P512" s="504">
        <v>1033</v>
      </c>
      <c r="Q512" s="504">
        <v>1002</v>
      </c>
      <c r="R512" s="504">
        <v>1014</v>
      </c>
      <c r="S512" s="504">
        <v>1196</v>
      </c>
      <c r="T512" s="504">
        <v>1083</v>
      </c>
      <c r="U512" s="504">
        <v>1043</v>
      </c>
      <c r="V512" s="504">
        <v>1089</v>
      </c>
      <c r="W512" s="504">
        <v>1039</v>
      </c>
      <c r="X512" s="504">
        <v>1059</v>
      </c>
      <c r="Y512" s="504">
        <v>1048</v>
      </c>
      <c r="Z512" s="504">
        <v>1123</v>
      </c>
      <c r="AA512" s="504">
        <v>1128</v>
      </c>
      <c r="AB512" s="504">
        <v>945</v>
      </c>
      <c r="AC512" s="504">
        <v>940</v>
      </c>
      <c r="AD512" s="504">
        <v>952</v>
      </c>
      <c r="AE512" s="504">
        <v>969</v>
      </c>
      <c r="AF512" s="504">
        <v>782</v>
      </c>
      <c r="AG512" s="504">
        <v>699</v>
      </c>
      <c r="AH512" s="504">
        <v>774</v>
      </c>
      <c r="AI512" s="504">
        <v>881</v>
      </c>
      <c r="AJ512" s="504">
        <v>985</v>
      </c>
      <c r="AK512" s="504">
        <v>959</v>
      </c>
      <c r="AL512" s="504">
        <v>1027</v>
      </c>
      <c r="AM512" s="504">
        <v>1005</v>
      </c>
      <c r="AN512" s="504">
        <v>1020</v>
      </c>
      <c r="AO512" s="504">
        <v>1076</v>
      </c>
      <c r="AP512" s="504">
        <v>1245</v>
      </c>
      <c r="AQ512" s="504">
        <v>1220</v>
      </c>
      <c r="AR512" s="504">
        <v>1265</v>
      </c>
      <c r="AS512" s="504">
        <v>1169</v>
      </c>
      <c r="AT512" s="504">
        <v>1279</v>
      </c>
      <c r="AU512" s="504">
        <v>1332</v>
      </c>
      <c r="AV512" s="504">
        <v>1215</v>
      </c>
      <c r="AW512" s="504">
        <v>1185</v>
      </c>
      <c r="AX512" s="504">
        <v>1259</v>
      </c>
      <c r="AY512" s="504">
        <v>1143</v>
      </c>
      <c r="AZ512" s="504">
        <v>1017</v>
      </c>
      <c r="BA512" s="504">
        <v>1038</v>
      </c>
      <c r="BB512" s="504">
        <v>1044</v>
      </c>
      <c r="BC512" s="504">
        <v>1120</v>
      </c>
      <c r="BD512" s="504">
        <v>1055</v>
      </c>
      <c r="BE512" s="504">
        <v>942</v>
      </c>
      <c r="BF512" s="504">
        <v>907</v>
      </c>
      <c r="BG512" s="504">
        <v>917</v>
      </c>
      <c r="BH512" s="504">
        <v>953</v>
      </c>
      <c r="BI512" s="504">
        <v>944</v>
      </c>
      <c r="BJ512" s="504">
        <v>996</v>
      </c>
      <c r="BK512" s="504">
        <v>980</v>
      </c>
      <c r="BL512" s="504">
        <v>1095</v>
      </c>
      <c r="BM512" s="504">
        <v>1067</v>
      </c>
      <c r="BN512" s="504">
        <v>1100</v>
      </c>
      <c r="BO512" s="504">
        <v>948</v>
      </c>
      <c r="BP512" s="504">
        <v>1070</v>
      </c>
      <c r="BQ512" s="504">
        <v>1067</v>
      </c>
      <c r="BR512" s="504">
        <v>1053</v>
      </c>
      <c r="BS512" s="504">
        <v>1041</v>
      </c>
      <c r="BT512" s="504">
        <v>1021</v>
      </c>
      <c r="BU512" s="504">
        <v>935</v>
      </c>
      <c r="BV512" s="504">
        <v>982</v>
      </c>
      <c r="BW512" s="504">
        <v>893</v>
      </c>
      <c r="BX512" s="504">
        <v>964</v>
      </c>
      <c r="BY512" s="504">
        <v>829</v>
      </c>
      <c r="BZ512" s="504">
        <v>800</v>
      </c>
      <c r="CA512" s="504">
        <v>680</v>
      </c>
      <c r="CB512" s="504">
        <v>675</v>
      </c>
      <c r="CC512" s="504">
        <v>724</v>
      </c>
      <c r="CD512" s="504">
        <v>751</v>
      </c>
      <c r="CE512" s="504">
        <v>678</v>
      </c>
      <c r="CF512" s="504">
        <v>607</v>
      </c>
      <c r="CG512" s="504">
        <v>654</v>
      </c>
      <c r="CH512" s="504">
        <v>620</v>
      </c>
      <c r="CI512" s="504">
        <v>701</v>
      </c>
      <c r="CJ512" s="504">
        <v>753</v>
      </c>
      <c r="CK512" s="504">
        <v>517</v>
      </c>
      <c r="CL512" s="504">
        <v>519</v>
      </c>
      <c r="CM512" s="504">
        <v>492</v>
      </c>
      <c r="CN512" s="504">
        <v>470</v>
      </c>
      <c r="CO512" s="504">
        <v>374</v>
      </c>
      <c r="CP512" s="504">
        <v>319</v>
      </c>
      <c r="CQ512" s="504">
        <v>324</v>
      </c>
      <c r="CR512" s="504">
        <v>314</v>
      </c>
      <c r="CS512" s="504">
        <v>256</v>
      </c>
      <c r="CT512" s="504">
        <v>240</v>
      </c>
      <c r="CU512" s="504">
        <v>230</v>
      </c>
      <c r="CV512" s="504">
        <v>172</v>
      </c>
      <c r="CW512" s="504">
        <v>142</v>
      </c>
      <c r="CX512" s="504">
        <v>117</v>
      </c>
      <c r="CY512" s="504">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3">
      <c r="A513" s="30" t="s">
        <v>68</v>
      </c>
      <c r="B513" s="1" t="s">
        <v>581</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04">
        <v>547</v>
      </c>
      <c r="N513" s="504">
        <v>541</v>
      </c>
      <c r="O513" s="504">
        <v>560</v>
      </c>
      <c r="P513" s="504">
        <v>587</v>
      </c>
      <c r="Q513" s="504">
        <v>646</v>
      </c>
      <c r="R513" s="504">
        <v>630</v>
      </c>
      <c r="S513" s="504">
        <v>657</v>
      </c>
      <c r="T513" s="504">
        <v>695</v>
      </c>
      <c r="U513" s="504">
        <v>700</v>
      </c>
      <c r="V513" s="504">
        <v>693</v>
      </c>
      <c r="W513" s="504">
        <v>704</v>
      </c>
      <c r="X513" s="504">
        <v>745</v>
      </c>
      <c r="Y513" s="504">
        <v>723</v>
      </c>
      <c r="Z513" s="504">
        <v>691</v>
      </c>
      <c r="AA513" s="504">
        <v>785</v>
      </c>
      <c r="AB513" s="504">
        <v>690</v>
      </c>
      <c r="AC513" s="504">
        <v>779</v>
      </c>
      <c r="AD513" s="504">
        <v>726</v>
      </c>
      <c r="AE513" s="504">
        <v>659</v>
      </c>
      <c r="AF513" s="504">
        <v>545</v>
      </c>
      <c r="AG513" s="504">
        <v>505</v>
      </c>
      <c r="AH513" s="504">
        <v>573</v>
      </c>
      <c r="AI513" s="504">
        <v>608</v>
      </c>
      <c r="AJ513" s="504">
        <v>603</v>
      </c>
      <c r="AK513" s="504">
        <v>650</v>
      </c>
      <c r="AL513" s="504">
        <v>681</v>
      </c>
      <c r="AM513" s="504">
        <v>604</v>
      </c>
      <c r="AN513" s="504">
        <v>539</v>
      </c>
      <c r="AO513" s="504">
        <v>615</v>
      </c>
      <c r="AP513" s="504">
        <v>649</v>
      </c>
      <c r="AQ513" s="504">
        <v>715</v>
      </c>
      <c r="AR513" s="504">
        <v>687</v>
      </c>
      <c r="AS513" s="504">
        <v>631</v>
      </c>
      <c r="AT513" s="504">
        <v>601</v>
      </c>
      <c r="AU513" s="504">
        <v>686</v>
      </c>
      <c r="AV513" s="504">
        <v>659</v>
      </c>
      <c r="AW513" s="504">
        <v>623</v>
      </c>
      <c r="AX513" s="504">
        <v>623</v>
      </c>
      <c r="AY513" s="504">
        <v>614</v>
      </c>
      <c r="AZ513" s="504">
        <v>608</v>
      </c>
      <c r="BA513" s="504">
        <v>609</v>
      </c>
      <c r="BB513" s="504">
        <v>629</v>
      </c>
      <c r="BC513" s="504">
        <v>647</v>
      </c>
      <c r="BD513" s="504">
        <v>626</v>
      </c>
      <c r="BE513" s="504">
        <v>583</v>
      </c>
      <c r="BF513" s="504">
        <v>542</v>
      </c>
      <c r="BG513" s="504">
        <v>580</v>
      </c>
      <c r="BH513" s="504">
        <v>603</v>
      </c>
      <c r="BI513" s="504">
        <v>639</v>
      </c>
      <c r="BJ513" s="504">
        <v>703</v>
      </c>
      <c r="BK513" s="504">
        <v>754</v>
      </c>
      <c r="BL513" s="504">
        <v>757</v>
      </c>
      <c r="BM513" s="504">
        <v>818</v>
      </c>
      <c r="BN513" s="504">
        <v>808</v>
      </c>
      <c r="BO513" s="504">
        <v>855</v>
      </c>
      <c r="BP513" s="504">
        <v>905</v>
      </c>
      <c r="BQ513" s="504">
        <v>926</v>
      </c>
      <c r="BR513" s="504">
        <v>915</v>
      </c>
      <c r="BS513" s="504">
        <v>887</v>
      </c>
      <c r="BT513" s="504">
        <v>1009</v>
      </c>
      <c r="BU513" s="504">
        <v>967</v>
      </c>
      <c r="BV513" s="504">
        <v>914</v>
      </c>
      <c r="BW513" s="504">
        <v>904</v>
      </c>
      <c r="BX513" s="504">
        <v>952</v>
      </c>
      <c r="BY513" s="504">
        <v>893</v>
      </c>
      <c r="BZ513" s="504">
        <v>866</v>
      </c>
      <c r="CA513" s="504">
        <v>855</v>
      </c>
      <c r="CB513" s="504">
        <v>857</v>
      </c>
      <c r="CC513" s="504">
        <v>882</v>
      </c>
      <c r="CD513" s="504">
        <v>875</v>
      </c>
      <c r="CE513" s="504">
        <v>807</v>
      </c>
      <c r="CF513" s="504">
        <v>838</v>
      </c>
      <c r="CG513" s="504">
        <v>832</v>
      </c>
      <c r="CH513" s="504">
        <v>800</v>
      </c>
      <c r="CI513" s="504">
        <v>838</v>
      </c>
      <c r="CJ513" s="504">
        <v>882</v>
      </c>
      <c r="CK513" s="504">
        <v>614</v>
      </c>
      <c r="CL513" s="504">
        <v>659</v>
      </c>
      <c r="CM513" s="504">
        <v>627</v>
      </c>
      <c r="CN513" s="504">
        <v>545</v>
      </c>
      <c r="CO513" s="504">
        <v>490</v>
      </c>
      <c r="CP513" s="504">
        <v>469</v>
      </c>
      <c r="CQ513" s="504">
        <v>418</v>
      </c>
      <c r="CR513" s="504">
        <v>376</v>
      </c>
      <c r="CS513" s="504">
        <v>328</v>
      </c>
      <c r="CT513" s="504">
        <v>268</v>
      </c>
      <c r="CU513" s="504">
        <v>254</v>
      </c>
      <c r="CV513" s="504">
        <v>224</v>
      </c>
      <c r="CW513" s="504">
        <v>142</v>
      </c>
      <c r="CX513" s="504">
        <v>181</v>
      </c>
      <c r="CY513" s="504">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3">
      <c r="A514" s="30" t="s">
        <v>68</v>
      </c>
      <c r="B514" s="1" t="s">
        <v>582</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04">
        <v>542</v>
      </c>
      <c r="N514" s="504">
        <v>558</v>
      </c>
      <c r="O514" s="504">
        <v>557</v>
      </c>
      <c r="P514" s="504">
        <v>623</v>
      </c>
      <c r="Q514" s="504">
        <v>680</v>
      </c>
      <c r="R514" s="504">
        <v>640</v>
      </c>
      <c r="S514" s="504">
        <v>636</v>
      </c>
      <c r="T514" s="504">
        <v>702</v>
      </c>
      <c r="U514" s="504">
        <v>710</v>
      </c>
      <c r="V514" s="504">
        <v>708</v>
      </c>
      <c r="W514" s="504">
        <v>684</v>
      </c>
      <c r="X514" s="504">
        <v>699</v>
      </c>
      <c r="Y514" s="504">
        <v>687</v>
      </c>
      <c r="Z514" s="504">
        <v>724</v>
      </c>
      <c r="AA514" s="504">
        <v>813</v>
      </c>
      <c r="AB514" s="504">
        <v>726</v>
      </c>
      <c r="AC514" s="504">
        <v>720</v>
      </c>
      <c r="AD514" s="504">
        <v>759</v>
      </c>
      <c r="AE514" s="504">
        <v>677</v>
      </c>
      <c r="AF514" s="504">
        <v>546</v>
      </c>
      <c r="AG514" s="504">
        <v>497</v>
      </c>
      <c r="AH514" s="504">
        <v>540</v>
      </c>
      <c r="AI514" s="504">
        <v>576</v>
      </c>
      <c r="AJ514" s="504">
        <v>708</v>
      </c>
      <c r="AK514" s="504">
        <v>659</v>
      </c>
      <c r="AL514" s="504">
        <v>640</v>
      </c>
      <c r="AM514" s="504">
        <v>700</v>
      </c>
      <c r="AN514" s="504">
        <v>643</v>
      </c>
      <c r="AO514" s="504">
        <v>676</v>
      </c>
      <c r="AP514" s="504">
        <v>655</v>
      </c>
      <c r="AQ514" s="504">
        <v>689</v>
      </c>
      <c r="AR514" s="504">
        <v>681</v>
      </c>
      <c r="AS514" s="504">
        <v>678</v>
      </c>
      <c r="AT514" s="504">
        <v>691</v>
      </c>
      <c r="AU514" s="504">
        <v>706</v>
      </c>
      <c r="AV514" s="504">
        <v>621</v>
      </c>
      <c r="AW514" s="504">
        <v>641</v>
      </c>
      <c r="AX514" s="504">
        <v>683</v>
      </c>
      <c r="AY514" s="504">
        <v>629</v>
      </c>
      <c r="AZ514" s="504">
        <v>628</v>
      </c>
      <c r="BA514" s="504">
        <v>668</v>
      </c>
      <c r="BB514" s="504">
        <v>643</v>
      </c>
      <c r="BC514" s="504">
        <v>674</v>
      </c>
      <c r="BD514" s="504">
        <v>652</v>
      </c>
      <c r="BE514" s="504">
        <v>622</v>
      </c>
      <c r="BF514" s="504">
        <v>638</v>
      </c>
      <c r="BG514" s="504">
        <v>646</v>
      </c>
      <c r="BH514" s="504">
        <v>721</v>
      </c>
      <c r="BI514" s="504">
        <v>733</v>
      </c>
      <c r="BJ514" s="504">
        <v>732</v>
      </c>
      <c r="BK514" s="504">
        <v>904</v>
      </c>
      <c r="BL514" s="504">
        <v>916</v>
      </c>
      <c r="BM514" s="504">
        <v>874</v>
      </c>
      <c r="BN514" s="504">
        <v>967</v>
      </c>
      <c r="BO514" s="504">
        <v>918</v>
      </c>
      <c r="BP514" s="504">
        <v>1049</v>
      </c>
      <c r="BQ514" s="504">
        <v>1027</v>
      </c>
      <c r="BR514" s="504">
        <v>1085</v>
      </c>
      <c r="BS514" s="504">
        <v>1055</v>
      </c>
      <c r="BT514" s="504">
        <v>1079</v>
      </c>
      <c r="BU514" s="504">
        <v>1083</v>
      </c>
      <c r="BV514" s="504">
        <v>1072</v>
      </c>
      <c r="BW514" s="504">
        <v>1062</v>
      </c>
      <c r="BX514" s="504">
        <v>1068</v>
      </c>
      <c r="BY514" s="504">
        <v>970</v>
      </c>
      <c r="BZ514" s="504">
        <v>1004</v>
      </c>
      <c r="CA514" s="504">
        <v>1048</v>
      </c>
      <c r="CB514" s="504">
        <v>920</v>
      </c>
      <c r="CC514" s="504">
        <v>981</v>
      </c>
      <c r="CD514" s="504">
        <v>986</v>
      </c>
      <c r="CE514" s="504">
        <v>946</v>
      </c>
      <c r="CF514" s="504">
        <v>909</v>
      </c>
      <c r="CG514" s="504">
        <v>957</v>
      </c>
      <c r="CH514" s="504">
        <v>966</v>
      </c>
      <c r="CI514" s="504">
        <v>1053</v>
      </c>
      <c r="CJ514" s="504">
        <v>1016</v>
      </c>
      <c r="CK514" s="504">
        <v>762</v>
      </c>
      <c r="CL514" s="504">
        <v>697</v>
      </c>
      <c r="CM514" s="504">
        <v>815</v>
      </c>
      <c r="CN514" s="504">
        <v>676</v>
      </c>
      <c r="CO514" s="504">
        <v>565</v>
      </c>
      <c r="CP514" s="504">
        <v>480</v>
      </c>
      <c r="CQ514" s="504">
        <v>484</v>
      </c>
      <c r="CR514" s="504">
        <v>421</v>
      </c>
      <c r="CS514" s="504">
        <v>402</v>
      </c>
      <c r="CT514" s="504">
        <v>348</v>
      </c>
      <c r="CU514" s="504">
        <v>295</v>
      </c>
      <c r="CV514" s="504">
        <v>283</v>
      </c>
      <c r="CW514" s="504">
        <v>234</v>
      </c>
      <c r="CX514" s="504">
        <v>151</v>
      </c>
      <c r="CY514" s="504">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3">
      <c r="A515" s="30" t="s">
        <v>68</v>
      </c>
      <c r="B515" s="1" t="s">
        <v>583</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04">
        <v>1182</v>
      </c>
      <c r="N515" s="504">
        <v>1192</v>
      </c>
      <c r="O515" s="504">
        <v>1246</v>
      </c>
      <c r="P515" s="504">
        <v>1330</v>
      </c>
      <c r="Q515" s="504">
        <v>1390</v>
      </c>
      <c r="R515" s="504">
        <v>1335</v>
      </c>
      <c r="S515" s="504">
        <v>1349</v>
      </c>
      <c r="T515" s="504">
        <v>1424</v>
      </c>
      <c r="U515" s="504">
        <v>1454</v>
      </c>
      <c r="V515" s="504">
        <v>1448</v>
      </c>
      <c r="W515" s="504">
        <v>1470</v>
      </c>
      <c r="X515" s="504">
        <v>1500</v>
      </c>
      <c r="Y515" s="504">
        <v>1414</v>
      </c>
      <c r="Z515" s="504">
        <v>1599</v>
      </c>
      <c r="AA515" s="504">
        <v>1471</v>
      </c>
      <c r="AB515" s="504">
        <v>1487</v>
      </c>
      <c r="AC515" s="504">
        <v>1400</v>
      </c>
      <c r="AD515" s="504">
        <v>1425</v>
      </c>
      <c r="AE515" s="504">
        <v>1383</v>
      </c>
      <c r="AF515" s="504">
        <v>1430</v>
      </c>
      <c r="AG515" s="504">
        <v>1361</v>
      </c>
      <c r="AH515" s="504">
        <v>1470</v>
      </c>
      <c r="AI515" s="504">
        <v>1333</v>
      </c>
      <c r="AJ515" s="504">
        <v>1508</v>
      </c>
      <c r="AK515" s="504">
        <v>1349</v>
      </c>
      <c r="AL515" s="504">
        <v>1510</v>
      </c>
      <c r="AM515" s="504">
        <v>1397</v>
      </c>
      <c r="AN515" s="504">
        <v>1501</v>
      </c>
      <c r="AO515" s="504">
        <v>1440</v>
      </c>
      <c r="AP515" s="504">
        <v>1561</v>
      </c>
      <c r="AQ515" s="504">
        <v>1531</v>
      </c>
      <c r="AR515" s="504">
        <v>1507</v>
      </c>
      <c r="AS515" s="504">
        <v>1666</v>
      </c>
      <c r="AT515" s="504">
        <v>1646</v>
      </c>
      <c r="AU515" s="504">
        <v>1508</v>
      </c>
      <c r="AV515" s="504">
        <v>1576</v>
      </c>
      <c r="AW515" s="504">
        <v>1511</v>
      </c>
      <c r="AX515" s="504">
        <v>1573</v>
      </c>
      <c r="AY515" s="504">
        <v>1526</v>
      </c>
      <c r="AZ515" s="504">
        <v>1487</v>
      </c>
      <c r="BA515" s="504">
        <v>1448</v>
      </c>
      <c r="BB515" s="504">
        <v>1387</v>
      </c>
      <c r="BC515" s="504">
        <v>1473</v>
      </c>
      <c r="BD515" s="504">
        <v>1436</v>
      </c>
      <c r="BE515" s="504">
        <v>1292</v>
      </c>
      <c r="BF515" s="504">
        <v>1234</v>
      </c>
      <c r="BG515" s="504">
        <v>1228</v>
      </c>
      <c r="BH515" s="504">
        <v>1344</v>
      </c>
      <c r="BI515" s="504">
        <v>1265</v>
      </c>
      <c r="BJ515" s="504">
        <v>1525</v>
      </c>
      <c r="BK515" s="504">
        <v>1616</v>
      </c>
      <c r="BL515" s="504">
        <v>1695</v>
      </c>
      <c r="BM515" s="504">
        <v>1558</v>
      </c>
      <c r="BN515" s="504">
        <v>1611</v>
      </c>
      <c r="BO515" s="504">
        <v>1667</v>
      </c>
      <c r="BP515" s="504">
        <v>1659</v>
      </c>
      <c r="BQ515" s="504">
        <v>1692</v>
      </c>
      <c r="BR515" s="504">
        <v>1734</v>
      </c>
      <c r="BS515" s="504">
        <v>1649</v>
      </c>
      <c r="BT515" s="504">
        <v>1594</v>
      </c>
      <c r="BU515" s="504">
        <v>1607</v>
      </c>
      <c r="BV515" s="504">
        <v>1496</v>
      </c>
      <c r="BW515" s="504">
        <v>1364</v>
      </c>
      <c r="BX515" s="504">
        <v>1434</v>
      </c>
      <c r="BY515" s="504">
        <v>1372</v>
      </c>
      <c r="BZ515" s="504">
        <v>1354</v>
      </c>
      <c r="CA515" s="504">
        <v>1261</v>
      </c>
      <c r="CB515" s="504">
        <v>1184</v>
      </c>
      <c r="CC515" s="504">
        <v>1223</v>
      </c>
      <c r="CD515" s="504">
        <v>1163</v>
      </c>
      <c r="CE515" s="504">
        <v>1238</v>
      </c>
      <c r="CF515" s="504">
        <v>1171</v>
      </c>
      <c r="CG515" s="504">
        <v>1232</v>
      </c>
      <c r="CH515" s="504">
        <v>1244</v>
      </c>
      <c r="CI515" s="504">
        <v>1280</v>
      </c>
      <c r="CJ515" s="504">
        <v>1272</v>
      </c>
      <c r="CK515" s="504">
        <v>1071</v>
      </c>
      <c r="CL515" s="504">
        <v>988</v>
      </c>
      <c r="CM515" s="504">
        <v>843</v>
      </c>
      <c r="CN515" s="504">
        <v>708</v>
      </c>
      <c r="CO515" s="504">
        <v>680</v>
      </c>
      <c r="CP515" s="504">
        <v>591</v>
      </c>
      <c r="CQ515" s="504">
        <v>536</v>
      </c>
      <c r="CR515" s="504">
        <v>480</v>
      </c>
      <c r="CS515" s="504">
        <v>454</v>
      </c>
      <c r="CT515" s="504">
        <v>366</v>
      </c>
      <c r="CU515" s="504">
        <v>342</v>
      </c>
      <c r="CV515" s="504">
        <v>288</v>
      </c>
      <c r="CW515" s="504">
        <v>231</v>
      </c>
      <c r="CX515" s="504">
        <v>183</v>
      </c>
      <c r="CY515" s="504">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3">
      <c r="A516" s="30" t="s">
        <v>68</v>
      </c>
      <c r="B516" s="1" t="s">
        <v>584</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04">
        <v>1134</v>
      </c>
      <c r="N516" s="504">
        <v>1063</v>
      </c>
      <c r="O516" s="504">
        <v>1133</v>
      </c>
      <c r="P516" s="504">
        <v>1224</v>
      </c>
      <c r="Q516" s="504">
        <v>1266</v>
      </c>
      <c r="R516" s="504">
        <v>1252</v>
      </c>
      <c r="S516" s="504">
        <v>1374</v>
      </c>
      <c r="T516" s="504">
        <v>1363</v>
      </c>
      <c r="U516" s="504">
        <v>1342</v>
      </c>
      <c r="V516" s="504">
        <v>1419</v>
      </c>
      <c r="W516" s="504">
        <v>1459</v>
      </c>
      <c r="X516" s="504">
        <v>1510</v>
      </c>
      <c r="Y516" s="504">
        <v>1407</v>
      </c>
      <c r="Z516" s="504">
        <v>1464</v>
      </c>
      <c r="AA516" s="504">
        <v>1527</v>
      </c>
      <c r="AB516" s="504">
        <v>1392</v>
      </c>
      <c r="AC516" s="504">
        <v>1385</v>
      </c>
      <c r="AD516" s="504">
        <v>1426</v>
      </c>
      <c r="AE516" s="504">
        <v>1459</v>
      </c>
      <c r="AF516" s="504">
        <v>1896</v>
      </c>
      <c r="AG516" s="504">
        <v>2522</v>
      </c>
      <c r="AH516" s="504">
        <v>2615</v>
      </c>
      <c r="AI516" s="504">
        <v>2280</v>
      </c>
      <c r="AJ516" s="504">
        <v>1910</v>
      </c>
      <c r="AK516" s="504">
        <v>1501</v>
      </c>
      <c r="AL516" s="504">
        <v>1507</v>
      </c>
      <c r="AM516" s="504">
        <v>1486</v>
      </c>
      <c r="AN516" s="504">
        <v>1351</v>
      </c>
      <c r="AO516" s="504">
        <v>1422</v>
      </c>
      <c r="AP516" s="504">
        <v>1448</v>
      </c>
      <c r="AQ516" s="504">
        <v>1520</v>
      </c>
      <c r="AR516" s="504">
        <v>1551</v>
      </c>
      <c r="AS516" s="504">
        <v>1644</v>
      </c>
      <c r="AT516" s="504">
        <v>1442</v>
      </c>
      <c r="AU516" s="504">
        <v>1501</v>
      </c>
      <c r="AV516" s="504">
        <v>1514</v>
      </c>
      <c r="AW516" s="504">
        <v>1498</v>
      </c>
      <c r="AX516" s="504">
        <v>1597</v>
      </c>
      <c r="AY516" s="504">
        <v>1396</v>
      </c>
      <c r="AZ516" s="504">
        <v>1455</v>
      </c>
      <c r="BA516" s="504">
        <v>1397</v>
      </c>
      <c r="BB516" s="504">
        <v>1417</v>
      </c>
      <c r="BC516" s="504">
        <v>1584</v>
      </c>
      <c r="BD516" s="504">
        <v>1343</v>
      </c>
      <c r="BE516" s="504">
        <v>1273</v>
      </c>
      <c r="BF516" s="504">
        <v>1289</v>
      </c>
      <c r="BG516" s="504">
        <v>1339</v>
      </c>
      <c r="BH516" s="504">
        <v>1379</v>
      </c>
      <c r="BI516" s="504">
        <v>1335</v>
      </c>
      <c r="BJ516" s="504">
        <v>1336</v>
      </c>
      <c r="BK516" s="504">
        <v>1462</v>
      </c>
      <c r="BL516" s="504">
        <v>1510</v>
      </c>
      <c r="BM516" s="504">
        <v>1509</v>
      </c>
      <c r="BN516" s="504">
        <v>1691</v>
      </c>
      <c r="BO516" s="504">
        <v>1552</v>
      </c>
      <c r="BP516" s="504">
        <v>1528</v>
      </c>
      <c r="BQ516" s="504">
        <v>1522</v>
      </c>
      <c r="BR516" s="504">
        <v>1665</v>
      </c>
      <c r="BS516" s="504">
        <v>1640</v>
      </c>
      <c r="BT516" s="504">
        <v>1484</v>
      </c>
      <c r="BU516" s="504">
        <v>1519</v>
      </c>
      <c r="BV516" s="504">
        <v>1456</v>
      </c>
      <c r="BW516" s="504">
        <v>1447</v>
      </c>
      <c r="BX516" s="504">
        <v>1394</v>
      </c>
      <c r="BY516" s="504">
        <v>1349</v>
      </c>
      <c r="BZ516" s="504">
        <v>1273</v>
      </c>
      <c r="CA516" s="504">
        <v>1240</v>
      </c>
      <c r="CB516" s="504">
        <v>1189</v>
      </c>
      <c r="CC516" s="504">
        <v>1181</v>
      </c>
      <c r="CD516" s="504">
        <v>1218</v>
      </c>
      <c r="CE516" s="504">
        <v>1171</v>
      </c>
      <c r="CF516" s="504">
        <v>1093</v>
      </c>
      <c r="CG516" s="504">
        <v>1212</v>
      </c>
      <c r="CH516" s="504">
        <v>1187</v>
      </c>
      <c r="CI516" s="504">
        <v>1233</v>
      </c>
      <c r="CJ516" s="504">
        <v>1340</v>
      </c>
      <c r="CK516" s="504">
        <v>889</v>
      </c>
      <c r="CL516" s="504">
        <v>905</v>
      </c>
      <c r="CM516" s="504">
        <v>899</v>
      </c>
      <c r="CN516" s="504">
        <v>852</v>
      </c>
      <c r="CO516" s="504">
        <v>748</v>
      </c>
      <c r="CP516" s="504">
        <v>612</v>
      </c>
      <c r="CQ516" s="504">
        <v>591</v>
      </c>
      <c r="CR516" s="504">
        <v>524</v>
      </c>
      <c r="CS516" s="504">
        <v>525</v>
      </c>
      <c r="CT516" s="504">
        <v>455</v>
      </c>
      <c r="CU516" s="504">
        <v>393</v>
      </c>
      <c r="CV516" s="504">
        <v>348</v>
      </c>
      <c r="CW516" s="504">
        <v>276</v>
      </c>
      <c r="CX516" s="504">
        <v>244</v>
      </c>
      <c r="CY516" s="504">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3">
      <c r="A517" s="30" t="s">
        <v>68</v>
      </c>
      <c r="B517" s="1" t="s">
        <v>585</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04">
        <v>514</v>
      </c>
      <c r="N517" s="504">
        <v>466</v>
      </c>
      <c r="O517" s="504">
        <v>537</v>
      </c>
      <c r="P517" s="504">
        <v>540</v>
      </c>
      <c r="Q517" s="504">
        <v>516</v>
      </c>
      <c r="R517" s="504">
        <v>556</v>
      </c>
      <c r="S517" s="504">
        <v>581</v>
      </c>
      <c r="T517" s="504">
        <v>514</v>
      </c>
      <c r="U517" s="504">
        <v>551</v>
      </c>
      <c r="V517" s="504">
        <v>551</v>
      </c>
      <c r="W517" s="504">
        <v>588</v>
      </c>
      <c r="X517" s="504">
        <v>600</v>
      </c>
      <c r="Y517" s="504">
        <v>586</v>
      </c>
      <c r="Z517" s="504">
        <v>625</v>
      </c>
      <c r="AA517" s="504">
        <v>581</v>
      </c>
      <c r="AB517" s="504">
        <v>557</v>
      </c>
      <c r="AC517" s="504">
        <v>592</v>
      </c>
      <c r="AD517" s="504">
        <v>585</v>
      </c>
      <c r="AE517" s="504">
        <v>488</v>
      </c>
      <c r="AF517" s="504">
        <v>425</v>
      </c>
      <c r="AG517" s="504">
        <v>404</v>
      </c>
      <c r="AH517" s="504">
        <v>418</v>
      </c>
      <c r="AI517" s="504">
        <v>438</v>
      </c>
      <c r="AJ517" s="504">
        <v>462</v>
      </c>
      <c r="AK517" s="504">
        <v>507</v>
      </c>
      <c r="AL517" s="504">
        <v>598</v>
      </c>
      <c r="AM517" s="504">
        <v>533</v>
      </c>
      <c r="AN517" s="504">
        <v>576</v>
      </c>
      <c r="AO517" s="504">
        <v>555</v>
      </c>
      <c r="AP517" s="504">
        <v>540</v>
      </c>
      <c r="AQ517" s="504">
        <v>596</v>
      </c>
      <c r="AR517" s="504">
        <v>615</v>
      </c>
      <c r="AS517" s="504">
        <v>622</v>
      </c>
      <c r="AT517" s="504">
        <v>617</v>
      </c>
      <c r="AU517" s="504">
        <v>553</v>
      </c>
      <c r="AV517" s="504">
        <v>586</v>
      </c>
      <c r="AW517" s="504">
        <v>593</v>
      </c>
      <c r="AX517" s="504">
        <v>574</v>
      </c>
      <c r="AY517" s="504">
        <v>532</v>
      </c>
      <c r="AZ517" s="504">
        <v>548</v>
      </c>
      <c r="BA517" s="504">
        <v>555</v>
      </c>
      <c r="BB517" s="504">
        <v>493</v>
      </c>
      <c r="BC517" s="504">
        <v>523</v>
      </c>
      <c r="BD517" s="504">
        <v>539</v>
      </c>
      <c r="BE517" s="504">
        <v>428</v>
      </c>
      <c r="BF517" s="504">
        <v>504</v>
      </c>
      <c r="BG517" s="504">
        <v>432</v>
      </c>
      <c r="BH517" s="504">
        <v>497</v>
      </c>
      <c r="BI517" s="504">
        <v>493</v>
      </c>
      <c r="BJ517" s="504">
        <v>561</v>
      </c>
      <c r="BK517" s="504">
        <v>569</v>
      </c>
      <c r="BL517" s="504">
        <v>636</v>
      </c>
      <c r="BM517" s="504">
        <v>634</v>
      </c>
      <c r="BN517" s="504">
        <v>601</v>
      </c>
      <c r="BO517" s="504">
        <v>597</v>
      </c>
      <c r="BP517" s="504">
        <v>623</v>
      </c>
      <c r="BQ517" s="504">
        <v>631</v>
      </c>
      <c r="BR517" s="504">
        <v>707</v>
      </c>
      <c r="BS517" s="504">
        <v>646</v>
      </c>
      <c r="BT517" s="504">
        <v>672</v>
      </c>
      <c r="BU517" s="504">
        <v>661</v>
      </c>
      <c r="BV517" s="504">
        <v>655</v>
      </c>
      <c r="BW517" s="504">
        <v>574</v>
      </c>
      <c r="BX517" s="504">
        <v>580</v>
      </c>
      <c r="BY517" s="504">
        <v>594</v>
      </c>
      <c r="BZ517" s="504">
        <v>511</v>
      </c>
      <c r="CA517" s="504">
        <v>490</v>
      </c>
      <c r="CB517" s="504">
        <v>470</v>
      </c>
      <c r="CC517" s="504">
        <v>535</v>
      </c>
      <c r="CD517" s="504">
        <v>469</v>
      </c>
      <c r="CE517" s="504">
        <v>488</v>
      </c>
      <c r="CF517" s="504">
        <v>479</v>
      </c>
      <c r="CG517" s="504">
        <v>457</v>
      </c>
      <c r="CH517" s="504">
        <v>484</v>
      </c>
      <c r="CI517" s="504">
        <v>455</v>
      </c>
      <c r="CJ517" s="504">
        <v>541</v>
      </c>
      <c r="CK517" s="504">
        <v>404</v>
      </c>
      <c r="CL517" s="504">
        <v>398</v>
      </c>
      <c r="CM517" s="504">
        <v>348</v>
      </c>
      <c r="CN517" s="504">
        <v>298</v>
      </c>
      <c r="CO517" s="504">
        <v>266</v>
      </c>
      <c r="CP517" s="504">
        <v>246</v>
      </c>
      <c r="CQ517" s="504">
        <v>224</v>
      </c>
      <c r="CR517" s="504">
        <v>223</v>
      </c>
      <c r="CS517" s="504">
        <v>187</v>
      </c>
      <c r="CT517" s="504">
        <v>157</v>
      </c>
      <c r="CU517" s="504">
        <v>143</v>
      </c>
      <c r="CV517" s="504">
        <v>129</v>
      </c>
      <c r="CW517" s="504">
        <v>118</v>
      </c>
      <c r="CX517" s="504">
        <v>110</v>
      </c>
      <c r="CY517" s="504">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3">
      <c r="A518" s="30" t="s">
        <v>68</v>
      </c>
      <c r="B518" s="1" t="s">
        <v>586</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04">
        <v>642</v>
      </c>
      <c r="N518" s="504">
        <v>670</v>
      </c>
      <c r="O518" s="504">
        <v>666</v>
      </c>
      <c r="P518" s="504">
        <v>745</v>
      </c>
      <c r="Q518" s="504">
        <v>708</v>
      </c>
      <c r="R518" s="504">
        <v>814</v>
      </c>
      <c r="S518" s="504">
        <v>772</v>
      </c>
      <c r="T518" s="504">
        <v>756</v>
      </c>
      <c r="U518" s="504">
        <v>790</v>
      </c>
      <c r="V518" s="504">
        <v>869</v>
      </c>
      <c r="W518" s="504">
        <v>878</v>
      </c>
      <c r="X518" s="504">
        <v>861</v>
      </c>
      <c r="Y518" s="504">
        <v>888</v>
      </c>
      <c r="Z518" s="504">
        <v>889</v>
      </c>
      <c r="AA518" s="504">
        <v>863</v>
      </c>
      <c r="AB518" s="504">
        <v>841</v>
      </c>
      <c r="AC518" s="504">
        <v>775</v>
      </c>
      <c r="AD518" s="504">
        <v>759</v>
      </c>
      <c r="AE518" s="504">
        <v>728</v>
      </c>
      <c r="AF518" s="504">
        <v>587</v>
      </c>
      <c r="AG518" s="504">
        <v>503</v>
      </c>
      <c r="AH518" s="504">
        <v>620</v>
      </c>
      <c r="AI518" s="504">
        <v>676</v>
      </c>
      <c r="AJ518" s="504">
        <v>666</v>
      </c>
      <c r="AK518" s="504">
        <v>621</v>
      </c>
      <c r="AL518" s="504">
        <v>702</v>
      </c>
      <c r="AM518" s="504">
        <v>663</v>
      </c>
      <c r="AN518" s="504">
        <v>711</v>
      </c>
      <c r="AO518" s="504">
        <v>738</v>
      </c>
      <c r="AP518" s="504">
        <v>687</v>
      </c>
      <c r="AQ518" s="504">
        <v>701</v>
      </c>
      <c r="AR518" s="504">
        <v>728</v>
      </c>
      <c r="AS518" s="504">
        <v>706</v>
      </c>
      <c r="AT518" s="504">
        <v>774</v>
      </c>
      <c r="AU518" s="504">
        <v>806</v>
      </c>
      <c r="AV518" s="504">
        <v>800</v>
      </c>
      <c r="AW518" s="504">
        <v>846</v>
      </c>
      <c r="AX518" s="504">
        <v>741</v>
      </c>
      <c r="AY518" s="504">
        <v>762</v>
      </c>
      <c r="AZ518" s="504">
        <v>802</v>
      </c>
      <c r="BA518" s="504">
        <v>818</v>
      </c>
      <c r="BB518" s="504">
        <v>893</v>
      </c>
      <c r="BC518" s="504">
        <v>884</v>
      </c>
      <c r="BD518" s="504">
        <v>832</v>
      </c>
      <c r="BE518" s="504">
        <v>669</v>
      </c>
      <c r="BF518" s="504">
        <v>732</v>
      </c>
      <c r="BG518" s="504">
        <v>722</v>
      </c>
      <c r="BH518" s="504">
        <v>807</v>
      </c>
      <c r="BI518" s="504">
        <v>781</v>
      </c>
      <c r="BJ518" s="504">
        <v>815</v>
      </c>
      <c r="BK518" s="504">
        <v>842</v>
      </c>
      <c r="BL518" s="504">
        <v>880</v>
      </c>
      <c r="BM518" s="504">
        <v>853</v>
      </c>
      <c r="BN518" s="504">
        <v>916</v>
      </c>
      <c r="BO518" s="504">
        <v>871</v>
      </c>
      <c r="BP518" s="504">
        <v>920</v>
      </c>
      <c r="BQ518" s="504">
        <v>867</v>
      </c>
      <c r="BR518" s="504">
        <v>906</v>
      </c>
      <c r="BS518" s="504">
        <v>932</v>
      </c>
      <c r="BT518" s="504">
        <v>907</v>
      </c>
      <c r="BU518" s="504">
        <v>934</v>
      </c>
      <c r="BV518" s="504">
        <v>904</v>
      </c>
      <c r="BW518" s="504">
        <v>828</v>
      </c>
      <c r="BX518" s="504">
        <v>857</v>
      </c>
      <c r="BY518" s="504">
        <v>763</v>
      </c>
      <c r="BZ518" s="504">
        <v>786</v>
      </c>
      <c r="CA518" s="504">
        <v>761</v>
      </c>
      <c r="CB518" s="504">
        <v>745</v>
      </c>
      <c r="CC518" s="504">
        <v>753</v>
      </c>
      <c r="CD518" s="504">
        <v>754</v>
      </c>
      <c r="CE518" s="504">
        <v>696</v>
      </c>
      <c r="CF518" s="504">
        <v>706</v>
      </c>
      <c r="CG518" s="504">
        <v>707</v>
      </c>
      <c r="CH518" s="504">
        <v>714</v>
      </c>
      <c r="CI518" s="504">
        <v>737</v>
      </c>
      <c r="CJ518" s="504">
        <v>775</v>
      </c>
      <c r="CK518" s="504">
        <v>562</v>
      </c>
      <c r="CL518" s="504">
        <v>555</v>
      </c>
      <c r="CM518" s="504">
        <v>563</v>
      </c>
      <c r="CN518" s="504">
        <v>468</v>
      </c>
      <c r="CO518" s="504">
        <v>410</v>
      </c>
      <c r="CP518" s="504">
        <v>391</v>
      </c>
      <c r="CQ518" s="504">
        <v>349</v>
      </c>
      <c r="CR518" s="504">
        <v>336</v>
      </c>
      <c r="CS518" s="504">
        <v>307</v>
      </c>
      <c r="CT518" s="504">
        <v>239</v>
      </c>
      <c r="CU518" s="504">
        <v>231</v>
      </c>
      <c r="CV518" s="504">
        <v>180</v>
      </c>
      <c r="CW518" s="504">
        <v>170</v>
      </c>
      <c r="CX518" s="504">
        <v>135</v>
      </c>
      <c r="CY518" s="504">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3">
      <c r="A519" s="30" t="s">
        <v>68</v>
      </c>
      <c r="B519" s="1" t="s">
        <v>587</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04">
        <v>673</v>
      </c>
      <c r="N519" s="504">
        <v>647</v>
      </c>
      <c r="O519" s="504">
        <v>740</v>
      </c>
      <c r="P519" s="504">
        <v>723</v>
      </c>
      <c r="Q519" s="504">
        <v>730</v>
      </c>
      <c r="R519" s="504">
        <v>761</v>
      </c>
      <c r="S519" s="504">
        <v>793</v>
      </c>
      <c r="T519" s="504">
        <v>761</v>
      </c>
      <c r="U519" s="504">
        <v>814</v>
      </c>
      <c r="V519" s="504">
        <v>862</v>
      </c>
      <c r="W519" s="504">
        <v>831</v>
      </c>
      <c r="X519" s="504">
        <v>858</v>
      </c>
      <c r="Y519" s="504">
        <v>859</v>
      </c>
      <c r="Z519" s="504">
        <v>879</v>
      </c>
      <c r="AA519" s="504">
        <v>845</v>
      </c>
      <c r="AB519" s="504">
        <v>853</v>
      </c>
      <c r="AC519" s="504">
        <v>831</v>
      </c>
      <c r="AD519" s="504">
        <v>839</v>
      </c>
      <c r="AE519" s="504">
        <v>753</v>
      </c>
      <c r="AF519" s="504">
        <v>630</v>
      </c>
      <c r="AG519" s="504">
        <v>619</v>
      </c>
      <c r="AH519" s="504">
        <v>629</v>
      </c>
      <c r="AI519" s="504">
        <v>670</v>
      </c>
      <c r="AJ519" s="504">
        <v>758</v>
      </c>
      <c r="AK519" s="504">
        <v>790</v>
      </c>
      <c r="AL519" s="504">
        <v>832</v>
      </c>
      <c r="AM519" s="504">
        <v>753</v>
      </c>
      <c r="AN519" s="504">
        <v>823</v>
      </c>
      <c r="AO519" s="504">
        <v>819</v>
      </c>
      <c r="AP519" s="504">
        <v>821</v>
      </c>
      <c r="AQ519" s="504">
        <v>786</v>
      </c>
      <c r="AR519" s="504">
        <v>853</v>
      </c>
      <c r="AS519" s="504">
        <v>859</v>
      </c>
      <c r="AT519" s="504">
        <v>835</v>
      </c>
      <c r="AU519" s="504">
        <v>874</v>
      </c>
      <c r="AV519" s="504">
        <v>850</v>
      </c>
      <c r="AW519" s="504">
        <v>902</v>
      </c>
      <c r="AX519" s="504">
        <v>921</v>
      </c>
      <c r="AY519" s="504">
        <v>825</v>
      </c>
      <c r="AZ519" s="504">
        <v>847</v>
      </c>
      <c r="BA519" s="504">
        <v>842</v>
      </c>
      <c r="BB519" s="504">
        <v>901</v>
      </c>
      <c r="BC519" s="504">
        <v>918</v>
      </c>
      <c r="BD519" s="504">
        <v>874</v>
      </c>
      <c r="BE519" s="504">
        <v>746</v>
      </c>
      <c r="BF519" s="504">
        <v>759</v>
      </c>
      <c r="BG519" s="504">
        <v>795</v>
      </c>
      <c r="BH519" s="504">
        <v>790</v>
      </c>
      <c r="BI519" s="504">
        <v>799</v>
      </c>
      <c r="BJ519" s="504">
        <v>915</v>
      </c>
      <c r="BK519" s="504">
        <v>955</v>
      </c>
      <c r="BL519" s="504">
        <v>1013</v>
      </c>
      <c r="BM519" s="504">
        <v>995</v>
      </c>
      <c r="BN519" s="504">
        <v>1003</v>
      </c>
      <c r="BO519" s="504">
        <v>969</v>
      </c>
      <c r="BP519" s="504">
        <v>960</v>
      </c>
      <c r="BQ519" s="504">
        <v>1007</v>
      </c>
      <c r="BR519" s="504">
        <v>986</v>
      </c>
      <c r="BS519" s="504">
        <v>968</v>
      </c>
      <c r="BT519" s="504">
        <v>965</v>
      </c>
      <c r="BU519" s="504">
        <v>916</v>
      </c>
      <c r="BV519" s="504">
        <v>884</v>
      </c>
      <c r="BW519" s="504">
        <v>833</v>
      </c>
      <c r="BX519" s="504">
        <v>743</v>
      </c>
      <c r="BY519" s="504">
        <v>790</v>
      </c>
      <c r="BZ519" s="504">
        <v>795</v>
      </c>
      <c r="CA519" s="504">
        <v>774</v>
      </c>
      <c r="CB519" s="504">
        <v>688</v>
      </c>
      <c r="CC519" s="504">
        <v>698</v>
      </c>
      <c r="CD519" s="504">
        <v>716</v>
      </c>
      <c r="CE519" s="504">
        <v>688</v>
      </c>
      <c r="CF519" s="504">
        <v>667</v>
      </c>
      <c r="CG519" s="504">
        <v>680</v>
      </c>
      <c r="CH519" s="504">
        <v>708</v>
      </c>
      <c r="CI519" s="504">
        <v>706</v>
      </c>
      <c r="CJ519" s="504">
        <v>754</v>
      </c>
      <c r="CK519" s="504">
        <v>572</v>
      </c>
      <c r="CL519" s="504">
        <v>512</v>
      </c>
      <c r="CM519" s="504">
        <v>519</v>
      </c>
      <c r="CN519" s="504">
        <v>494</v>
      </c>
      <c r="CO519" s="504">
        <v>429</v>
      </c>
      <c r="CP519" s="504">
        <v>357</v>
      </c>
      <c r="CQ519" s="504">
        <v>308</v>
      </c>
      <c r="CR519" s="504">
        <v>275</v>
      </c>
      <c r="CS519" s="504">
        <v>281</v>
      </c>
      <c r="CT519" s="504">
        <v>235</v>
      </c>
      <c r="CU519" s="504">
        <v>217</v>
      </c>
      <c r="CV519" s="504">
        <v>176</v>
      </c>
      <c r="CW519" s="504">
        <v>132</v>
      </c>
      <c r="CX519" s="504">
        <v>132</v>
      </c>
      <c r="CY519" s="504">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x14ac:dyDescent="0.3">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3">
      <c r="A521" s="30" t="s">
        <v>72</v>
      </c>
      <c r="B521" s="1" t="s">
        <v>588</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3">
      <c r="A522" s="30" t="s">
        <v>72</v>
      </c>
      <c r="B522" s="1" t="s">
        <v>589</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3">
      <c r="A523" s="30" t="s">
        <v>72</v>
      </c>
      <c r="B523" s="1" t="s">
        <v>590</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3">
      <c r="A524" s="30" t="s">
        <v>72</v>
      </c>
      <c r="B524" s="1" t="s">
        <v>591</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3">
      <c r="A525" s="30" t="s">
        <v>72</v>
      </c>
      <c r="B525" s="1" t="s">
        <v>592</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3">
      <c r="A526" s="30" t="s">
        <v>72</v>
      </c>
      <c r="B526" s="1" t="s">
        <v>593</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3">
      <c r="A527" s="30" t="s">
        <v>72</v>
      </c>
      <c r="B527" s="1" t="s">
        <v>594</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3">
      <c r="A528" s="30" t="s">
        <v>72</v>
      </c>
      <c r="B528" s="1" t="s">
        <v>595</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3">
      <c r="A529" s="30" t="s">
        <v>72</v>
      </c>
      <c r="B529" s="1" t="s">
        <v>596</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3">
      <c r="A530" s="30" t="s">
        <v>72</v>
      </c>
      <c r="B530" s="1" t="s">
        <v>597</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3">
      <c r="A531" s="30" t="s">
        <v>72</v>
      </c>
      <c r="B531" s="1" t="s">
        <v>598</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x14ac:dyDescent="0.3">
      <c r="A532" s="111"/>
      <c r="B532" s="119"/>
      <c r="C532" s="111"/>
      <c r="D532" s="134">
        <f t="shared" ref="D532:L532" si="143">SUM(D521:D531)</f>
        <v>716297</v>
      </c>
      <c r="E532" s="134">
        <f t="shared" si="143"/>
        <v>757541</v>
      </c>
      <c r="F532" s="134">
        <f t="shared" si="143"/>
        <v>1910543</v>
      </c>
      <c r="G532" s="134">
        <f t="shared" si="143"/>
        <v>939947</v>
      </c>
      <c r="H532" s="134">
        <f t="shared" si="143"/>
        <v>970596</v>
      </c>
      <c r="I532" s="134">
        <f t="shared" si="143"/>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3">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3">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3">
      <c r="A535" s="524" t="s">
        <v>599</v>
      </c>
      <c r="B535" s="525"/>
      <c r="C535" s="526"/>
      <c r="D535" s="527"/>
      <c r="E535" s="527"/>
      <c r="F535" s="527"/>
      <c r="G535" s="528"/>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3">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3">
      <c r="C537" s="10"/>
      <c r="D537" s="529" t="s">
        <v>600</v>
      </c>
      <c r="E537" s="530" t="s">
        <v>601</v>
      </c>
      <c r="F537" s="529" t="s">
        <v>602</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5" x14ac:dyDescent="0.35">
      <c r="C538" s="10"/>
      <c r="D538" s="531" t="s">
        <v>603</v>
      </c>
      <c r="E538" s="532" t="s">
        <v>604</v>
      </c>
      <c r="F538" s="531" t="s">
        <v>605</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5" x14ac:dyDescent="0.35">
      <c r="C539" s="10"/>
      <c r="D539" s="531" t="s">
        <v>606</v>
      </c>
      <c r="E539" s="532" t="s">
        <v>607</v>
      </c>
      <c r="F539" s="531" t="s">
        <v>608</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5" x14ac:dyDescent="0.35">
      <c r="C540" s="1" t="s">
        <v>609</v>
      </c>
      <c r="D540" s="533">
        <v>60238038</v>
      </c>
      <c r="E540" s="534"/>
      <c r="F540" s="535"/>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5" x14ac:dyDescent="0.35">
      <c r="C541" s="536" t="s">
        <v>610</v>
      </c>
      <c r="D541" s="537"/>
      <c r="E541" s="538">
        <v>60856434</v>
      </c>
      <c r="F541" s="533">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5" x14ac:dyDescent="0.35">
      <c r="C542" s="536" t="s">
        <v>611</v>
      </c>
      <c r="D542" s="537"/>
      <c r="E542" s="539">
        <f>(E541-D540)/D540</f>
        <v>1.0265872205200309E-2</v>
      </c>
      <c r="F542" s="540">
        <f>(F541-D540)/D540</f>
        <v>2.0553358660187437E-2</v>
      </c>
      <c r="G542" s="541">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5" x14ac:dyDescent="0.35">
      <c r="C543" s="536" t="s">
        <v>612</v>
      </c>
      <c r="D543" s="537"/>
      <c r="E543" s="542"/>
      <c r="F543" s="533">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5" x14ac:dyDescent="0.35">
      <c r="C544" s="536" t="s">
        <v>613</v>
      </c>
      <c r="D544" s="537"/>
      <c r="E544" s="542"/>
      <c r="F544" s="533">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3">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3">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3">
      <c r="A547" s="520"/>
      <c r="B547" s="521"/>
      <c r="C547" s="20" t="s">
        <v>614</v>
      </c>
      <c r="D547" s="137" t="s">
        <v>615</v>
      </c>
      <c r="E547" s="137" t="s">
        <v>616</v>
      </c>
      <c r="F547" s="137" t="s">
        <v>617</v>
      </c>
      <c r="G547" s="137" t="s">
        <v>618</v>
      </c>
      <c r="H547" s="137" t="s">
        <v>619</v>
      </c>
      <c r="I547" s="137" t="s">
        <v>620</v>
      </c>
      <c r="J547" s="455" t="s">
        <v>621</v>
      </c>
      <c r="K547" s="458" t="s">
        <v>622</v>
      </c>
      <c r="L547" s="312" t="s">
        <v>623</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3">
      <c r="A548" s="522" t="s">
        <v>624</v>
      </c>
      <c r="C548" s="20" t="s">
        <v>625</v>
      </c>
      <c r="D548" s="837" t="s">
        <v>626</v>
      </c>
      <c r="E548" s="838"/>
      <c r="F548" s="838"/>
      <c r="G548" s="838"/>
      <c r="H548" s="838"/>
      <c r="I548" s="839"/>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3">
      <c r="A549" s="522" t="s">
        <v>624</v>
      </c>
      <c r="B549" s="10">
        <v>0</v>
      </c>
      <c r="C549" s="136" t="s">
        <v>627</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3">
      <c r="A550" s="522" t="s">
        <v>624</v>
      </c>
      <c r="B550" s="10">
        <v>1</v>
      </c>
      <c r="C550" s="136" t="s">
        <v>628</v>
      </c>
      <c r="D550" s="140"/>
      <c r="E550" s="140">
        <v>1.0090702843828887</v>
      </c>
      <c r="F550" s="140">
        <v>1.0170393771683619</v>
      </c>
      <c r="G550" s="140">
        <v>1.0238793000184203</v>
      </c>
      <c r="H550" s="140">
        <v>1.0295635385778663</v>
      </c>
      <c r="I550" s="140">
        <v>1.0351195322438309</v>
      </c>
      <c r="J550" s="456">
        <f>(I550-100%)/5</f>
        <v>7.0239064487661821E-3</v>
      </c>
      <c r="K550" s="459">
        <f t="shared" ref="K550:K563" si="144">(I550/100%)^(1/5)-1</f>
        <v>6.9272652964273984E-3</v>
      </c>
      <c r="L550" s="454">
        <v>6.9272652964273984E-3</v>
      </c>
      <c r="M550" s="450"/>
      <c r="N550" s="450"/>
      <c r="O550" s="451"/>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3">
      <c r="A551" s="522" t="s">
        <v>624</v>
      </c>
      <c r="B551" s="10">
        <v>2</v>
      </c>
      <c r="C551" s="136" t="s">
        <v>629</v>
      </c>
      <c r="D551" s="140"/>
      <c r="E551" s="140">
        <v>0.96173452499784384</v>
      </c>
      <c r="F551" s="140">
        <v>0.949547172001034</v>
      </c>
      <c r="G551" s="140">
        <v>0.93849673400054612</v>
      </c>
      <c r="H551" s="140">
        <v>0.92766778564091124</v>
      </c>
      <c r="I551" s="140">
        <v>0.91680012001884892</v>
      </c>
      <c r="J551" s="456">
        <f t="shared" ref="J551:J563" si="145">(I551-100%)/5</f>
        <v>-1.6639975996230218E-2</v>
      </c>
      <c r="K551" s="459">
        <f t="shared" si="144"/>
        <v>-1.7223117235316776E-2</v>
      </c>
      <c r="L551" s="454">
        <v>-1.7223117235316776E-2</v>
      </c>
      <c r="M551" s="450"/>
      <c r="N551" s="450"/>
      <c r="O551" s="451"/>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3">
      <c r="A552" s="522" t="s">
        <v>624</v>
      </c>
      <c r="B552" s="10">
        <v>3</v>
      </c>
      <c r="C552" s="136" t="s">
        <v>630</v>
      </c>
      <c r="D552" s="140"/>
      <c r="E552" s="140">
        <v>1.0707061745580608</v>
      </c>
      <c r="F552" s="140">
        <v>1.0961797739954167</v>
      </c>
      <c r="G552" s="140">
        <v>1.1120352164720533</v>
      </c>
      <c r="H552" s="140">
        <v>1.1172916519636134</v>
      </c>
      <c r="I552" s="140">
        <v>1.1228072524832799</v>
      </c>
      <c r="J552" s="456">
        <f t="shared" si="145"/>
        <v>2.4561450496655989E-2</v>
      </c>
      <c r="K552" s="459">
        <f t="shared" si="144"/>
        <v>2.3436830336478032E-2</v>
      </c>
      <c r="L552" s="454">
        <v>2.3436830336478032E-2</v>
      </c>
      <c r="M552" s="450"/>
      <c r="N552" s="450"/>
      <c r="O552" s="451"/>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3">
      <c r="A553" s="522" t="s">
        <v>624</v>
      </c>
      <c r="B553" s="10">
        <v>4</v>
      </c>
      <c r="C553" s="136" t="s">
        <v>631</v>
      </c>
      <c r="D553" s="140"/>
      <c r="E553" s="140">
        <v>0.99704312080608826</v>
      </c>
      <c r="F553" s="140">
        <v>0.99705853203848904</v>
      </c>
      <c r="G553" s="140">
        <v>0.99472603914083957</v>
      </c>
      <c r="H553" s="140">
        <v>0.9891090180954597</v>
      </c>
      <c r="I553" s="140">
        <v>0.98354979851924307</v>
      </c>
      <c r="J553" s="456">
        <f t="shared" si="145"/>
        <v>-3.2900402961513866E-3</v>
      </c>
      <c r="K553" s="459">
        <f t="shared" si="144"/>
        <v>-3.3119051937137156E-3</v>
      </c>
      <c r="L553" s="454">
        <v>-3.3119051937137156E-3</v>
      </c>
      <c r="M553" s="450"/>
      <c r="N553" s="450"/>
      <c r="O553" s="451"/>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3">
      <c r="A554" s="522" t="s">
        <v>624</v>
      </c>
      <c r="B554" s="10">
        <v>5</v>
      </c>
      <c r="C554" s="136" t="s">
        <v>632</v>
      </c>
      <c r="D554" s="140"/>
      <c r="E554" s="140">
        <v>0.99263087643060499</v>
      </c>
      <c r="F554" s="140">
        <v>0.99530151668079492</v>
      </c>
      <c r="G554" s="140">
        <v>0.99708461172748208</v>
      </c>
      <c r="H554" s="140">
        <v>0.99857946574262668</v>
      </c>
      <c r="I554" s="140">
        <v>1.0006058081967233</v>
      </c>
      <c r="J554" s="456">
        <f t="shared" si="145"/>
        <v>1.2116163934465796E-4</v>
      </c>
      <c r="K554" s="459">
        <f t="shared" si="144"/>
        <v>1.2113228972654433E-4</v>
      </c>
      <c r="L554" s="454">
        <v>1.2113228972654433E-4</v>
      </c>
      <c r="M554" s="450"/>
      <c r="N554" s="450"/>
      <c r="O554" s="451"/>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3">
      <c r="A555" s="522" t="s">
        <v>624</v>
      </c>
      <c r="B555" s="10">
        <v>6</v>
      </c>
      <c r="C555" s="448" t="s">
        <v>633</v>
      </c>
      <c r="D555" s="449"/>
      <c r="E555" s="449">
        <v>1.0123419501207302</v>
      </c>
      <c r="F555" s="449">
        <v>1.0224746276334522</v>
      </c>
      <c r="G555" s="449">
        <v>1.0318096590054313</v>
      </c>
      <c r="H555" s="449">
        <v>1.040568100689119</v>
      </c>
      <c r="I555" s="449">
        <v>1.0491476885800255</v>
      </c>
      <c r="J555" s="465">
        <f t="shared" si="145"/>
        <v>9.8295377160050983E-3</v>
      </c>
      <c r="K555" s="466">
        <f t="shared" si="144"/>
        <v>9.641807463928842E-3</v>
      </c>
      <c r="L555" s="523">
        <v>9.6418074639288403E-3</v>
      </c>
      <c r="M555" s="450"/>
      <c r="N555" s="450"/>
      <c r="O555" s="451"/>
      <c r="P555" s="12"/>
      <c r="Q555" s="45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3">
      <c r="A556" s="522" t="s">
        <v>624</v>
      </c>
      <c r="B556" s="10">
        <v>7</v>
      </c>
      <c r="C556" s="136" t="s">
        <v>634</v>
      </c>
      <c r="D556" s="140"/>
      <c r="E556" s="140">
        <v>1.0234861902526262</v>
      </c>
      <c r="F556" s="140">
        <v>1.0362595252458171</v>
      </c>
      <c r="G556" s="140">
        <v>1.0484007089616401</v>
      </c>
      <c r="H556" s="140">
        <v>1.0594741481215733</v>
      </c>
      <c r="I556" s="140">
        <v>1.0705464348984648</v>
      </c>
      <c r="J556" s="456">
        <f t="shared" si="145"/>
        <v>1.4109286979692959E-2</v>
      </c>
      <c r="K556" s="459">
        <f t="shared" si="144"/>
        <v>1.372720562144969E-2</v>
      </c>
      <c r="L556" s="454">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3">
      <c r="A557" s="522" t="s">
        <v>624</v>
      </c>
      <c r="B557" s="10">
        <v>8</v>
      </c>
      <c r="C557" s="136" t="s">
        <v>635</v>
      </c>
      <c r="D557" s="140"/>
      <c r="E557" s="140">
        <v>1.0327181385810218</v>
      </c>
      <c r="F557" s="140">
        <v>1.0462000918268668</v>
      </c>
      <c r="G557" s="140">
        <v>1.0579618766687933</v>
      </c>
      <c r="H557" s="140">
        <v>1.0679645783102321</v>
      </c>
      <c r="I557" s="140">
        <v>1.0772361012999514</v>
      </c>
      <c r="J557" s="456">
        <f t="shared" si="145"/>
        <v>1.544722025999028E-2</v>
      </c>
      <c r="K557" s="459">
        <f t="shared" si="144"/>
        <v>1.4990973227517745E-2</v>
      </c>
      <c r="L557" s="454">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3">
      <c r="A558" s="522" t="s">
        <v>624</v>
      </c>
      <c r="B558" s="10">
        <v>9</v>
      </c>
      <c r="C558" s="136" t="s">
        <v>636</v>
      </c>
      <c r="D558" s="140"/>
      <c r="E558" s="140">
        <v>1.0231841082591016</v>
      </c>
      <c r="F558" s="140">
        <v>1.0358890289056439</v>
      </c>
      <c r="G558" s="140">
        <v>1.0481652070229122</v>
      </c>
      <c r="H558" s="140">
        <v>1.0592891805745575</v>
      </c>
      <c r="I558" s="140">
        <v>1.069681907109314</v>
      </c>
      <c r="J558" s="456">
        <f t="shared" si="145"/>
        <v>1.3936381421862798E-2</v>
      </c>
      <c r="K558" s="459">
        <f t="shared" si="144"/>
        <v>1.3563424108683053E-2</v>
      </c>
      <c r="L558" s="454">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3">
      <c r="A559" s="522" t="s">
        <v>624</v>
      </c>
      <c r="B559" s="10">
        <v>10</v>
      </c>
      <c r="C559" s="136" t="s">
        <v>637</v>
      </c>
      <c r="D559" s="140"/>
      <c r="E559" s="140">
        <v>1.0341666734322146</v>
      </c>
      <c r="F559" s="140">
        <v>1.0480179725760268</v>
      </c>
      <c r="G559" s="140">
        <v>1.0601012155156095</v>
      </c>
      <c r="H559" s="140">
        <v>1.0702848288878077</v>
      </c>
      <c r="I559" s="140">
        <v>1.0797421461131422</v>
      </c>
      <c r="J559" s="456">
        <f t="shared" si="145"/>
        <v>1.5948429222628447E-2</v>
      </c>
      <c r="K559" s="459">
        <f t="shared" si="144"/>
        <v>1.5462782371323147E-2</v>
      </c>
      <c r="L559" s="454">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3">
      <c r="A560" s="522" t="s">
        <v>624</v>
      </c>
      <c r="B560" s="10">
        <v>11</v>
      </c>
      <c r="C560" s="136" t="s">
        <v>638</v>
      </c>
      <c r="D560" s="140"/>
      <c r="E560" s="140">
        <v>1.0233409873632719</v>
      </c>
      <c r="F560" s="140">
        <v>1.0360814373748364</v>
      </c>
      <c r="G560" s="140">
        <v>1.0482875093579402</v>
      </c>
      <c r="H560" s="140">
        <v>1.0593852390742311</v>
      </c>
      <c r="I560" s="140">
        <v>1.0701308790705675</v>
      </c>
      <c r="J560" s="456">
        <f t="shared" si="145"/>
        <v>1.4026175814113495E-2</v>
      </c>
      <c r="K560" s="459">
        <f t="shared" si="144"/>
        <v>1.364849335671825E-2</v>
      </c>
      <c r="L560" s="454">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3">
      <c r="A561" s="522" t="s">
        <v>624</v>
      </c>
      <c r="B561" s="10">
        <v>12</v>
      </c>
      <c r="C561" s="136" t="s">
        <v>639</v>
      </c>
      <c r="D561" s="140"/>
      <c r="E561" s="140">
        <v>1.0334066911438702</v>
      </c>
      <c r="F561" s="140">
        <v>1.0470642108004322</v>
      </c>
      <c r="G561" s="140">
        <v>1.0589787988674986</v>
      </c>
      <c r="H561" s="140">
        <v>1.0690674958412283</v>
      </c>
      <c r="I561" s="140">
        <v>1.0784273350333435</v>
      </c>
      <c r="J561" s="456">
        <f t="shared" si="145"/>
        <v>1.5685467006668709E-2</v>
      </c>
      <c r="K561" s="459">
        <f t="shared" si="144"/>
        <v>1.5215354312122953E-2</v>
      </c>
      <c r="L561" s="454">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3">
      <c r="A562" s="522" t="s">
        <v>624</v>
      </c>
      <c r="B562" s="10">
        <v>13</v>
      </c>
      <c r="C562" s="136" t="s">
        <v>640</v>
      </c>
      <c r="D562" s="140"/>
      <c r="E562" s="140">
        <v>1.0535754755454367</v>
      </c>
      <c r="F562" s="140">
        <v>1.079128927735721</v>
      </c>
      <c r="G562" s="140">
        <v>1.10377830980113</v>
      </c>
      <c r="H562" s="140">
        <v>1.1267313398994689</v>
      </c>
      <c r="I562" s="140">
        <v>1.1493400902365778</v>
      </c>
      <c r="J562" s="456">
        <f t="shared" si="145"/>
        <v>2.9868018047315557E-2</v>
      </c>
      <c r="K562" s="459">
        <f t="shared" si="144"/>
        <v>2.8228674820024224E-2</v>
      </c>
      <c r="L562" s="454">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3">
      <c r="A563" s="57"/>
      <c r="B563" s="365">
        <v>14</v>
      </c>
      <c r="C563" s="136" t="s">
        <v>641</v>
      </c>
      <c r="D563" s="140"/>
      <c r="E563" s="140">
        <v>1.0081055095898279</v>
      </c>
      <c r="F563" s="140">
        <v>1.0157451629461605</v>
      </c>
      <c r="G563" s="140">
        <v>1.0222827798035592</v>
      </c>
      <c r="H563" s="140">
        <v>1.0276922014787842</v>
      </c>
      <c r="I563" s="140">
        <v>1.032997413899986</v>
      </c>
      <c r="J563" s="456">
        <f t="shared" si="145"/>
        <v>6.5994827799972008E-3</v>
      </c>
      <c r="K563" s="459">
        <f t="shared" si="144"/>
        <v>6.5140621434043311E-3</v>
      </c>
      <c r="L563" s="454">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3">
      <c r="B564" s="10">
        <v>15</v>
      </c>
      <c r="C564" s="136"/>
      <c r="D564" s="140"/>
      <c r="E564" s="140"/>
      <c r="F564" s="140"/>
      <c r="G564" s="140"/>
      <c r="H564" s="140"/>
      <c r="I564" s="140"/>
      <c r="J564" s="457" t="s">
        <v>642</v>
      </c>
      <c r="K564" s="6"/>
      <c r="L564" s="311" t="s">
        <v>643</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3">
      <c r="E565" s="14"/>
      <c r="L565" s="311" t="s">
        <v>644</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3">
      <c r="E566" s="14"/>
      <c r="L566" s="311" t="s">
        <v>645</v>
      </c>
      <c r="M566" s="12"/>
      <c r="N566" s="12"/>
      <c r="O566" s="12"/>
      <c r="P566" s="12"/>
      <c r="Q566" s="12"/>
      <c r="R566" s="453"/>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3">
      <c r="C567" s="467" t="s">
        <v>646</v>
      </c>
      <c r="E567" s="14"/>
      <c r="L567" s="311" t="s">
        <v>647</v>
      </c>
      <c r="M567" s="12"/>
      <c r="N567" s="12"/>
      <c r="O567" s="12"/>
      <c r="P567" s="12"/>
      <c r="Q567" s="12"/>
      <c r="R567" s="453"/>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3">
      <c r="E568" s="14"/>
      <c r="L568" s="311" t="s">
        <v>648</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3">
      <c r="E569" s="14"/>
      <c r="L569" s="311"/>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3">
      <c r="C570" s="10"/>
      <c r="L570" s="311" t="s">
        <v>649</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3">
      <c r="C571" s="10"/>
      <c r="L571" s="311" t="s">
        <v>650</v>
      </c>
      <c r="M571" s="12"/>
      <c r="N571" s="12"/>
      <c r="O571" s="544"/>
      <c r="P571" s="545" t="s">
        <v>651</v>
      </c>
      <c r="Q571" s="546"/>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5" customHeight="1" x14ac:dyDescent="0.3">
      <c r="C572" s="10"/>
      <c r="M572" s="12"/>
      <c r="N572" s="12"/>
      <c r="O572" s="549" t="s">
        <v>621</v>
      </c>
      <c r="P572" s="549" t="s">
        <v>622</v>
      </c>
      <c r="Q572" s="550" t="s">
        <v>652</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3">
      <c r="A573" s="520"/>
      <c r="B573" s="521"/>
      <c r="C573" s="136" t="s">
        <v>628</v>
      </c>
      <c r="D573" s="543"/>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456">
        <f>(N573-100%)/10</f>
        <v>6.0996339197137541E-3</v>
      </c>
      <c r="P573" s="459">
        <f>(N573/100%)^(1/10)-1</f>
        <v>5.9384037531065026E-3</v>
      </c>
      <c r="Q573" s="547">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3">
      <c r="A574" s="522" t="s">
        <v>653</v>
      </c>
      <c r="C574" s="136" t="s">
        <v>629</v>
      </c>
      <c r="D574" s="543"/>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456">
        <f t="shared" ref="O574:O586" si="146">(N574-100%)/10</f>
        <v>-6.0280923298853817E-3</v>
      </c>
      <c r="P574" s="459">
        <f t="shared" ref="P574:P586" si="147">(N574/100%)^(1/10)-1</f>
        <v>-6.1981420710855994E-3</v>
      </c>
      <c r="Q574" s="547">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3">
      <c r="A575" s="522" t="s">
        <v>653</v>
      </c>
      <c r="C575" s="136" t="s">
        <v>630</v>
      </c>
      <c r="D575" s="543"/>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456">
        <f t="shared" si="146"/>
        <v>1.5087615236704566E-2</v>
      </c>
      <c r="P575" s="459">
        <f t="shared" si="147"/>
        <v>1.4151550808456648E-2</v>
      </c>
      <c r="Q575" s="547">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3">
      <c r="A576" s="522" t="s">
        <v>653</v>
      </c>
      <c r="C576" s="136" t="s">
        <v>631</v>
      </c>
      <c r="D576" s="543"/>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456">
        <f t="shared" si="146"/>
        <v>8.1374209845206378E-4</v>
      </c>
      <c r="P576" s="459">
        <f t="shared" si="147"/>
        <v>8.1077757246905691E-4</v>
      </c>
      <c r="Q576" s="547">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3">
      <c r="A577" s="522" t="s">
        <v>653</v>
      </c>
      <c r="C577" s="136" t="s">
        <v>632</v>
      </c>
      <c r="D577" s="543"/>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456">
        <f t="shared" si="146"/>
        <v>2.5619811438394092E-3</v>
      </c>
      <c r="P577" s="459">
        <f t="shared" si="147"/>
        <v>2.5329148145079028E-3</v>
      </c>
      <c r="Q577" s="547">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3">
      <c r="A578" s="522" t="s">
        <v>653</v>
      </c>
      <c r="C578" s="448" t="s">
        <v>633</v>
      </c>
      <c r="D578" s="449"/>
      <c r="E578" s="449">
        <v>1.0123419501207302</v>
      </c>
      <c r="F578" s="449">
        <v>1.0224746276334522</v>
      </c>
      <c r="G578" s="449">
        <v>1.0318096590054313</v>
      </c>
      <c r="H578" s="449">
        <v>1.040568100689119</v>
      </c>
      <c r="I578" s="449">
        <v>1.0491476885800255</v>
      </c>
      <c r="J578" s="449">
        <v>1.0546473961073131</v>
      </c>
      <c r="K578" s="449">
        <v>1.0600156863772707</v>
      </c>
      <c r="L578" s="449">
        <v>1.0652587749595908</v>
      </c>
      <c r="M578" s="449">
        <v>1.0703773048442411</v>
      </c>
      <c r="N578" s="449">
        <v>1.0753751834317971</v>
      </c>
      <c r="O578" s="465">
        <f t="shared" si="146"/>
        <v>7.5375183431797051E-3</v>
      </c>
      <c r="P578" s="466">
        <f t="shared" si="147"/>
        <v>7.2934292896156272E-3</v>
      </c>
      <c r="Q578" s="466">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3">
      <c r="A579" s="522" t="s">
        <v>653</v>
      </c>
      <c r="C579" s="136" t="s">
        <v>634</v>
      </c>
      <c r="D579" s="543"/>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456">
        <f t="shared" si="146"/>
        <v>9.7308873986410305E-3</v>
      </c>
      <c r="P579" s="459">
        <f t="shared" si="147"/>
        <v>9.3293197294876951E-3</v>
      </c>
      <c r="Q579" s="547">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3">
      <c r="A580" s="522" t="s">
        <v>653</v>
      </c>
      <c r="C580" s="136" t="s">
        <v>635</v>
      </c>
      <c r="D580" s="543"/>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456">
        <f t="shared" si="146"/>
        <v>1.0416577441320607E-2</v>
      </c>
      <c r="P580" s="459">
        <f t="shared" si="147"/>
        <v>9.95826625164975E-3</v>
      </c>
      <c r="Q580" s="547">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3">
      <c r="A581" s="522" t="s">
        <v>653</v>
      </c>
      <c r="C581" s="136" t="s">
        <v>636</v>
      </c>
      <c r="D581" s="543"/>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456">
        <f t="shared" si="146"/>
        <v>9.64227339891921E-3</v>
      </c>
      <c r="P581" s="459">
        <f t="shared" si="147"/>
        <v>9.2477809488915597E-3</v>
      </c>
      <c r="Q581" s="547">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3">
      <c r="A582" s="522" t="s">
        <v>653</v>
      </c>
      <c r="C582" s="136" t="s">
        <v>637</v>
      </c>
      <c r="D582" s="543"/>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456">
        <f t="shared" si="146"/>
        <v>1.0673446748664817E-2</v>
      </c>
      <c r="P582" s="459">
        <f t="shared" si="147"/>
        <v>1.0192973847719333E-2</v>
      </c>
      <c r="Q582" s="547">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3">
      <c r="A583" s="522" t="s">
        <v>653</v>
      </c>
      <c r="C583" s="136" t="s">
        <v>638</v>
      </c>
      <c r="D583" s="543"/>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456">
        <f t="shared" si="146"/>
        <v>9.6882929737077683E-3</v>
      </c>
      <c r="P583" s="459">
        <f t="shared" si="147"/>
        <v>9.2901335764377091E-3</v>
      </c>
      <c r="Q583" s="547">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3">
      <c r="A584" s="522" t="s">
        <v>653</v>
      </c>
      <c r="C584" s="136" t="s">
        <v>639</v>
      </c>
      <c r="D584" s="543"/>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456">
        <f t="shared" si="146"/>
        <v>1.0538678763041154E-2</v>
      </c>
      <c r="P584" s="459">
        <f t="shared" si="147"/>
        <v>1.0069894342066732E-2</v>
      </c>
      <c r="Q584" s="547">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3">
      <c r="A585" s="522" t="s">
        <v>653</v>
      </c>
      <c r="C585" s="136" t="s">
        <v>640</v>
      </c>
      <c r="D585" s="543"/>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456">
        <f t="shared" si="146"/>
        <v>1.7807228078299507E-2</v>
      </c>
      <c r="P585" s="459">
        <f t="shared" si="147"/>
        <v>1.6522963134986579E-2</v>
      </c>
      <c r="Q585" s="547">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3">
      <c r="A586" s="57"/>
      <c r="B586" s="365"/>
      <c r="C586" s="136" t="s">
        <v>641</v>
      </c>
      <c r="D586" s="543"/>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456">
        <f t="shared" si="146"/>
        <v>5.8821170316610384E-3</v>
      </c>
      <c r="P586" s="459">
        <f t="shared" si="147"/>
        <v>5.7319838926312983E-3</v>
      </c>
      <c r="Q586" s="547">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3">
      <c r="C587" s="10"/>
      <c r="E587" s="14"/>
      <c r="M587" s="12"/>
      <c r="N587" s="12"/>
      <c r="O587" s="457" t="s">
        <v>642</v>
      </c>
      <c r="P587" s="457" t="s">
        <v>642</v>
      </c>
      <c r="Q587" s="548"/>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3">
      <c r="C588" s="10"/>
      <c r="E588" s="14"/>
      <c r="M588" s="12"/>
      <c r="N588" s="12"/>
      <c r="O588" s="457" t="s">
        <v>654</v>
      </c>
      <c r="P588" s="457" t="s">
        <v>654</v>
      </c>
      <c r="Q588" s="548"/>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3">
      <c r="C589" s="10"/>
      <c r="E589" s="14"/>
      <c r="M589" s="12"/>
      <c r="N589" s="12"/>
      <c r="O589" s="12"/>
      <c r="P589" s="12"/>
      <c r="Q589" s="548" t="s">
        <v>649</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3">
      <c r="E590" s="14"/>
      <c r="M590" s="12"/>
      <c r="N590" s="12"/>
      <c r="O590" s="12"/>
      <c r="P590" s="12"/>
      <c r="Q590" s="548" t="s">
        <v>650</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3">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3">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3">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3">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3">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3">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3">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3">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3">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3">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3">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3">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3">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3">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3">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3">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3">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3">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3">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3">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3">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3">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3">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3">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3">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3">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3">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3">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3">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3">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3">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3">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3">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3">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3">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3">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3">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3">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3">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3">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3">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3">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3">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3">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3">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3">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3">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3">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3">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3">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3">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3">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3">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3">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3">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3">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3">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3">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3">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3">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3">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3">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3">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3">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3">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3">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3">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3">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3">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3">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3">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3">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3">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3">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3">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3">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3">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3">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3">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3">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3">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3">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3">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3">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3">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3">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3">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3">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3">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3">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3">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3">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3">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3">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3">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3">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3">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3">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3">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3">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3">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3">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3">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3">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3">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3">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3">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3">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3">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3">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3">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3">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3">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3">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3">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3">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3">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3">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3">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3">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3">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3">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3">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3">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3">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3">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3">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3">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3">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3">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3">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3">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3">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3">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3">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3">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3">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3">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3">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3">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3">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3">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3">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3">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3">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3">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3">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3">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3">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3">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3">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3">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3">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3">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3">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3">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3">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3">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3">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3">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3">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3">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3">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3">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3">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3">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3">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3">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3">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3">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3">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3">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3">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3">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3">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3">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3">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3">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3">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3">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3">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3">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3">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3">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3">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3">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3">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3">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3">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3">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3">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3">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3">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3">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3">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3">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3">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3">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3">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3">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3">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3">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3">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3">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3">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3">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3">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3">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3">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3">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3">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3">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3">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3">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3">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3">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3">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3">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3">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3">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3">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3">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3">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3">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3">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3">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3">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3">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3">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3">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3">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3">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3">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3">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3">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3">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3">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3">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3">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3">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3">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3">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3">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3">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3">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3">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3">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3">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3">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3">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3">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3">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3">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3">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3">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3">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3">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3">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3">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3">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3">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3">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3">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3">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3">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3">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3">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3">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3">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3">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3">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3">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3">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3">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3">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3">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3">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3">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3">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3">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3">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3">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3">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3">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3">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3">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3">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3">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3">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3">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3">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3">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3">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3">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3">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3">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3">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3">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3">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3">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3">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3">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3">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3">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3">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3">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3">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3">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3">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3">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3">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3">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3">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3">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38"/>
  <sheetViews>
    <sheetView showGridLines="0" zoomScale="80" zoomScaleNormal="80" zoomScaleSheetLayoutView="30" workbookViewId="0">
      <selection activeCell="B19" sqref="B19"/>
    </sheetView>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86" t="str">
        <f>'Inputs and eligible population'!B1</f>
        <v>Durvalumab with etoposide and either carboplatin or cisplatin for untreated extensive-stage small-cell lung cancer</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5" customHeight="1" x14ac:dyDescent="0.35">
      <c r="B2" s="212" t="s">
        <v>855</v>
      </c>
      <c r="C2" s="125" t="s">
        <v>744</v>
      </c>
      <c r="D2" s="125" t="s">
        <v>744</v>
      </c>
      <c r="E2" s="125" t="s">
        <v>744</v>
      </c>
      <c r="F2" s="125" t="s">
        <v>744</v>
      </c>
      <c r="G2" s="125" t="s">
        <v>744</v>
      </c>
      <c r="H2" s="125" t="s">
        <v>744</v>
      </c>
      <c r="I2" s="125" t="s">
        <v>744</v>
      </c>
      <c r="J2" s="125" t="s">
        <v>744</v>
      </c>
      <c r="K2" s="125"/>
      <c r="L2" s="125" t="s">
        <v>744</v>
      </c>
      <c r="M2" s="125" t="s">
        <v>744</v>
      </c>
      <c r="N2" s="125" t="s">
        <v>744</v>
      </c>
      <c r="O2" s="125" t="s">
        <v>744</v>
      </c>
      <c r="P2" s="125" t="s">
        <v>744</v>
      </c>
      <c r="Q2" s="125"/>
      <c r="R2" s="125"/>
      <c r="S2" s="125"/>
      <c r="T2" s="125"/>
      <c r="U2" s="125"/>
      <c r="V2" s="125"/>
      <c r="W2" s="125"/>
      <c r="X2" s="125"/>
      <c r="Y2" s="125"/>
      <c r="Z2" s="125"/>
    </row>
    <row r="3" spans="1:40" ht="14.5" customHeight="1" x14ac:dyDescent="0.35">
      <c r="B3" s="128" t="s">
        <v>744</v>
      </c>
      <c r="C3" s="131" t="s">
        <v>744</v>
      </c>
      <c r="D3" s="131" t="s">
        <v>744</v>
      </c>
      <c r="E3" s="131" t="s">
        <v>744</v>
      </c>
      <c r="F3" s="131" t="s">
        <v>744</v>
      </c>
      <c r="G3" s="131" t="s">
        <v>744</v>
      </c>
      <c r="H3" s="131" t="s">
        <v>744</v>
      </c>
      <c r="I3" s="131" t="s">
        <v>744</v>
      </c>
      <c r="J3" s="131" t="s">
        <v>744</v>
      </c>
      <c r="K3" s="131"/>
      <c r="L3" s="131" t="s">
        <v>744</v>
      </c>
      <c r="M3" s="131" t="s">
        <v>744</v>
      </c>
      <c r="N3" s="131" t="s">
        <v>744</v>
      </c>
      <c r="O3" s="131" t="s">
        <v>744</v>
      </c>
      <c r="P3" s="131" t="s">
        <v>744</v>
      </c>
      <c r="Q3" s="131"/>
      <c r="R3" s="131"/>
      <c r="S3" s="125"/>
      <c r="T3" s="125"/>
      <c r="U3" s="125"/>
      <c r="V3" s="125"/>
      <c r="W3" s="125"/>
      <c r="X3" s="125"/>
      <c r="Y3" s="131"/>
      <c r="Z3" s="131"/>
    </row>
    <row r="4" spans="1:40" ht="14.5" customHeight="1" x14ac:dyDescent="0.35">
      <c r="B4" t="s">
        <v>835</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5" customHeight="1" x14ac:dyDescent="0.35">
      <c r="B5" s="5"/>
      <c r="F5" s="131"/>
      <c r="G5" s="131"/>
      <c r="H5" s="131"/>
      <c r="I5" s="131"/>
      <c r="J5" s="131"/>
      <c r="K5" s="131"/>
      <c r="L5" s="131"/>
      <c r="M5" s="131"/>
      <c r="N5" s="131"/>
      <c r="O5" s="131"/>
      <c r="P5" s="131"/>
      <c r="Q5" s="131"/>
      <c r="R5" s="131"/>
      <c r="S5" s="125"/>
      <c r="T5" s="125"/>
      <c r="U5" s="125"/>
      <c r="V5" s="125"/>
      <c r="W5" s="125"/>
      <c r="X5" s="125"/>
      <c r="Y5" s="131"/>
      <c r="Z5" s="131"/>
    </row>
    <row r="6" spans="1:40" ht="43.5" x14ac:dyDescent="0.35">
      <c r="B6" s="251" t="s">
        <v>802</v>
      </c>
      <c r="C6" s="207"/>
      <c r="D6" s="382" t="s">
        <v>828</v>
      </c>
      <c r="E6" s="249" t="s">
        <v>676</v>
      </c>
      <c r="F6" s="249" t="s">
        <v>677</v>
      </c>
      <c r="G6" s="163" t="s">
        <v>799</v>
      </c>
      <c r="H6" s="163" t="s">
        <v>800</v>
      </c>
      <c r="I6" s="249" t="s">
        <v>801</v>
      </c>
      <c r="L6" s="382" t="s">
        <v>828</v>
      </c>
      <c r="M6" s="249" t="s">
        <v>676</v>
      </c>
      <c r="N6" s="249" t="s">
        <v>677</v>
      </c>
      <c r="O6" s="163" t="s">
        <v>799</v>
      </c>
      <c r="P6" s="163" t="s">
        <v>800</v>
      </c>
      <c r="Q6" s="249" t="s">
        <v>801</v>
      </c>
      <c r="R6" s="131"/>
      <c r="S6" s="125"/>
      <c r="T6" s="125"/>
      <c r="U6" s="125"/>
      <c r="V6" s="125"/>
      <c r="W6" s="125"/>
      <c r="X6" s="125"/>
      <c r="Y6" s="131"/>
      <c r="Z6" s="131"/>
      <c r="AJ6" s="279"/>
      <c r="AK6" s="279"/>
      <c r="AL6" s="279"/>
      <c r="AM6" s="279"/>
      <c r="AN6" s="279"/>
    </row>
    <row r="7" spans="1:40" ht="14.5" customHeight="1" x14ac:dyDescent="0.35">
      <c r="B7" s="219" t="s">
        <v>802</v>
      </c>
      <c r="C7" s="166"/>
      <c r="D7" s="353">
        <f>'Inputs and eligible population'!F42</f>
        <v>1724.2350013564651</v>
      </c>
      <c r="E7" s="353">
        <f>'Inputs and eligible population'!G42</f>
        <v>1740.8597432621111</v>
      </c>
      <c r="F7" s="353">
        <f>'Inputs and eligible population'!H42</f>
        <v>1757.6447777283493</v>
      </c>
      <c r="G7" s="353">
        <f>'Inputs and eligible population'!I42</f>
        <v>1774.5916502651862</v>
      </c>
      <c r="H7" s="353">
        <f>'Inputs and eligible population'!J42</f>
        <v>1791.7019212841387</v>
      </c>
      <c r="I7" s="353">
        <f>'Inputs and eligible population'!K42</f>
        <v>1808.9771662419116</v>
      </c>
      <c r="P7" s="131"/>
      <c r="Q7" s="131"/>
      <c r="R7" s="131"/>
      <c r="S7" s="125"/>
      <c r="T7" s="125"/>
      <c r="U7" s="125"/>
      <c r="V7" s="125"/>
      <c r="W7" s="125"/>
      <c r="X7" s="125"/>
      <c r="Y7" s="131"/>
      <c r="Z7" s="131"/>
      <c r="AJ7" s="279"/>
      <c r="AK7" s="279"/>
      <c r="AL7" s="279"/>
      <c r="AM7" s="279"/>
      <c r="AN7" s="279"/>
    </row>
    <row r="8" spans="1:40" ht="14.5" customHeight="1" x14ac:dyDescent="0.35">
      <c r="B8"/>
      <c r="P8" s="131"/>
      <c r="Q8" s="131"/>
      <c r="R8" s="131"/>
      <c r="S8" s="125"/>
      <c r="T8" s="125"/>
      <c r="U8" s="125"/>
      <c r="V8" s="125"/>
      <c r="W8" s="125"/>
      <c r="X8" s="125"/>
      <c r="Y8" s="131"/>
      <c r="Z8" s="131"/>
      <c r="AJ8" s="279"/>
      <c r="AK8" s="279"/>
      <c r="AL8" s="279"/>
      <c r="AM8" s="279"/>
      <c r="AN8" s="279"/>
    </row>
    <row r="9" spans="1:40" ht="14.5" customHeight="1" x14ac:dyDescent="0.35">
      <c r="B9" s="272" t="s">
        <v>836</v>
      </c>
      <c r="C9" s="390"/>
      <c r="D9" s="390"/>
      <c r="E9" s="391"/>
      <c r="F9" s="390"/>
      <c r="G9" s="392"/>
      <c r="H9" s="393"/>
      <c r="I9" s="393"/>
      <c r="J9" s="503"/>
      <c r="K9" s="502"/>
      <c r="L9" s="631" t="s">
        <v>806</v>
      </c>
      <c r="M9" s="631" t="s">
        <v>806</v>
      </c>
      <c r="N9" s="631" t="s">
        <v>806</v>
      </c>
      <c r="O9" s="631" t="s">
        <v>806</v>
      </c>
      <c r="P9" s="631" t="s">
        <v>806</v>
      </c>
      <c r="Q9" s="631" t="s">
        <v>806</v>
      </c>
      <c r="R9" s="131"/>
      <c r="S9" s="125"/>
      <c r="T9" s="125"/>
      <c r="U9" s="125"/>
      <c r="V9" s="125"/>
      <c r="W9" s="125"/>
      <c r="X9" s="125"/>
      <c r="Y9" s="131"/>
      <c r="Z9" s="131"/>
      <c r="AJ9" s="279"/>
      <c r="AK9" s="279"/>
      <c r="AL9" s="279"/>
      <c r="AM9" s="279"/>
      <c r="AN9" s="279"/>
    </row>
    <row r="10" spans="1:40" ht="14.5" customHeight="1" x14ac:dyDescent="0.35">
      <c r="A10" s="286"/>
      <c r="B10" s="358" t="s">
        <v>841</v>
      </c>
      <c r="C10" s="378"/>
      <c r="D10" s="377">
        <f t="shared" ref="D10:I10" si="0">D31</f>
        <v>12069.645009495256</v>
      </c>
      <c r="E10" s="377">
        <f t="shared" si="0"/>
        <v>12186.018202834779</v>
      </c>
      <c r="F10" s="377">
        <f t="shared" si="0"/>
        <v>12303.513444098446</v>
      </c>
      <c r="G10" s="377">
        <f t="shared" si="0"/>
        <v>12422.141551856304</v>
      </c>
      <c r="H10" s="377">
        <f t="shared" si="0"/>
        <v>12541.913448988973</v>
      </c>
      <c r="I10" s="377">
        <f t="shared" si="0"/>
        <v>12662.840163693381</v>
      </c>
      <c r="L10" s="282">
        <f t="shared" ref="L10:Q10" si="1">L31</f>
        <v>1870.3639177214257</v>
      </c>
      <c r="M10" s="282">
        <f t="shared" si="1"/>
        <v>1888.3976065035752</v>
      </c>
      <c r="N10" s="282">
        <f t="shared" si="1"/>
        <v>1906.605172640827</v>
      </c>
      <c r="O10" s="282">
        <f t="shared" si="1"/>
        <v>1924.9882926251607</v>
      </c>
      <c r="P10" s="282">
        <f t="shared" si="1"/>
        <v>1943.5486591129693</v>
      </c>
      <c r="Q10" s="282">
        <f t="shared" si="1"/>
        <v>1962.2879810809136</v>
      </c>
      <c r="R10" s="131"/>
      <c r="S10" s="131"/>
      <c r="T10" s="131"/>
      <c r="U10" s="131"/>
      <c r="V10" s="131"/>
      <c r="W10" s="131"/>
      <c r="X10" s="131"/>
      <c r="Y10" s="131"/>
      <c r="Z10" s="131"/>
      <c r="AJ10" s="279"/>
      <c r="AK10" s="279"/>
      <c r="AL10" s="279"/>
      <c r="AM10" s="279"/>
      <c r="AN10" s="279"/>
    </row>
    <row r="11" spans="1:40" ht="14.5" customHeight="1" x14ac:dyDescent="0.35">
      <c r="B11" s="241"/>
      <c r="D11" s="279"/>
      <c r="F11" s="131"/>
      <c r="G11" s="131"/>
      <c r="H11" s="131"/>
      <c r="I11" s="131"/>
      <c r="J11" s="131"/>
      <c r="K11" s="131"/>
      <c r="L11" s="283">
        <f t="shared" ref="L11:Q11" si="2">SUM(L10:L10)</f>
        <v>1870.3639177214257</v>
      </c>
      <c r="M11" s="283">
        <f t="shared" si="2"/>
        <v>1888.3976065035752</v>
      </c>
      <c r="N11" s="283">
        <f t="shared" si="2"/>
        <v>1906.605172640827</v>
      </c>
      <c r="O11" s="283">
        <f t="shared" si="2"/>
        <v>1924.9882926251607</v>
      </c>
      <c r="P11" s="283">
        <f t="shared" si="2"/>
        <v>1943.5486591129693</v>
      </c>
      <c r="Q11" s="283">
        <f t="shared" si="2"/>
        <v>1962.2879810809136</v>
      </c>
      <c r="R11" s="131"/>
      <c r="S11" s="131"/>
      <c r="T11" s="131"/>
      <c r="U11" s="131"/>
      <c r="V11" s="131"/>
      <c r="W11" s="131"/>
      <c r="X11" s="131"/>
      <c r="Y11" s="131"/>
      <c r="Z11" s="131"/>
    </row>
    <row r="12" spans="1:40" x14ac:dyDescent="0.35">
      <c r="B12" s="301"/>
      <c r="C12" s="301"/>
      <c r="D12" s="301"/>
      <c r="E12" s="301"/>
      <c r="F12" s="301"/>
      <c r="G12" s="301"/>
      <c r="H12" s="301"/>
      <c r="I12" s="301"/>
      <c r="J12" s="301"/>
      <c r="K12" s="301"/>
      <c r="L12" s="301"/>
      <c r="P12" s="131"/>
      <c r="Q12" s="131"/>
      <c r="R12" s="131"/>
      <c r="S12" s="131"/>
      <c r="V12" s="131"/>
      <c r="W12" s="131"/>
      <c r="X12" s="131"/>
      <c r="Y12" s="131"/>
      <c r="Z12" s="131"/>
      <c r="AJ12" s="279"/>
      <c r="AK12" s="279"/>
      <c r="AL12" s="279"/>
      <c r="AM12" s="279"/>
      <c r="AN12" s="279"/>
    </row>
    <row r="13" spans="1:40" x14ac:dyDescent="0.35">
      <c r="B13" s="345" t="s">
        <v>837</v>
      </c>
      <c r="C13" s="346"/>
      <c r="D13" s="346"/>
      <c r="E13" s="347"/>
      <c r="F13" s="346"/>
      <c r="G13" s="348"/>
      <c r="H13" s="349"/>
      <c r="I13" s="349"/>
      <c r="J13" s="349"/>
      <c r="K13" s="349"/>
      <c r="L13" s="349"/>
      <c r="M13" s="349"/>
      <c r="N13" s="349"/>
      <c r="O13" s="349"/>
      <c r="P13" s="349"/>
      <c r="Q13" s="350"/>
      <c r="R13" s="131"/>
      <c r="S13" s="131"/>
      <c r="T13" s="131"/>
      <c r="U13" s="131"/>
      <c r="V13" s="131"/>
      <c r="W13" s="131"/>
      <c r="X13" s="131"/>
      <c r="Y13" s="131"/>
      <c r="Z13" s="131"/>
      <c r="AJ13" s="279"/>
      <c r="AK13" s="279"/>
      <c r="AL13" s="279"/>
      <c r="AM13" s="279"/>
      <c r="AN13" s="279"/>
    </row>
    <row r="14" spans="1:40" x14ac:dyDescent="0.35">
      <c r="A14" s="286"/>
      <c r="B14" s="302" t="s">
        <v>839</v>
      </c>
      <c r="C14" s="287"/>
      <c r="D14" s="287"/>
      <c r="E14" s="288"/>
      <c r="F14" s="289"/>
      <c r="G14" s="290"/>
      <c r="H14" s="290"/>
      <c r="I14" s="387"/>
      <c r="J14" s="388"/>
      <c r="K14" s="286"/>
      <c r="L14" s="286"/>
      <c r="M14" s="286"/>
      <c r="N14" s="286"/>
      <c r="O14" s="286"/>
      <c r="P14" s="286"/>
      <c r="Q14" s="213"/>
      <c r="R14" s="131"/>
      <c r="S14" s="131"/>
      <c r="V14" s="131"/>
    </row>
    <row r="15" spans="1:40" x14ac:dyDescent="0.35">
      <c r="A15" s="294"/>
      <c r="B15" s="358" t="s">
        <v>999</v>
      </c>
      <c r="C15" s="359"/>
      <c r="D15" s="359"/>
      <c r="E15" s="359"/>
      <c r="F15" s="359"/>
      <c r="G15" s="359"/>
      <c r="H15" s="359"/>
      <c r="I15" s="359"/>
      <c r="J15" s="384"/>
      <c r="K15" s="213"/>
      <c r="L15" s="213"/>
      <c r="M15" s="213"/>
      <c r="N15" s="213"/>
      <c r="O15" s="213"/>
      <c r="P15" s="213"/>
      <c r="Q15" s="213"/>
      <c r="R15" s="131"/>
      <c r="S15" s="131"/>
      <c r="T15" s="131"/>
      <c r="U15" s="131"/>
      <c r="V15" s="131"/>
      <c r="W15" s="131"/>
      <c r="X15" s="131"/>
      <c r="Y15" s="131"/>
      <c r="Z15" s="131"/>
      <c r="AJ15" s="279"/>
      <c r="AK15" s="279"/>
      <c r="AL15" s="279"/>
      <c r="AM15" s="279"/>
      <c r="AN15" s="279"/>
    </row>
    <row r="16" spans="1:40" ht="43.5" x14ac:dyDescent="0.35">
      <c r="A16" s="294"/>
      <c r="B16" s="300" t="s">
        <v>771</v>
      </c>
      <c r="C16" s="462"/>
      <c r="D16" s="382" t="s">
        <v>828</v>
      </c>
      <c r="E16" s="249" t="s">
        <v>676</v>
      </c>
      <c r="F16" s="249" t="s">
        <v>677</v>
      </c>
      <c r="G16" s="163" t="s">
        <v>799</v>
      </c>
      <c r="H16" s="163" t="s">
        <v>800</v>
      </c>
      <c r="I16" s="249" t="s">
        <v>801</v>
      </c>
      <c r="J16" s="384"/>
      <c r="K16" s="213"/>
      <c r="L16" s="213"/>
      <c r="M16" s="213"/>
      <c r="N16" s="213"/>
      <c r="O16" s="213"/>
      <c r="P16" s="213"/>
      <c r="Q16" s="213"/>
      <c r="R16" s="131"/>
      <c r="S16" s="131"/>
      <c r="T16" s="131"/>
      <c r="U16" s="131"/>
      <c r="V16" s="131"/>
      <c r="W16" s="131"/>
      <c r="X16" s="131"/>
      <c r="Y16" s="131"/>
      <c r="Z16" s="131"/>
      <c r="AJ16" s="279"/>
      <c r="AK16" s="279"/>
      <c r="AL16" s="279"/>
      <c r="AM16" s="279"/>
      <c r="AN16" s="279"/>
    </row>
    <row r="17" spans="1:40" x14ac:dyDescent="0.35">
      <c r="A17" s="294"/>
      <c r="B17" s="810" t="s">
        <v>1025</v>
      </c>
      <c r="C17" s="809"/>
      <c r="D17" s="812">
        <f>'Financial impact (cash)'!D13</f>
        <v>0</v>
      </c>
      <c r="E17" s="811">
        <f>'Financial impact (cash)'!E13</f>
        <v>174.08597432621113</v>
      </c>
      <c r="F17" s="811">
        <f>'Financial impact (cash)'!F13</f>
        <v>351.52895554566987</v>
      </c>
      <c r="G17" s="811">
        <f>'Financial impact (cash)'!G13</f>
        <v>532.37749507955584</v>
      </c>
      <c r="H17" s="811">
        <f>'Financial impact (cash)'!H13</f>
        <v>537.51057638524162</v>
      </c>
      <c r="I17" s="812">
        <f>'Financial impact (cash)'!I13</f>
        <v>542.69314987257349</v>
      </c>
      <c r="J17" s="384"/>
      <c r="K17" s="213"/>
      <c r="L17" s="213"/>
      <c r="M17" s="213"/>
      <c r="N17" s="213"/>
      <c r="O17" s="213"/>
      <c r="P17" s="213"/>
      <c r="Q17" s="213"/>
      <c r="R17" s="131"/>
      <c r="S17" s="131"/>
      <c r="T17" s="131"/>
      <c r="U17" s="131"/>
      <c r="V17" s="131"/>
      <c r="W17" s="131"/>
      <c r="X17" s="131"/>
      <c r="Y17" s="131"/>
      <c r="Z17" s="131"/>
      <c r="AJ17" s="279"/>
      <c r="AK17" s="279"/>
      <c r="AL17" s="279"/>
      <c r="AM17" s="279"/>
      <c r="AN17" s="279"/>
    </row>
    <row r="18" spans="1:40" x14ac:dyDescent="0.35">
      <c r="A18" s="294"/>
      <c r="B18" s="197" t="s">
        <v>1000</v>
      </c>
      <c r="C18" s="809"/>
      <c r="D18" s="819">
        <f>'Financial impact (cash)'!D13</f>
        <v>0</v>
      </c>
      <c r="E18" s="811">
        <f>'Financial impact (cash)'!E13</f>
        <v>174.08597432621113</v>
      </c>
      <c r="F18" s="811">
        <f>'Financial impact (cash)'!F13</f>
        <v>351.52895554566987</v>
      </c>
      <c r="G18" s="811">
        <f>'Financial impact (cash)'!G13</f>
        <v>532.37749507955584</v>
      </c>
      <c r="H18" s="811">
        <f>'Financial impact (cash)'!H13</f>
        <v>537.51057638524162</v>
      </c>
      <c r="I18" s="814">
        <f>'Financial impact (cash)'!I13</f>
        <v>542.69314987257349</v>
      </c>
      <c r="J18" s="384"/>
      <c r="K18" s="213"/>
      <c r="L18" s="213"/>
      <c r="M18" s="213"/>
      <c r="N18" s="213"/>
      <c r="O18" s="213"/>
      <c r="P18" s="213"/>
      <c r="Q18" s="213"/>
      <c r="R18" s="131"/>
      <c r="S18" s="131"/>
      <c r="T18" s="131"/>
      <c r="U18" s="131"/>
      <c r="V18" s="131"/>
      <c r="W18" s="131"/>
      <c r="X18" s="131"/>
      <c r="Y18" s="131"/>
      <c r="Z18" s="131"/>
      <c r="AJ18" s="279"/>
      <c r="AK18" s="279"/>
      <c r="AL18" s="279"/>
      <c r="AM18" s="279"/>
      <c r="AN18" s="279"/>
    </row>
    <row r="19" spans="1:40" x14ac:dyDescent="0.35">
      <c r="A19" s="294"/>
      <c r="B19" s="197" t="s">
        <v>1026</v>
      </c>
      <c r="C19" s="809"/>
      <c r="D19" s="812">
        <f>'Financial impact (cash)'!D14</f>
        <v>1724.2350013564651</v>
      </c>
      <c r="E19" s="811">
        <f>'Financial impact (cash)'!E14</f>
        <v>1566.7737689359001</v>
      </c>
      <c r="F19" s="811">
        <f>'Financial impact (cash)'!F14</f>
        <v>1406.1158221826795</v>
      </c>
      <c r="G19" s="811">
        <f>'Financial impact (cash)'!G14</f>
        <v>1242.2141551856303</v>
      </c>
      <c r="H19" s="811">
        <f>'Financial impact (cash)'!H14</f>
        <v>1254.1913448988971</v>
      </c>
      <c r="I19" s="812">
        <f>'Financial impact (cash)'!I14</f>
        <v>1266.2840163693381</v>
      </c>
      <c r="J19" s="384"/>
      <c r="K19" s="213"/>
      <c r="L19" s="213"/>
      <c r="M19" s="213"/>
      <c r="N19" s="213"/>
      <c r="O19" s="213"/>
      <c r="P19" s="213"/>
      <c r="Q19" s="213"/>
      <c r="R19" s="131"/>
      <c r="S19" s="131"/>
      <c r="T19" s="131"/>
      <c r="U19" s="131"/>
      <c r="V19" s="131"/>
      <c r="W19" s="131"/>
      <c r="X19" s="131"/>
      <c r="Y19" s="131"/>
      <c r="Z19" s="131"/>
      <c r="AJ19" s="279"/>
      <c r="AK19" s="279"/>
      <c r="AL19" s="279"/>
      <c r="AM19" s="279"/>
      <c r="AN19" s="279"/>
    </row>
    <row r="20" spans="1:40" x14ac:dyDescent="0.35">
      <c r="A20" s="294"/>
      <c r="B20" s="197" t="s">
        <v>1001</v>
      </c>
      <c r="C20" s="447"/>
      <c r="D20" s="813">
        <f>'Financial impact (cash)'!D14</f>
        <v>1724.2350013564651</v>
      </c>
      <c r="E20" s="126">
        <f>'Financial impact (cash)'!E14</f>
        <v>1566.7737689359001</v>
      </c>
      <c r="F20" s="126">
        <f>'Financial impact (cash)'!F14</f>
        <v>1406.1158221826795</v>
      </c>
      <c r="G20" s="126">
        <f>'Financial impact (cash)'!G14</f>
        <v>1242.2141551856303</v>
      </c>
      <c r="H20" s="126">
        <f>'Financial impact (cash)'!H14</f>
        <v>1254.1913448988971</v>
      </c>
      <c r="I20" s="820">
        <f>'Financial impact (cash)'!I14</f>
        <v>1266.2840163693381</v>
      </c>
      <c r="J20" s="384"/>
      <c r="K20" s="213"/>
      <c r="L20" s="213"/>
      <c r="M20" s="213"/>
      <c r="N20" s="213"/>
      <c r="O20" s="213"/>
      <c r="P20" s="213"/>
      <c r="Q20" s="213"/>
      <c r="R20" s="131"/>
      <c r="S20" s="131"/>
      <c r="T20" s="131"/>
      <c r="U20" s="131"/>
      <c r="V20" s="131"/>
      <c r="W20" s="131"/>
      <c r="X20" s="131"/>
      <c r="Y20" s="131"/>
      <c r="Z20" s="131"/>
      <c r="AJ20" s="279"/>
      <c r="AK20" s="279"/>
      <c r="AL20" s="279"/>
      <c r="AM20" s="279"/>
      <c r="AN20" s="279"/>
    </row>
    <row r="21" spans="1:40" x14ac:dyDescent="0.35">
      <c r="A21" s="294"/>
      <c r="B21" s="461"/>
      <c r="C21" s="304"/>
      <c r="D21" s="184">
        <f t="shared" ref="D21:I21" si="3">SUM(D17:D20)</f>
        <v>3448.4700027129302</v>
      </c>
      <c r="E21" s="184">
        <f t="shared" si="3"/>
        <v>3481.7194865242227</v>
      </c>
      <c r="F21" s="184">
        <f t="shared" si="3"/>
        <v>3515.289555456699</v>
      </c>
      <c r="G21" s="184">
        <f t="shared" si="3"/>
        <v>3549.1833005303724</v>
      </c>
      <c r="H21" s="184">
        <f t="shared" si="3"/>
        <v>3583.4038425682775</v>
      </c>
      <c r="I21" s="184">
        <f t="shared" si="3"/>
        <v>3617.9543324838232</v>
      </c>
      <c r="J21" s="384"/>
      <c r="K21" s="213"/>
      <c r="L21" s="213"/>
      <c r="M21" s="213"/>
      <c r="N21" s="213"/>
      <c r="O21" s="213"/>
      <c r="P21" s="213"/>
      <c r="Q21" s="213"/>
      <c r="R21" s="131"/>
      <c r="S21" s="131"/>
      <c r="T21" s="131"/>
      <c r="U21" s="131"/>
      <c r="V21" s="131"/>
      <c r="W21" s="131"/>
      <c r="X21" s="131"/>
      <c r="Y21" s="131"/>
      <c r="Z21" s="131"/>
      <c r="AJ21" s="279"/>
      <c r="AK21" s="279"/>
      <c r="AL21" s="279"/>
      <c r="AM21" s="279"/>
      <c r="AN21" s="279"/>
    </row>
    <row r="22" spans="1:40" x14ac:dyDescent="0.35">
      <c r="A22" s="294"/>
      <c r="B22" s="250"/>
      <c r="C22" s="250"/>
      <c r="D22" s="278" t="s">
        <v>840</v>
      </c>
      <c r="E22" s="184">
        <f>E21-$D$21</f>
        <v>33.249483811292521</v>
      </c>
      <c r="F22" s="184">
        <f>F21-$D$21</f>
        <v>66.819552743768782</v>
      </c>
      <c r="G22" s="184">
        <f>G21-$D$21</f>
        <v>100.71329781744225</v>
      </c>
      <c r="H22" s="184">
        <f>H21-$D$21</f>
        <v>134.93383985534729</v>
      </c>
      <c r="I22" s="184">
        <f>I21-$D$21</f>
        <v>169.48432977089305</v>
      </c>
      <c r="J22" s="384"/>
      <c r="K22" s="213"/>
      <c r="L22" s="213"/>
      <c r="M22" s="213"/>
      <c r="N22" s="213"/>
      <c r="O22" s="213"/>
      <c r="P22" s="213"/>
      <c r="Q22" s="213"/>
      <c r="R22" s="131"/>
      <c r="S22" s="131"/>
      <c r="T22" s="131"/>
      <c r="U22" s="131"/>
      <c r="V22" s="131"/>
      <c r="W22" s="131"/>
      <c r="X22" s="131"/>
      <c r="Y22" s="131"/>
      <c r="Z22" s="131"/>
      <c r="AJ22" s="279"/>
      <c r="AK22" s="279"/>
      <c r="AL22" s="279"/>
      <c r="AM22" s="279"/>
      <c r="AN22" s="279"/>
    </row>
    <row r="23" spans="1:40" x14ac:dyDescent="0.35">
      <c r="A23" s="286"/>
      <c r="B23" s="303"/>
      <c r="C23" s="292"/>
      <c r="D23" s="291"/>
      <c r="E23" s="292"/>
      <c r="F23" s="293"/>
      <c r="G23" s="286"/>
      <c r="H23" s="286"/>
      <c r="I23" s="816"/>
      <c r="J23" s="213"/>
      <c r="K23" s="213"/>
      <c r="L23" s="213"/>
      <c r="M23" s="213"/>
      <c r="N23" s="213"/>
      <c r="O23" s="213"/>
      <c r="P23" s="213"/>
      <c r="Q23" s="213"/>
      <c r="R23" s="131"/>
      <c r="S23" s="131"/>
      <c r="T23" s="131"/>
      <c r="U23" s="131"/>
      <c r="V23" s="131"/>
      <c r="W23" s="131"/>
      <c r="X23" s="131"/>
      <c r="Y23" s="131"/>
      <c r="Z23" s="131"/>
      <c r="AJ23" s="279"/>
      <c r="AK23" s="279"/>
      <c r="AL23" s="279"/>
      <c r="AM23" s="279"/>
      <c r="AN23" s="279"/>
    </row>
    <row r="24" spans="1:40" x14ac:dyDescent="0.35">
      <c r="A24" s="286"/>
      <c r="B24" s="303"/>
      <c r="C24" s="292"/>
      <c r="D24" s="291"/>
      <c r="E24" s="292"/>
      <c r="F24" s="293"/>
      <c r="G24" s="286"/>
      <c r="H24" s="286"/>
      <c r="I24" s="815"/>
      <c r="J24" s="213"/>
      <c r="K24" s="213"/>
      <c r="L24" s="213"/>
      <c r="M24" s="213"/>
      <c r="N24" s="213"/>
      <c r="O24" s="213"/>
      <c r="P24" s="213"/>
      <c r="Q24" s="213"/>
      <c r="R24" s="131"/>
      <c r="S24" s="131"/>
      <c r="T24" s="131"/>
      <c r="U24" s="131"/>
      <c r="V24" s="131"/>
      <c r="W24" s="131"/>
      <c r="X24" s="131"/>
      <c r="Y24" s="131"/>
      <c r="Z24" s="131"/>
      <c r="AJ24" s="279"/>
      <c r="AK24" s="279"/>
      <c r="AL24" s="279"/>
      <c r="AM24" s="279"/>
      <c r="AN24" s="279"/>
    </row>
    <row r="25" spans="1:40" x14ac:dyDescent="0.35">
      <c r="A25" s="294"/>
      <c r="B25" s="358" t="s">
        <v>841</v>
      </c>
      <c r="C25" s="359"/>
      <c r="D25" s="359"/>
      <c r="E25" s="359"/>
      <c r="F25" s="359"/>
      <c r="G25" s="359"/>
      <c r="H25" s="359"/>
      <c r="I25" s="359"/>
      <c r="J25" s="384"/>
      <c r="K25" s="213"/>
      <c r="L25" s="213"/>
      <c r="M25" s="213"/>
      <c r="N25" s="213"/>
      <c r="O25" s="213"/>
      <c r="P25" s="213"/>
      <c r="Q25" s="213"/>
      <c r="S25" s="131"/>
      <c r="T25" s="131"/>
      <c r="U25" s="131"/>
      <c r="V25" s="131"/>
      <c r="W25" s="131"/>
      <c r="X25" s="131"/>
      <c r="Y25" s="131"/>
      <c r="Z25" s="131"/>
      <c r="AJ25" s="279"/>
      <c r="AK25" s="279"/>
      <c r="AL25" s="279"/>
      <c r="AM25" s="279"/>
      <c r="AN25" s="279"/>
    </row>
    <row r="26" spans="1:40" ht="43.5" x14ac:dyDescent="0.35">
      <c r="A26" s="294"/>
      <c r="B26" s="300" t="s">
        <v>771</v>
      </c>
      <c r="C26" s="164" t="s">
        <v>760</v>
      </c>
      <c r="D26" s="382" t="s">
        <v>828</v>
      </c>
      <c r="E26" s="249" t="s">
        <v>676</v>
      </c>
      <c r="F26" s="249" t="s">
        <v>677</v>
      </c>
      <c r="G26" s="163" t="s">
        <v>799</v>
      </c>
      <c r="H26" s="163" t="s">
        <v>800</v>
      </c>
      <c r="I26" s="249" t="s">
        <v>801</v>
      </c>
      <c r="J26" s="384"/>
      <c r="K26" s="489" t="s">
        <v>854</v>
      </c>
      <c r="L26" s="382" t="s">
        <v>828</v>
      </c>
      <c r="M26" s="479" t="s">
        <v>676</v>
      </c>
      <c r="N26" s="479" t="s">
        <v>677</v>
      </c>
      <c r="O26" s="383" t="s">
        <v>799</v>
      </c>
      <c r="P26" s="383" t="s">
        <v>800</v>
      </c>
      <c r="Q26" s="479" t="s">
        <v>801</v>
      </c>
      <c r="V26" s="131"/>
      <c r="AJ26" s="279"/>
      <c r="AK26" s="279"/>
      <c r="AL26" s="279"/>
      <c r="AM26" s="279"/>
      <c r="AN26" s="279"/>
    </row>
    <row r="27" spans="1:40" x14ac:dyDescent="0.35">
      <c r="A27" s="294"/>
      <c r="B27" s="810" t="s">
        <v>1025</v>
      </c>
      <c r="C27" s="285">
        <f>'Inputs and eligible population'!F48</f>
        <v>4</v>
      </c>
      <c r="D27" s="126">
        <f>'Inputs and eligible population'!L63*'Capacity (national prices)'!$C27</f>
        <v>0</v>
      </c>
      <c r="E27" s="126">
        <f>E$7*'Inputs and eligible population'!F63*'Capacity (national prices)'!$C27</f>
        <v>696.34389730484452</v>
      </c>
      <c r="F27" s="126">
        <f>F$7*'Inputs and eligible population'!G63*'Capacity (national prices)'!$C27</f>
        <v>1406.1158221826795</v>
      </c>
      <c r="G27" s="126">
        <f>G$7*'Inputs and eligible population'!H63*'Capacity (national prices)'!$C27</f>
        <v>2129.5099803182234</v>
      </c>
      <c r="H27" s="126">
        <f>H$7*'Inputs and eligible population'!I63*'Capacity (national prices)'!$C27</f>
        <v>2150.0423055409665</v>
      </c>
      <c r="I27" s="126">
        <f>I$7*'Inputs and eligible population'!J63*'Capacity (national prices)'!$C27</f>
        <v>2170.7725994902939</v>
      </c>
      <c r="J27" s="384"/>
      <c r="K27" s="495">
        <f>'Unit costs'!$N$26</f>
        <v>172</v>
      </c>
      <c r="L27" s="282">
        <f>$K27*D27/1000</f>
        <v>0</v>
      </c>
      <c r="M27" s="282">
        <f t="shared" ref="M27:Q30" si="4">$K27*E27/1000</f>
        <v>119.77115033643327</v>
      </c>
      <c r="N27" s="282">
        <f t="shared" si="4"/>
        <v>241.85192141542086</v>
      </c>
      <c r="O27" s="282">
        <f t="shared" si="4"/>
        <v>366.27571661473445</v>
      </c>
      <c r="P27" s="282">
        <f t="shared" si="4"/>
        <v>369.80727655304622</v>
      </c>
      <c r="Q27" s="282">
        <f t="shared" si="4"/>
        <v>373.37288711233055</v>
      </c>
      <c r="V27" s="131"/>
      <c r="AJ27" s="279"/>
      <c r="AK27" s="279"/>
      <c r="AL27" s="279"/>
      <c r="AM27" s="279"/>
      <c r="AN27" s="279"/>
    </row>
    <row r="28" spans="1:40" x14ac:dyDescent="0.35">
      <c r="A28" s="294"/>
      <c r="B28" s="197" t="s">
        <v>1000</v>
      </c>
      <c r="C28" s="285">
        <f>'Inputs and eligible population'!F49</f>
        <v>3</v>
      </c>
      <c r="D28" s="126">
        <f>'Inputs and eligible population'!L63*'Capacity (national prices)'!$C28</f>
        <v>0</v>
      </c>
      <c r="E28" s="126">
        <f>'Inputs and eligible population'!M63*'Capacity (national prices)'!$C28</f>
        <v>522.25792297863336</v>
      </c>
      <c r="F28" s="126">
        <f>'Inputs and eligible population'!N63*'Capacity (national prices)'!$C28</f>
        <v>1054.5868666370097</v>
      </c>
      <c r="G28" s="126">
        <f>'Inputs and eligible population'!O63*'Capacity (national prices)'!$C28</f>
        <v>1597.1324852386674</v>
      </c>
      <c r="H28" s="126">
        <f>'Inputs and eligible population'!P63*'Capacity (national prices)'!$C28</f>
        <v>1612.5317291557249</v>
      </c>
      <c r="I28" s="126">
        <f>'Inputs and eligible population'!Q63*'Capacity (national prices)'!$C28</f>
        <v>1628.0794496177205</v>
      </c>
      <c r="J28" s="384"/>
      <c r="K28" s="495">
        <f>'Unit costs'!$P$29</f>
        <v>132.25</v>
      </c>
      <c r="L28" s="282">
        <f>$K28*D28/1000</f>
        <v>0</v>
      </c>
      <c r="M28" s="282">
        <f t="shared" si="4"/>
        <v>69.068610313924268</v>
      </c>
      <c r="N28" s="282">
        <f t="shared" si="4"/>
        <v>139.46911311274454</v>
      </c>
      <c r="O28" s="282">
        <f t="shared" si="4"/>
        <v>211.22077117281376</v>
      </c>
      <c r="P28" s="282">
        <f t="shared" si="4"/>
        <v>213.25732118084463</v>
      </c>
      <c r="Q28" s="282">
        <f t="shared" si="4"/>
        <v>215.31350721194354</v>
      </c>
      <c r="V28" s="131"/>
      <c r="AJ28" s="279"/>
      <c r="AK28" s="279"/>
      <c r="AL28" s="279"/>
      <c r="AM28" s="279"/>
      <c r="AN28" s="279"/>
    </row>
    <row r="29" spans="1:40" x14ac:dyDescent="0.35">
      <c r="A29" s="294"/>
      <c r="B29" s="197" t="s">
        <v>1026</v>
      </c>
      <c r="C29" s="285">
        <f>'Inputs and eligible population'!F50</f>
        <v>4</v>
      </c>
      <c r="D29" s="126">
        <f>'Inputs and eligible population'!L64*'Capacity (national prices)'!$C29</f>
        <v>6896.9400054258604</v>
      </c>
      <c r="E29" s="126">
        <f>'Inputs and eligible population'!M64*'Capacity (national prices)'!$C29</f>
        <v>6267.0950757436003</v>
      </c>
      <c r="F29" s="126">
        <f>'Inputs and eligible population'!N64*'Capacity (national prices)'!$C29</f>
        <v>5624.463288730718</v>
      </c>
      <c r="G29" s="126">
        <f>'Inputs and eligible population'!O64*'Capacity (national prices)'!$C29</f>
        <v>4968.856620742521</v>
      </c>
      <c r="H29" s="126">
        <f>'Inputs and eligible population'!P64*'Capacity (national prices)'!$C29</f>
        <v>5016.7653795955885</v>
      </c>
      <c r="I29" s="126">
        <f>'Inputs and eligible population'!Q64*'Capacity (national prices)'!$C29</f>
        <v>5065.1360654773525</v>
      </c>
      <c r="J29" s="213"/>
      <c r="K29" s="495">
        <f>'Unit costs'!$N$26</f>
        <v>172</v>
      </c>
      <c r="L29" s="282">
        <f>$K29*D29/1000</f>
        <v>1186.273680933248</v>
      </c>
      <c r="M29" s="282">
        <f t="shared" si="4"/>
        <v>1077.9403530278994</v>
      </c>
      <c r="N29" s="282">
        <f t="shared" si="4"/>
        <v>967.40768566168344</v>
      </c>
      <c r="O29" s="282">
        <f t="shared" si="4"/>
        <v>854.64333876771366</v>
      </c>
      <c r="P29" s="282">
        <f t="shared" si="4"/>
        <v>862.88364529044122</v>
      </c>
      <c r="Q29" s="282">
        <f t="shared" si="4"/>
        <v>871.20340326210464</v>
      </c>
      <c r="V29" s="131"/>
      <c r="AJ29" s="279"/>
      <c r="AK29" s="279"/>
      <c r="AL29" s="279"/>
      <c r="AM29" s="279"/>
      <c r="AN29" s="279"/>
    </row>
    <row r="30" spans="1:40" x14ac:dyDescent="0.35">
      <c r="A30" s="294"/>
      <c r="B30" s="197" t="s">
        <v>1001</v>
      </c>
      <c r="C30" s="285">
        <f>'Inputs and eligible population'!F51</f>
        <v>3</v>
      </c>
      <c r="D30" s="126">
        <f>'Inputs and eligible population'!L64*'Capacity (national prices)'!$C30</f>
        <v>5172.7050040693957</v>
      </c>
      <c r="E30" s="126">
        <f>'Inputs and eligible population'!M64*'Capacity (national prices)'!$C30</f>
        <v>4700.3213068077002</v>
      </c>
      <c r="F30" s="126">
        <f>'Inputs and eligible population'!N64*'Capacity (national prices)'!$C30</f>
        <v>4218.3474665480389</v>
      </c>
      <c r="G30" s="126">
        <f>'Inputs and eligible population'!O64*'Capacity (national prices)'!$C30</f>
        <v>3726.6424655568908</v>
      </c>
      <c r="H30" s="126">
        <f>'Inputs and eligible population'!P64*'Capacity (national prices)'!$C30</f>
        <v>3762.5740346966913</v>
      </c>
      <c r="I30" s="126">
        <f>'Inputs and eligible population'!Q64*'Capacity (national prices)'!$C30</f>
        <v>3798.8520491080144</v>
      </c>
      <c r="J30" s="286"/>
      <c r="K30" s="495">
        <f>'Unit costs'!$P$29</f>
        <v>132.25</v>
      </c>
      <c r="L30" s="282">
        <f>$K30*D30/1000</f>
        <v>684.09023678817766</v>
      </c>
      <c r="M30" s="282">
        <f t="shared" si="4"/>
        <v>621.61749282531832</v>
      </c>
      <c r="N30" s="282">
        <f t="shared" si="4"/>
        <v>557.87645245097815</v>
      </c>
      <c r="O30" s="282">
        <f t="shared" si="4"/>
        <v>492.84846606989879</v>
      </c>
      <c r="P30" s="282">
        <f t="shared" si="4"/>
        <v>497.60041608863742</v>
      </c>
      <c r="Q30" s="282">
        <f t="shared" si="4"/>
        <v>502.39818349453492</v>
      </c>
      <c r="V30" s="131"/>
      <c r="AJ30" s="279"/>
      <c r="AK30" s="279"/>
      <c r="AL30" s="279"/>
      <c r="AM30" s="279"/>
      <c r="AN30" s="279"/>
    </row>
    <row r="31" spans="1:40" x14ac:dyDescent="0.35">
      <c r="A31" s="294"/>
      <c r="B31" s="304"/>
      <c r="C31" s="304"/>
      <c r="D31" s="184">
        <f t="shared" ref="D31:I31" si="5">SUM(D27:D30)</f>
        <v>12069.645009495256</v>
      </c>
      <c r="E31" s="184">
        <f t="shared" si="5"/>
        <v>12186.018202834779</v>
      </c>
      <c r="F31" s="184">
        <f t="shared" si="5"/>
        <v>12303.513444098446</v>
      </c>
      <c r="G31" s="184">
        <f t="shared" si="5"/>
        <v>12422.141551856304</v>
      </c>
      <c r="H31" s="184">
        <f t="shared" si="5"/>
        <v>12541.913448988973</v>
      </c>
      <c r="I31" s="184">
        <f t="shared" si="5"/>
        <v>12662.840163693381</v>
      </c>
      <c r="J31" s="286"/>
      <c r="K31" s="213"/>
      <c r="L31" s="283">
        <f t="shared" ref="L31:Q31" si="6">SUM(L27:L30)</f>
        <v>1870.3639177214257</v>
      </c>
      <c r="M31" s="283">
        <f t="shared" si="6"/>
        <v>1888.3976065035752</v>
      </c>
      <c r="N31" s="283">
        <f t="shared" si="6"/>
        <v>1906.605172640827</v>
      </c>
      <c r="O31" s="283">
        <f t="shared" si="6"/>
        <v>1924.9882926251607</v>
      </c>
      <c r="P31" s="283">
        <f t="shared" si="6"/>
        <v>1943.5486591129693</v>
      </c>
      <c r="Q31" s="283">
        <f t="shared" si="6"/>
        <v>1962.2879810809136</v>
      </c>
      <c r="V31" s="131"/>
      <c r="AJ31" s="279"/>
      <c r="AK31" s="279"/>
      <c r="AL31" s="279"/>
      <c r="AM31" s="279"/>
      <c r="AN31" s="279"/>
    </row>
    <row r="32" spans="1:40" x14ac:dyDescent="0.35">
      <c r="A32" s="294"/>
      <c r="B32" s="250"/>
      <c r="C32" s="250"/>
      <c r="D32" s="278" t="s">
        <v>842</v>
      </c>
      <c r="E32" s="184">
        <f>E31-$D$31</f>
        <v>116.37319333952291</v>
      </c>
      <c r="F32" s="184">
        <f>F31-$D$31</f>
        <v>233.8684346031896</v>
      </c>
      <c r="G32" s="184">
        <f>G31-$D$31</f>
        <v>352.49654236104834</v>
      </c>
      <c r="H32" s="184">
        <f>H31-$D$31</f>
        <v>472.26843949371687</v>
      </c>
      <c r="I32" s="184">
        <f>I31-$D$31</f>
        <v>593.19515419812524</v>
      </c>
      <c r="J32" s="286"/>
      <c r="K32" s="286"/>
      <c r="L32" s="482"/>
      <c r="M32" s="283">
        <f>M31-$L31</f>
        <v>18.033688782149511</v>
      </c>
      <c r="N32" s="283">
        <f>N31-$L31</f>
        <v>36.241254919401399</v>
      </c>
      <c r="O32" s="283">
        <f>O31-$L31</f>
        <v>54.624374903735088</v>
      </c>
      <c r="P32" s="283">
        <f>P31-$L31</f>
        <v>73.184741391543639</v>
      </c>
      <c r="Q32" s="283">
        <f>Q31-$L31</f>
        <v>91.924063359487945</v>
      </c>
      <c r="S32" s="131"/>
      <c r="T32" s="131"/>
      <c r="U32" s="131"/>
      <c r="V32" s="131"/>
      <c r="W32" s="131"/>
      <c r="X32" s="131"/>
      <c r="Y32" s="131"/>
      <c r="Z32" s="131"/>
      <c r="AJ32" s="279"/>
      <c r="AK32" s="279"/>
      <c r="AL32" s="279"/>
      <c r="AM32" s="279"/>
      <c r="AN32" s="279"/>
    </row>
    <row r="33" spans="1:40" x14ac:dyDescent="0.35">
      <c r="A33" s="286"/>
      <c r="B33" s="303"/>
      <c r="C33" s="292"/>
      <c r="D33" s="292"/>
      <c r="E33" s="293"/>
      <c r="F33" s="286"/>
      <c r="G33" s="286"/>
      <c r="H33" s="213"/>
      <c r="I33" s="213"/>
      <c r="J33" s="213"/>
      <c r="K33" s="213"/>
      <c r="L33" s="213"/>
      <c r="M33" s="213"/>
      <c r="N33" s="213"/>
      <c r="O33" s="213"/>
      <c r="P33" s="213"/>
      <c r="Q33" s="213"/>
      <c r="S33" s="131"/>
      <c r="T33" s="131"/>
      <c r="U33" s="131"/>
      <c r="V33" s="131"/>
      <c r="W33" s="131"/>
      <c r="X33" s="131"/>
      <c r="Y33" s="131"/>
      <c r="Z33" s="131"/>
      <c r="AJ33" s="279"/>
      <c r="AK33" s="279"/>
      <c r="AL33" s="279"/>
      <c r="AM33" s="279"/>
      <c r="AN33" s="279"/>
    </row>
    <row r="34" spans="1:40" x14ac:dyDescent="0.35">
      <c r="B34"/>
    </row>
    <row r="35" spans="1:40" x14ac:dyDescent="0.35">
      <c r="B35"/>
    </row>
    <row r="36" spans="1:40" x14ac:dyDescent="0.35">
      <c r="B36"/>
    </row>
    <row r="37" spans="1:40" x14ac:dyDescent="0.35">
      <c r="B37"/>
    </row>
    <row r="38" spans="1:40" x14ac:dyDescent="0.35">
      <c r="B38"/>
    </row>
  </sheetData>
  <sheetProtection algorithmName="SHA-512" hashValue="+j0keGsRn1qkKERzfPcBMKkzu5zfwcEwYhzw6p0k9nf67QgtCT+a5i3Wbe0jXD1J7vmCI3DzDvsA4skAT3GjxQ==" saltValue="wYMm9hv7AhBbFu4Qp/Zi+w=="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election activeCell="A7" sqref="A7"/>
    </sheetView>
  </sheetViews>
  <sheetFormatPr defaultColWidth="8.54296875" defaultRowHeight="14.5" x14ac:dyDescent="0.35"/>
  <cols>
    <col min="1" max="1" width="13.54296875" customWidth="1"/>
    <col min="2" max="2" width="32.54296875" customWidth="1"/>
    <col min="3" max="4" width="12.81640625" customWidth="1"/>
    <col min="5" max="6" width="11.81640625" customWidth="1"/>
    <col min="7" max="7" width="10.453125" style="423" customWidth="1"/>
    <col min="8" max="8" width="11.81640625" customWidth="1"/>
    <col min="9" max="9" width="12.54296875" customWidth="1"/>
    <col min="10" max="10" width="10.179687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1796875" bestFit="1" customWidth="1"/>
    <col min="23" max="23" width="10" customWidth="1"/>
  </cols>
  <sheetData>
    <row r="1" spans="1:24" ht="21" customHeight="1" x14ac:dyDescent="0.35">
      <c r="A1" s="637" t="s">
        <v>856</v>
      </c>
      <c r="B1" s="637"/>
      <c r="C1" s="637"/>
      <c r="D1" s="637"/>
      <c r="E1" s="637"/>
      <c r="F1" s="637"/>
      <c r="G1" s="637"/>
      <c r="H1" s="637"/>
      <c r="I1" s="637"/>
      <c r="J1" s="637"/>
      <c r="K1" s="637"/>
      <c r="L1" s="637"/>
      <c r="M1" s="637"/>
    </row>
    <row r="2" spans="1:24" ht="14.5" customHeight="1" thickBot="1" x14ac:dyDescent="0.4">
      <c r="A2" s="127"/>
      <c r="B2" s="127"/>
      <c r="C2" s="127"/>
      <c r="D2" s="127"/>
      <c r="E2" s="127"/>
      <c r="F2" s="127"/>
      <c r="G2" s="127"/>
      <c r="H2" s="127"/>
      <c r="I2" s="127"/>
      <c r="J2" s="127"/>
      <c r="K2" s="127"/>
      <c r="L2" s="127"/>
      <c r="M2" s="127"/>
    </row>
    <row r="3" spans="1:24" ht="14.5" customHeight="1" x14ac:dyDescent="0.35">
      <c r="A3" s="127"/>
      <c r="B3" s="645" t="s">
        <v>40</v>
      </c>
      <c r="C3" s="646"/>
      <c r="D3" s="127"/>
      <c r="E3" s="127"/>
      <c r="F3" s="127"/>
      <c r="G3" s="127"/>
      <c r="H3" s="127"/>
      <c r="I3" s="127"/>
      <c r="J3" s="127"/>
      <c r="K3" s="127"/>
      <c r="L3" s="127"/>
      <c r="M3" s="127"/>
    </row>
    <row r="4" spans="1:24" ht="14.5" customHeight="1" x14ac:dyDescent="0.35">
      <c r="A4" s="127"/>
      <c r="B4" s="647" t="s">
        <v>857</v>
      </c>
      <c r="C4" s="672" t="s">
        <v>858</v>
      </c>
      <c r="D4" s="648" t="s">
        <v>859</v>
      </c>
      <c r="E4" s="127"/>
      <c r="F4" s="127"/>
      <c r="G4" s="127"/>
      <c r="H4" s="127"/>
      <c r="I4" s="127"/>
      <c r="J4" s="127"/>
      <c r="K4" s="127"/>
      <c r="L4" s="127"/>
      <c r="M4" s="127"/>
    </row>
    <row r="5" spans="1:24" ht="14.5" customHeight="1" x14ac:dyDescent="0.35">
      <c r="A5" s="127"/>
      <c r="B5" s="647" t="s">
        <v>860</v>
      </c>
      <c r="C5" s="673">
        <v>9100</v>
      </c>
      <c r="D5" s="127"/>
      <c r="E5" s="127"/>
      <c r="F5" s="127"/>
      <c r="G5" s="127"/>
      <c r="H5" s="127"/>
      <c r="I5" s="127"/>
      <c r="J5" s="127"/>
      <c r="K5" s="127"/>
      <c r="L5" s="127"/>
      <c r="M5" s="127"/>
    </row>
    <row r="6" spans="1:24" ht="14.5" customHeight="1" x14ac:dyDescent="0.35">
      <c r="A6" s="127"/>
      <c r="B6" s="647" t="s">
        <v>861</v>
      </c>
      <c r="C6" s="674">
        <v>0.13800000000000001</v>
      </c>
      <c r="D6" s="127"/>
      <c r="E6" s="127"/>
      <c r="F6" s="127"/>
      <c r="G6" s="127"/>
      <c r="H6" s="127"/>
      <c r="I6" s="127"/>
      <c r="J6" s="127"/>
      <c r="K6" s="127"/>
      <c r="L6" s="127"/>
      <c r="M6" s="127"/>
    </row>
    <row r="7" spans="1:24" ht="14.5" customHeight="1" x14ac:dyDescent="0.35">
      <c r="A7" s="127"/>
      <c r="B7" s="647" t="s">
        <v>862</v>
      </c>
      <c r="C7" s="674">
        <v>0.23780000000000001</v>
      </c>
      <c r="D7" s="127"/>
      <c r="E7" s="127"/>
      <c r="F7" s="127"/>
      <c r="G7" s="127"/>
      <c r="H7" s="127"/>
      <c r="I7" s="127"/>
      <c r="J7" s="127"/>
      <c r="K7" s="127"/>
      <c r="L7" s="127"/>
      <c r="M7" s="127"/>
    </row>
    <row r="8" spans="1:24" ht="14.5" customHeight="1" x14ac:dyDescent="0.35">
      <c r="A8" s="127"/>
      <c r="B8" s="647" t="s">
        <v>863</v>
      </c>
      <c r="C8" s="674">
        <v>5.0000000000000001E-3</v>
      </c>
      <c r="D8" s="127"/>
      <c r="E8" s="127"/>
      <c r="F8" s="127"/>
      <c r="G8" s="127"/>
      <c r="H8" s="127"/>
      <c r="I8" s="127"/>
      <c r="J8" s="127"/>
      <c r="K8" s="127"/>
      <c r="L8" s="127"/>
      <c r="M8" s="127"/>
    </row>
    <row r="9" spans="1:24" ht="14.5" customHeight="1" thickBot="1" x14ac:dyDescent="0.4">
      <c r="A9" s="127"/>
      <c r="B9" s="649" t="s">
        <v>864</v>
      </c>
      <c r="C9" s="675">
        <v>0</v>
      </c>
      <c r="D9" s="127"/>
      <c r="E9" s="127"/>
      <c r="F9" s="127"/>
      <c r="G9" s="127"/>
      <c r="H9" s="127"/>
      <c r="I9" s="127"/>
      <c r="J9" s="127"/>
      <c r="K9" s="127"/>
      <c r="L9" s="127"/>
      <c r="M9" s="127"/>
      <c r="R9" s="650"/>
    </row>
    <row r="10" spans="1:24" ht="15" thickBot="1" x14ac:dyDescent="0.4">
      <c r="P10" s="651"/>
      <c r="R10" s="651"/>
    </row>
    <row r="11" spans="1:24" ht="109.5" customHeight="1" thickBot="1" x14ac:dyDescent="0.4">
      <c r="A11" s="652" t="s">
        <v>865</v>
      </c>
      <c r="B11" s="653" t="s">
        <v>866</v>
      </c>
      <c r="C11" s="654" t="s">
        <v>867</v>
      </c>
      <c r="D11" s="654" t="s">
        <v>868</v>
      </c>
      <c r="E11" s="654" t="s">
        <v>869</v>
      </c>
      <c r="F11" s="654" t="s">
        <v>870</v>
      </c>
      <c r="G11" s="655" t="s">
        <v>871</v>
      </c>
      <c r="H11" s="654" t="s">
        <v>872</v>
      </c>
      <c r="I11" s="656" t="s">
        <v>873</v>
      </c>
      <c r="J11" s="657" t="s">
        <v>874</v>
      </c>
      <c r="K11" s="658" t="s">
        <v>838</v>
      </c>
      <c r="L11" s="659" t="s">
        <v>875</v>
      </c>
      <c r="M11" s="660" t="s">
        <v>876</v>
      </c>
      <c r="O11" t="s">
        <v>858</v>
      </c>
      <c r="P11" t="s">
        <v>877</v>
      </c>
      <c r="Q11" t="s">
        <v>878</v>
      </c>
      <c r="R11" t="s">
        <v>879</v>
      </c>
    </row>
    <row r="12" spans="1:24" x14ac:dyDescent="0.35">
      <c r="A12" s="661">
        <v>2</v>
      </c>
      <c r="B12" s="662" t="s">
        <v>880</v>
      </c>
      <c r="C12" s="757">
        <f>HLOOKUP($C$4,$O$11:$R$41,2,FALSE)</f>
        <v>23615</v>
      </c>
      <c r="D12" s="663">
        <f>C12*$C$9</f>
        <v>0</v>
      </c>
      <c r="E12" s="663">
        <f>C12*(100%+$C$9)</f>
        <v>23615</v>
      </c>
      <c r="F12" s="663">
        <f>(E12-$C$5)*$C$6</f>
        <v>2003.0700000000002</v>
      </c>
      <c r="G12" s="664">
        <f>E12*$C$8</f>
        <v>118.075</v>
      </c>
      <c r="H12" s="663">
        <f>E12*$C$7</f>
        <v>5615.6469999999999</v>
      </c>
      <c r="I12" s="665">
        <f>SUM(E12:H12)</f>
        <v>31351.792000000001</v>
      </c>
      <c r="J12" s="761">
        <v>1560</v>
      </c>
      <c r="K12" s="666">
        <f>ROUND(I12/J12,2)</f>
        <v>20.100000000000001</v>
      </c>
      <c r="L12" s="667">
        <v>0.41</v>
      </c>
      <c r="M12" s="668">
        <v>0.83</v>
      </c>
      <c r="O12" s="650">
        <v>23615</v>
      </c>
      <c r="P12" s="279">
        <v>29029</v>
      </c>
      <c r="Q12">
        <v>28166</v>
      </c>
      <c r="R12">
        <v>24873</v>
      </c>
      <c r="V12" s="170"/>
      <c r="W12" s="308"/>
      <c r="X12" s="155"/>
    </row>
    <row r="13" spans="1:24" x14ac:dyDescent="0.35">
      <c r="A13" s="436">
        <v>2</v>
      </c>
      <c r="B13" s="427" t="s">
        <v>881</v>
      </c>
      <c r="C13" s="758">
        <f>HLOOKUP($C$4,$O$11:$R$41,3,FALSE)</f>
        <v>23615</v>
      </c>
      <c r="D13" s="424">
        <f t="shared" ref="D13:D47" si="0">C13*$C$9</f>
        <v>0</v>
      </c>
      <c r="E13" s="424">
        <f t="shared" ref="E13:E47" si="1">C13*(100%+$C$9)</f>
        <v>23615</v>
      </c>
      <c r="F13" s="424">
        <f t="shared" ref="F13:F47" si="2">(E13-$C$5)*$C$6</f>
        <v>2003.0700000000002</v>
      </c>
      <c r="G13" s="428">
        <f t="shared" ref="G13:G47" si="3">E13*$C$8</f>
        <v>118.075</v>
      </c>
      <c r="H13" s="424">
        <f t="shared" ref="H13:H47" si="4">E13*$C$7</f>
        <v>5615.6469999999999</v>
      </c>
      <c r="I13" s="665">
        <f t="shared" ref="I13:I47" si="5">SUM(E13:H13)</f>
        <v>31351.792000000001</v>
      </c>
      <c r="J13" s="309">
        <v>1560</v>
      </c>
      <c r="K13" s="666">
        <f t="shared" ref="K13:K47" si="6">ROUND(I13/J13,2)</f>
        <v>20.100000000000001</v>
      </c>
      <c r="L13" s="425">
        <v>0.41</v>
      </c>
      <c r="M13" s="632">
        <v>0.83</v>
      </c>
      <c r="O13" s="650">
        <v>23615</v>
      </c>
      <c r="P13" s="279">
        <v>29029</v>
      </c>
      <c r="Q13">
        <v>28166</v>
      </c>
      <c r="R13">
        <v>24873</v>
      </c>
      <c r="V13" s="483" t="s">
        <v>882</v>
      </c>
      <c r="X13" s="157"/>
    </row>
    <row r="14" spans="1:24" x14ac:dyDescent="0.35">
      <c r="A14" s="436">
        <v>3</v>
      </c>
      <c r="B14" s="427" t="s">
        <v>883</v>
      </c>
      <c r="C14" s="758">
        <f>HLOOKUP($C$4,$O$11:$R$41,4,FALSE)</f>
        <v>24071</v>
      </c>
      <c r="D14" s="424">
        <f t="shared" si="0"/>
        <v>0</v>
      </c>
      <c r="E14" s="424">
        <f t="shared" si="1"/>
        <v>24071</v>
      </c>
      <c r="F14" s="424">
        <f t="shared" si="2"/>
        <v>2065.998</v>
      </c>
      <c r="G14" s="428">
        <f t="shared" si="3"/>
        <v>120.355</v>
      </c>
      <c r="H14" s="424">
        <f t="shared" si="4"/>
        <v>5724.0838000000003</v>
      </c>
      <c r="I14" s="665">
        <f t="shared" si="5"/>
        <v>31981.436799999999</v>
      </c>
      <c r="J14" s="309">
        <v>1560</v>
      </c>
      <c r="K14" s="666">
        <f t="shared" si="6"/>
        <v>20.5</v>
      </c>
      <c r="L14" s="425">
        <v>0.35</v>
      </c>
      <c r="M14" s="632">
        <v>0.69</v>
      </c>
      <c r="O14" s="650">
        <v>24071</v>
      </c>
      <c r="P14" s="279">
        <v>29485</v>
      </c>
      <c r="Q14">
        <v>28622</v>
      </c>
      <c r="R14">
        <v>25329</v>
      </c>
      <c r="S14" t="s">
        <v>858</v>
      </c>
      <c r="V14" s="484" t="s">
        <v>884</v>
      </c>
      <c r="W14" s="763">
        <v>260</v>
      </c>
      <c r="X14" s="157"/>
    </row>
    <row r="15" spans="1:24" x14ac:dyDescent="0.35">
      <c r="A15" s="436">
        <v>3</v>
      </c>
      <c r="B15" s="427" t="s">
        <v>885</v>
      </c>
      <c r="C15" s="758">
        <f>HLOOKUP($C$4,$O$11:$R$41,5,FALSE)</f>
        <v>25674</v>
      </c>
      <c r="D15" s="424">
        <f t="shared" si="0"/>
        <v>0</v>
      </c>
      <c r="E15" s="424">
        <f t="shared" si="1"/>
        <v>25674</v>
      </c>
      <c r="F15" s="424">
        <f t="shared" si="2"/>
        <v>2287.212</v>
      </c>
      <c r="G15" s="428">
        <f t="shared" si="3"/>
        <v>128.37</v>
      </c>
      <c r="H15" s="424">
        <f t="shared" si="4"/>
        <v>6105.2772000000004</v>
      </c>
      <c r="I15" s="665">
        <f t="shared" si="5"/>
        <v>34194.859199999999</v>
      </c>
      <c r="J15" s="309">
        <v>1560</v>
      </c>
      <c r="K15" s="666">
        <f t="shared" si="6"/>
        <v>21.92</v>
      </c>
      <c r="L15" s="425">
        <v>0.35</v>
      </c>
      <c r="M15" s="632">
        <v>0.69</v>
      </c>
      <c r="O15" s="650">
        <v>25674</v>
      </c>
      <c r="P15" s="279">
        <v>31088</v>
      </c>
      <c r="Q15">
        <v>30225</v>
      </c>
      <c r="R15">
        <v>26958</v>
      </c>
      <c r="S15" t="s">
        <v>886</v>
      </c>
      <c r="V15" s="484" t="s">
        <v>887</v>
      </c>
      <c r="W15" s="763">
        <v>-40</v>
      </c>
      <c r="X15" s="157"/>
    </row>
    <row r="16" spans="1:24" x14ac:dyDescent="0.35">
      <c r="A16" s="436">
        <v>4</v>
      </c>
      <c r="B16" s="427" t="s">
        <v>888</v>
      </c>
      <c r="C16" s="758">
        <f>HLOOKUP($C$4,$O$11:$R$41,6,FALSE)</f>
        <v>26530</v>
      </c>
      <c r="D16" s="424">
        <f t="shared" si="0"/>
        <v>0</v>
      </c>
      <c r="E16" s="424">
        <f t="shared" si="1"/>
        <v>26530</v>
      </c>
      <c r="F16" s="424">
        <f t="shared" si="2"/>
        <v>2405.34</v>
      </c>
      <c r="G16" s="428">
        <f t="shared" si="3"/>
        <v>132.65</v>
      </c>
      <c r="H16" s="424">
        <f t="shared" si="4"/>
        <v>6308.8340000000007</v>
      </c>
      <c r="I16" s="665">
        <f t="shared" si="5"/>
        <v>35376.824000000001</v>
      </c>
      <c r="J16" s="309">
        <v>1560</v>
      </c>
      <c r="K16" s="666">
        <f t="shared" si="6"/>
        <v>22.68</v>
      </c>
      <c r="L16" s="425">
        <v>0.3</v>
      </c>
      <c r="M16" s="632">
        <v>0.6</v>
      </c>
      <c r="O16" s="650">
        <v>26530</v>
      </c>
      <c r="P16" s="279">
        <v>31944</v>
      </c>
      <c r="Q16">
        <v>31081</v>
      </c>
      <c r="R16">
        <v>27857</v>
      </c>
      <c r="S16" t="s">
        <v>889</v>
      </c>
      <c r="V16" s="484" t="s">
        <v>890</v>
      </c>
      <c r="W16" s="763">
        <v>-2</v>
      </c>
      <c r="X16" s="157"/>
    </row>
    <row r="17" spans="1:24" x14ac:dyDescent="0.35">
      <c r="A17" s="436">
        <v>4</v>
      </c>
      <c r="B17" s="427" t="s">
        <v>891</v>
      </c>
      <c r="C17" s="758">
        <f>HLOOKUP($C$4,$O$11:$R$41,7,FALSE)</f>
        <v>29114</v>
      </c>
      <c r="D17" s="424">
        <f t="shared" si="0"/>
        <v>0</v>
      </c>
      <c r="E17" s="424">
        <f t="shared" si="1"/>
        <v>29114</v>
      </c>
      <c r="F17" s="424">
        <f t="shared" si="2"/>
        <v>2761.9320000000002</v>
      </c>
      <c r="G17" s="428">
        <f t="shared" si="3"/>
        <v>145.57</v>
      </c>
      <c r="H17" s="424">
        <f t="shared" si="4"/>
        <v>6923.3092000000006</v>
      </c>
      <c r="I17" s="665">
        <f t="shared" si="5"/>
        <v>38944.811200000004</v>
      </c>
      <c r="J17" s="309">
        <v>1560</v>
      </c>
      <c r="K17" s="666">
        <f t="shared" si="6"/>
        <v>24.96</v>
      </c>
      <c r="L17" s="425">
        <v>0.3</v>
      </c>
      <c r="M17" s="632">
        <v>0.6</v>
      </c>
      <c r="O17" s="650">
        <v>29114</v>
      </c>
      <c r="P17" s="279">
        <v>34937</v>
      </c>
      <c r="Q17">
        <v>33665</v>
      </c>
      <c r="R17">
        <v>30570</v>
      </c>
      <c r="S17" t="s">
        <v>892</v>
      </c>
      <c r="V17" s="484" t="s">
        <v>893</v>
      </c>
      <c r="W17" s="763">
        <v>-10</v>
      </c>
      <c r="X17" s="157"/>
    </row>
    <row r="18" spans="1:24" x14ac:dyDescent="0.35">
      <c r="A18" s="436">
        <v>5</v>
      </c>
      <c r="B18" s="427" t="s">
        <v>894</v>
      </c>
      <c r="C18" s="758">
        <f>HLOOKUP($C$4,$O$11:$R$41,8,FALSE)</f>
        <v>29970</v>
      </c>
      <c r="D18" s="424">
        <f t="shared" si="0"/>
        <v>0</v>
      </c>
      <c r="E18" s="424">
        <f t="shared" si="1"/>
        <v>29970</v>
      </c>
      <c r="F18" s="424">
        <f t="shared" si="2"/>
        <v>2880.0600000000004</v>
      </c>
      <c r="G18" s="428">
        <f t="shared" si="3"/>
        <v>149.85</v>
      </c>
      <c r="H18" s="424">
        <f t="shared" si="4"/>
        <v>7126.866</v>
      </c>
      <c r="I18" s="665">
        <f t="shared" si="5"/>
        <v>40126.775999999998</v>
      </c>
      <c r="J18" s="309">
        <v>1560</v>
      </c>
      <c r="K18" s="666">
        <f t="shared" si="6"/>
        <v>25.72</v>
      </c>
      <c r="L18" s="425">
        <v>0.3</v>
      </c>
      <c r="M18" s="632">
        <v>0.6</v>
      </c>
      <c r="O18" s="650">
        <v>29970</v>
      </c>
      <c r="P18" s="279">
        <v>35964</v>
      </c>
      <c r="Q18">
        <v>34521</v>
      </c>
      <c r="R18">
        <v>31469</v>
      </c>
      <c r="V18" s="484"/>
      <c r="W18" s="766">
        <v>208</v>
      </c>
      <c r="X18" s="157"/>
    </row>
    <row r="19" spans="1:24" x14ac:dyDescent="0.35">
      <c r="A19" s="436">
        <v>5</v>
      </c>
      <c r="B19" s="427" t="s">
        <v>895</v>
      </c>
      <c r="C19" s="758">
        <f>HLOOKUP($C$4,$O$11:$R$41,9,FALSE)</f>
        <v>32324</v>
      </c>
      <c r="D19" s="424">
        <f t="shared" si="0"/>
        <v>0</v>
      </c>
      <c r="E19" s="424">
        <f t="shared" si="1"/>
        <v>32324</v>
      </c>
      <c r="F19" s="424">
        <f t="shared" si="2"/>
        <v>3204.9120000000003</v>
      </c>
      <c r="G19" s="428">
        <f t="shared" si="3"/>
        <v>161.62</v>
      </c>
      <c r="H19" s="424">
        <f t="shared" si="4"/>
        <v>7686.6472000000003</v>
      </c>
      <c r="I19" s="665">
        <f t="shared" si="5"/>
        <v>43377.179199999999</v>
      </c>
      <c r="J19" s="309">
        <v>1560</v>
      </c>
      <c r="K19" s="666">
        <f t="shared" si="6"/>
        <v>27.81</v>
      </c>
      <c r="L19" s="425">
        <v>0.3</v>
      </c>
      <c r="M19" s="632">
        <v>0.6</v>
      </c>
      <c r="O19" s="650">
        <v>32324</v>
      </c>
      <c r="P19" s="279">
        <v>38789</v>
      </c>
      <c r="Q19">
        <v>37173</v>
      </c>
      <c r="R19">
        <v>33941</v>
      </c>
      <c r="V19" s="484" t="s">
        <v>896</v>
      </c>
      <c r="W19" s="767">
        <f>7.5*W18</f>
        <v>1560</v>
      </c>
      <c r="X19" s="157"/>
    </row>
    <row r="20" spans="1:24" x14ac:dyDescent="0.35">
      <c r="A20" s="436">
        <v>5</v>
      </c>
      <c r="B20" s="427" t="s">
        <v>897</v>
      </c>
      <c r="C20" s="758">
        <f>HLOOKUP($C$4,$O$11:$R$41,10,FALSE)</f>
        <v>36483</v>
      </c>
      <c r="D20" s="424">
        <f t="shared" si="0"/>
        <v>0</v>
      </c>
      <c r="E20" s="424">
        <f t="shared" si="1"/>
        <v>36483</v>
      </c>
      <c r="F20" s="424">
        <f t="shared" si="2"/>
        <v>3778.8540000000003</v>
      </c>
      <c r="G20" s="428">
        <f t="shared" si="3"/>
        <v>182.41499999999999</v>
      </c>
      <c r="H20" s="424">
        <f t="shared" si="4"/>
        <v>8675.6574000000001</v>
      </c>
      <c r="I20" s="665">
        <f t="shared" si="5"/>
        <v>49119.926399999997</v>
      </c>
      <c r="J20" s="309">
        <v>1560</v>
      </c>
      <c r="K20" s="666">
        <f t="shared" si="6"/>
        <v>31.49</v>
      </c>
      <c r="L20" s="425">
        <v>0.3</v>
      </c>
      <c r="M20" s="632">
        <v>0.6</v>
      </c>
      <c r="O20" s="650">
        <v>36483</v>
      </c>
      <c r="P20" s="279">
        <v>43780</v>
      </c>
      <c r="Q20">
        <v>41956</v>
      </c>
      <c r="R20">
        <v>38308</v>
      </c>
      <c r="V20" s="158"/>
      <c r="X20" s="157"/>
    </row>
    <row r="21" spans="1:24" x14ac:dyDescent="0.35">
      <c r="A21" s="436">
        <v>6</v>
      </c>
      <c r="B21" s="427" t="s">
        <v>898</v>
      </c>
      <c r="C21" s="758">
        <f>HLOOKUP($C$4,$O$11:$R$41,11,FALSE)</f>
        <v>37338</v>
      </c>
      <c r="D21" s="424">
        <f t="shared" si="0"/>
        <v>0</v>
      </c>
      <c r="E21" s="424">
        <f t="shared" si="1"/>
        <v>37338</v>
      </c>
      <c r="F21" s="424">
        <f t="shared" si="2"/>
        <v>3896.8440000000005</v>
      </c>
      <c r="G21" s="428">
        <f t="shared" si="3"/>
        <v>186.69</v>
      </c>
      <c r="H21" s="424">
        <f t="shared" si="4"/>
        <v>8878.9763999999996</v>
      </c>
      <c r="I21" s="665">
        <f t="shared" si="5"/>
        <v>50300.510399999999</v>
      </c>
      <c r="J21" s="309">
        <v>1560</v>
      </c>
      <c r="K21" s="666">
        <f t="shared" si="6"/>
        <v>32.24</v>
      </c>
      <c r="L21" s="425">
        <v>0.3</v>
      </c>
      <c r="M21" s="632">
        <v>0.6</v>
      </c>
      <c r="O21" s="650">
        <v>37338</v>
      </c>
      <c r="P21" s="279">
        <v>44806</v>
      </c>
      <c r="Q21">
        <v>42939</v>
      </c>
      <c r="R21">
        <v>39205</v>
      </c>
      <c r="V21" s="484"/>
      <c r="X21" s="157"/>
    </row>
    <row r="22" spans="1:24" x14ac:dyDescent="0.35">
      <c r="A22" s="436">
        <v>6</v>
      </c>
      <c r="B22" s="427" t="s">
        <v>727</v>
      </c>
      <c r="C22" s="758">
        <f>HLOOKUP($C$4,$O$11:$R$41,12,FALSE)</f>
        <v>39405</v>
      </c>
      <c r="D22" s="424">
        <f t="shared" si="0"/>
        <v>0</v>
      </c>
      <c r="E22" s="424">
        <f t="shared" si="1"/>
        <v>39405</v>
      </c>
      <c r="F22" s="424">
        <f t="shared" si="2"/>
        <v>4182.09</v>
      </c>
      <c r="G22" s="428">
        <f t="shared" si="3"/>
        <v>197.02500000000001</v>
      </c>
      <c r="H22" s="424">
        <f t="shared" si="4"/>
        <v>9370.509</v>
      </c>
      <c r="I22" s="665">
        <f t="shared" si="5"/>
        <v>53154.623999999996</v>
      </c>
      <c r="J22" s="309">
        <v>1560</v>
      </c>
      <c r="K22" s="666">
        <f t="shared" si="6"/>
        <v>34.07</v>
      </c>
      <c r="L22" s="425">
        <v>0.3</v>
      </c>
      <c r="M22" s="632">
        <v>0.6</v>
      </c>
      <c r="O22" s="650">
        <v>39405</v>
      </c>
      <c r="P22" s="279">
        <v>47286</v>
      </c>
      <c r="Q22">
        <v>45140</v>
      </c>
      <c r="R22">
        <v>41376</v>
      </c>
      <c r="V22" s="483" t="s">
        <v>899</v>
      </c>
      <c r="X22" s="157"/>
    </row>
    <row r="23" spans="1:24" x14ac:dyDescent="0.35">
      <c r="A23" s="436">
        <v>6</v>
      </c>
      <c r="B23" s="427" t="s">
        <v>900</v>
      </c>
      <c r="C23" s="758">
        <f>HLOOKUP($C$4,$O$11:$R$41,13,FALSE)</f>
        <v>44962</v>
      </c>
      <c r="D23" s="424">
        <f t="shared" si="0"/>
        <v>0</v>
      </c>
      <c r="E23" s="424">
        <f t="shared" si="1"/>
        <v>44962</v>
      </c>
      <c r="F23" s="424">
        <f t="shared" si="2"/>
        <v>4948.9560000000001</v>
      </c>
      <c r="G23" s="428">
        <f t="shared" si="3"/>
        <v>224.81</v>
      </c>
      <c r="H23" s="424">
        <f t="shared" si="4"/>
        <v>10691.963600000001</v>
      </c>
      <c r="I23" s="665">
        <f t="shared" si="5"/>
        <v>60827.729599999999</v>
      </c>
      <c r="J23" s="309">
        <v>1560</v>
      </c>
      <c r="K23" s="666">
        <f t="shared" si="6"/>
        <v>38.99</v>
      </c>
      <c r="L23" s="425">
        <v>0.3</v>
      </c>
      <c r="M23" s="632">
        <v>0.6</v>
      </c>
      <c r="O23" s="650">
        <v>44962</v>
      </c>
      <c r="P23" s="279">
        <v>53134</v>
      </c>
      <c r="Q23">
        <v>50697</v>
      </c>
      <c r="R23">
        <v>47084</v>
      </c>
      <c r="V23" s="484" t="s">
        <v>901</v>
      </c>
      <c r="W23" s="763">
        <v>43</v>
      </c>
      <c r="X23" s="157"/>
    </row>
    <row r="24" spans="1:24" x14ac:dyDescent="0.35">
      <c r="A24" s="436">
        <v>7</v>
      </c>
      <c r="B24" s="427" t="s">
        <v>902</v>
      </c>
      <c r="C24" s="758">
        <f>HLOOKUP($C$4,$O$11:$R$41,14,FALSE)</f>
        <v>46148</v>
      </c>
      <c r="D24" s="424">
        <f t="shared" si="0"/>
        <v>0</v>
      </c>
      <c r="E24" s="424">
        <f t="shared" si="1"/>
        <v>46148</v>
      </c>
      <c r="F24" s="424">
        <f t="shared" si="2"/>
        <v>5112.6240000000007</v>
      </c>
      <c r="G24" s="428">
        <f t="shared" si="3"/>
        <v>230.74</v>
      </c>
      <c r="H24" s="424">
        <f t="shared" si="4"/>
        <v>10973.994400000001</v>
      </c>
      <c r="I24" s="665">
        <f t="shared" si="5"/>
        <v>62465.358400000005</v>
      </c>
      <c r="J24" s="309">
        <v>1560</v>
      </c>
      <c r="K24" s="666">
        <f t="shared" si="6"/>
        <v>40.04</v>
      </c>
      <c r="L24" s="425">
        <v>0.3</v>
      </c>
      <c r="M24" s="632">
        <v>0.6</v>
      </c>
      <c r="O24" s="650">
        <v>46148</v>
      </c>
      <c r="P24" s="279">
        <v>54320</v>
      </c>
      <c r="Q24">
        <v>51883</v>
      </c>
      <c r="R24">
        <v>48270</v>
      </c>
      <c r="V24" s="484"/>
      <c r="W24" s="763"/>
      <c r="X24" s="157"/>
    </row>
    <row r="25" spans="1:24" x14ac:dyDescent="0.35">
      <c r="A25" s="436">
        <v>7</v>
      </c>
      <c r="B25" s="427" t="s">
        <v>721</v>
      </c>
      <c r="C25" s="758">
        <f>HLOOKUP($C$4,$O$11:$R$41,15,FALSE)</f>
        <v>48526</v>
      </c>
      <c r="D25" s="424">
        <f t="shared" si="0"/>
        <v>0</v>
      </c>
      <c r="E25" s="424">
        <f t="shared" si="1"/>
        <v>48526</v>
      </c>
      <c r="F25" s="424">
        <f t="shared" si="2"/>
        <v>5440.7880000000005</v>
      </c>
      <c r="G25" s="428">
        <f t="shared" si="3"/>
        <v>242.63</v>
      </c>
      <c r="H25" s="424">
        <f t="shared" si="4"/>
        <v>11539.4828</v>
      </c>
      <c r="I25" s="665">
        <f t="shared" si="5"/>
        <v>65748.900800000003</v>
      </c>
      <c r="J25" s="309">
        <v>1560</v>
      </c>
      <c r="K25" s="666">
        <f t="shared" si="6"/>
        <v>42.15</v>
      </c>
      <c r="L25" s="425">
        <v>0.3</v>
      </c>
      <c r="M25" s="632">
        <v>0.6</v>
      </c>
      <c r="O25" s="650">
        <v>48526</v>
      </c>
      <c r="P25" s="279">
        <v>56698</v>
      </c>
      <c r="Q25">
        <v>54261</v>
      </c>
      <c r="R25">
        <v>50648</v>
      </c>
      <c r="V25" s="484" t="s">
        <v>903</v>
      </c>
      <c r="W25" s="763">
        <v>10</v>
      </c>
      <c r="X25" s="157"/>
    </row>
    <row r="26" spans="1:24" x14ac:dyDescent="0.35">
      <c r="A26" s="436">
        <v>7</v>
      </c>
      <c r="B26" s="427" t="s">
        <v>904</v>
      </c>
      <c r="C26" s="758">
        <f>HLOOKUP($C$4,$O$11:$R$41,16,FALSE)</f>
        <v>52809</v>
      </c>
      <c r="D26" s="424">
        <f t="shared" si="0"/>
        <v>0</v>
      </c>
      <c r="E26" s="424">
        <f t="shared" si="1"/>
        <v>52809</v>
      </c>
      <c r="F26" s="424">
        <f t="shared" si="2"/>
        <v>6031.8420000000006</v>
      </c>
      <c r="G26" s="428">
        <f t="shared" si="3"/>
        <v>264.04500000000002</v>
      </c>
      <c r="H26" s="424">
        <f t="shared" si="4"/>
        <v>12557.9802</v>
      </c>
      <c r="I26" s="665">
        <f t="shared" si="5"/>
        <v>71662.867200000008</v>
      </c>
      <c r="J26" s="309">
        <v>1560</v>
      </c>
      <c r="K26" s="666">
        <f t="shared" si="6"/>
        <v>45.94</v>
      </c>
      <c r="L26" s="425">
        <v>0.3</v>
      </c>
      <c r="M26" s="632">
        <v>0.6</v>
      </c>
      <c r="O26" s="650">
        <v>52809</v>
      </c>
      <c r="P26" s="279">
        <v>60981</v>
      </c>
      <c r="Q26">
        <v>58544</v>
      </c>
      <c r="R26">
        <v>54931</v>
      </c>
      <c r="V26" s="484" t="s">
        <v>905</v>
      </c>
      <c r="W26" s="763">
        <v>-2</v>
      </c>
      <c r="X26" s="157"/>
    </row>
    <row r="27" spans="1:24" x14ac:dyDescent="0.35">
      <c r="A27" s="436" t="s">
        <v>906</v>
      </c>
      <c r="B27" s="427" t="s">
        <v>726</v>
      </c>
      <c r="C27" s="758">
        <f>HLOOKUP($C$4,$O$11:$R$41,17,FALSE)</f>
        <v>53754.676500000001</v>
      </c>
      <c r="D27" s="424">
        <f t="shared" si="0"/>
        <v>0</v>
      </c>
      <c r="E27" s="424">
        <f t="shared" si="1"/>
        <v>53754.676500000001</v>
      </c>
      <c r="F27" s="424">
        <f t="shared" si="2"/>
        <v>6162.3453570000011</v>
      </c>
      <c r="G27" s="428">
        <f t="shared" si="3"/>
        <v>268.77338250000003</v>
      </c>
      <c r="H27" s="424">
        <f t="shared" si="4"/>
        <v>12782.862071700001</v>
      </c>
      <c r="I27" s="665">
        <f t="shared" si="5"/>
        <v>72968.657311200004</v>
      </c>
      <c r="J27" s="309">
        <v>1560</v>
      </c>
      <c r="K27" s="666">
        <f t="shared" si="6"/>
        <v>46.77</v>
      </c>
      <c r="L27" s="425">
        <v>0.3</v>
      </c>
      <c r="M27" s="632">
        <v>0.6</v>
      </c>
      <c r="O27" s="650">
        <v>53754.676500000001</v>
      </c>
      <c r="P27" s="279">
        <v>61927</v>
      </c>
      <c r="Q27">
        <v>59490</v>
      </c>
      <c r="R27">
        <v>55877</v>
      </c>
      <c r="V27" s="484"/>
      <c r="W27" s="766">
        <v>8</v>
      </c>
      <c r="X27" s="157"/>
    </row>
    <row r="28" spans="1:24" x14ac:dyDescent="0.35">
      <c r="A28" s="436" t="s">
        <v>906</v>
      </c>
      <c r="B28" s="427" t="s">
        <v>728</v>
      </c>
      <c r="C28" s="758">
        <f>HLOOKUP($C$4,$O$11:$R$41,18,FALSE)</f>
        <v>56454</v>
      </c>
      <c r="D28" s="424">
        <f t="shared" si="0"/>
        <v>0</v>
      </c>
      <c r="E28" s="424">
        <f t="shared" si="1"/>
        <v>56454</v>
      </c>
      <c r="F28" s="424">
        <f t="shared" si="2"/>
        <v>6534.8520000000008</v>
      </c>
      <c r="G28" s="428">
        <f t="shared" si="3"/>
        <v>282.27</v>
      </c>
      <c r="H28" s="424">
        <f t="shared" si="4"/>
        <v>13424.761200000001</v>
      </c>
      <c r="I28" s="665">
        <f t="shared" si="5"/>
        <v>76695.883199999997</v>
      </c>
      <c r="J28" s="309">
        <v>1560</v>
      </c>
      <c r="K28" s="666">
        <f t="shared" si="6"/>
        <v>49.16</v>
      </c>
      <c r="L28" s="425">
        <v>0.3</v>
      </c>
      <c r="M28" s="632">
        <v>0.6</v>
      </c>
      <c r="O28" s="650">
        <v>56454</v>
      </c>
      <c r="P28" s="279">
        <v>64626</v>
      </c>
      <c r="Q28">
        <v>62189</v>
      </c>
      <c r="R28">
        <v>58576</v>
      </c>
      <c r="V28" s="484" t="s">
        <v>907</v>
      </c>
      <c r="W28" s="767">
        <f>W27*4*W23</f>
        <v>1376</v>
      </c>
      <c r="X28" s="157"/>
    </row>
    <row r="29" spans="1:24" x14ac:dyDescent="0.35">
      <c r="A29" s="436" t="s">
        <v>906</v>
      </c>
      <c r="B29" s="427" t="s">
        <v>908</v>
      </c>
      <c r="C29" s="758">
        <f>HLOOKUP($C$4,$O$11:$R$41,19,FALSE)</f>
        <v>60504</v>
      </c>
      <c r="D29" s="424">
        <f t="shared" si="0"/>
        <v>0</v>
      </c>
      <c r="E29" s="424">
        <f t="shared" si="1"/>
        <v>60504</v>
      </c>
      <c r="F29" s="424">
        <f t="shared" si="2"/>
        <v>7093.7520000000004</v>
      </c>
      <c r="G29" s="428">
        <f t="shared" si="3"/>
        <v>302.52</v>
      </c>
      <c r="H29" s="424">
        <f t="shared" si="4"/>
        <v>14387.851200000001</v>
      </c>
      <c r="I29" s="665">
        <f t="shared" si="5"/>
        <v>82288.123200000016</v>
      </c>
      <c r="J29" s="309">
        <v>1560</v>
      </c>
      <c r="K29" s="666">
        <f t="shared" si="6"/>
        <v>52.75</v>
      </c>
      <c r="L29" s="425">
        <v>0.3</v>
      </c>
      <c r="M29" s="632">
        <v>0.6</v>
      </c>
      <c r="O29" s="650">
        <v>60504</v>
      </c>
      <c r="P29" s="279">
        <v>68676</v>
      </c>
      <c r="Q29">
        <v>66239</v>
      </c>
      <c r="R29">
        <v>62626</v>
      </c>
      <c r="V29" s="158"/>
      <c r="X29" s="157"/>
    </row>
    <row r="30" spans="1:24" x14ac:dyDescent="0.35">
      <c r="A30" s="436" t="s">
        <v>909</v>
      </c>
      <c r="B30" s="427" t="s">
        <v>910</v>
      </c>
      <c r="C30" s="758">
        <f>HLOOKUP($C$4,$O$11:$R$41,20,FALSE)</f>
        <v>62215</v>
      </c>
      <c r="D30" s="424">
        <f t="shared" si="0"/>
        <v>0</v>
      </c>
      <c r="E30" s="424">
        <f t="shared" si="1"/>
        <v>62215</v>
      </c>
      <c r="F30" s="424">
        <f t="shared" si="2"/>
        <v>7329.8700000000008</v>
      </c>
      <c r="G30" s="428">
        <f t="shared" si="3"/>
        <v>311.07499999999999</v>
      </c>
      <c r="H30" s="424">
        <f t="shared" si="4"/>
        <v>14794.727000000001</v>
      </c>
      <c r="I30" s="665">
        <f t="shared" si="5"/>
        <v>84650.671999999991</v>
      </c>
      <c r="J30" s="309">
        <v>1560</v>
      </c>
      <c r="K30" s="666">
        <f t="shared" si="6"/>
        <v>54.26</v>
      </c>
      <c r="L30" s="425">
        <v>0.3</v>
      </c>
      <c r="M30" s="632">
        <v>0.6</v>
      </c>
      <c r="O30" s="650">
        <v>62215</v>
      </c>
      <c r="P30" s="279">
        <v>70387</v>
      </c>
      <c r="Q30">
        <v>67950</v>
      </c>
      <c r="R30">
        <v>64337</v>
      </c>
      <c r="V30" s="484"/>
      <c r="X30" s="157"/>
    </row>
    <row r="31" spans="1:24" x14ac:dyDescent="0.35">
      <c r="A31" s="436" t="s">
        <v>909</v>
      </c>
      <c r="B31" s="427" t="s">
        <v>911</v>
      </c>
      <c r="C31" s="758">
        <f>HLOOKUP($C$4,$O$11:$R$41,21,FALSE)</f>
        <v>66246</v>
      </c>
      <c r="D31" s="424">
        <f t="shared" si="0"/>
        <v>0</v>
      </c>
      <c r="E31" s="424">
        <f t="shared" si="1"/>
        <v>66246</v>
      </c>
      <c r="F31" s="424">
        <f t="shared" si="2"/>
        <v>7886.148000000001</v>
      </c>
      <c r="G31" s="428">
        <f t="shared" si="3"/>
        <v>331.23</v>
      </c>
      <c r="H31" s="424">
        <f t="shared" si="4"/>
        <v>15753.2988</v>
      </c>
      <c r="I31" s="665">
        <f t="shared" si="5"/>
        <v>90216.676800000001</v>
      </c>
      <c r="J31" s="309">
        <v>1560</v>
      </c>
      <c r="K31" s="666">
        <f t="shared" si="6"/>
        <v>57.83</v>
      </c>
      <c r="L31" s="425">
        <v>0.3</v>
      </c>
      <c r="M31" s="632">
        <v>0.6</v>
      </c>
      <c r="O31" s="650">
        <v>66246</v>
      </c>
      <c r="P31" s="279">
        <v>74418</v>
      </c>
      <c r="Q31">
        <v>71981</v>
      </c>
      <c r="R31">
        <v>68368</v>
      </c>
      <c r="V31" s="483" t="s">
        <v>912</v>
      </c>
      <c r="X31" s="157"/>
    </row>
    <row r="32" spans="1:24" x14ac:dyDescent="0.35">
      <c r="A32" s="436" t="s">
        <v>909</v>
      </c>
      <c r="B32" s="427" t="s">
        <v>913</v>
      </c>
      <c r="C32" s="758">
        <f>HLOOKUP($C$4,$O$11:$R$41,22,FALSE)</f>
        <v>72293</v>
      </c>
      <c r="D32" s="424">
        <f t="shared" si="0"/>
        <v>0</v>
      </c>
      <c r="E32" s="424">
        <f t="shared" si="1"/>
        <v>72293</v>
      </c>
      <c r="F32" s="424">
        <f t="shared" si="2"/>
        <v>8720.634</v>
      </c>
      <c r="G32" s="428">
        <f t="shared" si="3"/>
        <v>361.46500000000003</v>
      </c>
      <c r="H32" s="424">
        <f t="shared" si="4"/>
        <v>17191.275400000002</v>
      </c>
      <c r="I32" s="665">
        <f t="shared" si="5"/>
        <v>98566.374400000001</v>
      </c>
      <c r="J32" s="309">
        <v>1560</v>
      </c>
      <c r="K32" s="666">
        <f t="shared" si="6"/>
        <v>63.18</v>
      </c>
      <c r="L32" s="425">
        <v>0.3</v>
      </c>
      <c r="M32" s="632">
        <v>0.6</v>
      </c>
      <c r="O32" s="650">
        <v>72293</v>
      </c>
      <c r="P32" s="279">
        <v>80465</v>
      </c>
      <c r="Q32">
        <v>78028</v>
      </c>
      <c r="R32">
        <v>74415</v>
      </c>
      <c r="V32" s="484" t="s">
        <v>914</v>
      </c>
      <c r="W32" s="763">
        <v>44.7</v>
      </c>
      <c r="X32" s="157"/>
    </row>
    <row r="33" spans="1:24" x14ac:dyDescent="0.35">
      <c r="A33" s="436" t="s">
        <v>915</v>
      </c>
      <c r="B33" s="427" t="s">
        <v>916</v>
      </c>
      <c r="C33" s="758">
        <f>HLOOKUP($C$4,$O$11:$R$41,23,FALSE)</f>
        <v>74290</v>
      </c>
      <c r="D33" s="424">
        <f t="shared" si="0"/>
        <v>0</v>
      </c>
      <c r="E33" s="424">
        <f t="shared" si="1"/>
        <v>74290</v>
      </c>
      <c r="F33" s="424">
        <f t="shared" si="2"/>
        <v>8996.2200000000012</v>
      </c>
      <c r="G33" s="428">
        <f t="shared" si="3"/>
        <v>371.45</v>
      </c>
      <c r="H33" s="424">
        <f t="shared" si="4"/>
        <v>17666.162</v>
      </c>
      <c r="I33" s="665">
        <f t="shared" si="5"/>
        <v>101323.83199999999</v>
      </c>
      <c r="J33" s="309">
        <v>1560</v>
      </c>
      <c r="K33" s="666">
        <f t="shared" si="6"/>
        <v>64.95</v>
      </c>
      <c r="L33" s="425">
        <v>0.3</v>
      </c>
      <c r="M33" s="632">
        <v>0.6</v>
      </c>
      <c r="O33" s="650">
        <v>74290</v>
      </c>
      <c r="P33" s="279">
        <v>82462</v>
      </c>
      <c r="Q33">
        <v>80025</v>
      </c>
      <c r="R33">
        <v>76412</v>
      </c>
      <c r="V33" s="484" t="s">
        <v>917</v>
      </c>
      <c r="W33" s="763">
        <v>48</v>
      </c>
      <c r="X33" s="157"/>
    </row>
    <row r="34" spans="1:24" x14ac:dyDescent="0.35">
      <c r="A34" s="436" t="s">
        <v>915</v>
      </c>
      <c r="B34" s="427" t="s">
        <v>918</v>
      </c>
      <c r="C34" s="758">
        <f>HLOOKUP($C$4,$O$11:$R$41,24,FALSE)</f>
        <v>78814</v>
      </c>
      <c r="D34" s="424">
        <f t="shared" si="0"/>
        <v>0</v>
      </c>
      <c r="E34" s="424">
        <f t="shared" si="1"/>
        <v>78814</v>
      </c>
      <c r="F34" s="424">
        <f t="shared" si="2"/>
        <v>9620.5320000000011</v>
      </c>
      <c r="G34" s="428">
        <f t="shared" si="3"/>
        <v>394.07</v>
      </c>
      <c r="H34" s="424">
        <f t="shared" si="4"/>
        <v>18741.9692</v>
      </c>
      <c r="I34" s="665">
        <f t="shared" si="5"/>
        <v>107570.57120000001</v>
      </c>
      <c r="J34" s="309">
        <v>1560</v>
      </c>
      <c r="K34" s="666">
        <f t="shared" si="6"/>
        <v>68.959999999999994</v>
      </c>
      <c r="L34" s="425">
        <v>0.3</v>
      </c>
      <c r="M34" s="632">
        <v>0.6</v>
      </c>
      <c r="O34" s="650">
        <v>78814</v>
      </c>
      <c r="P34" s="279">
        <v>86986</v>
      </c>
      <c r="Q34">
        <v>84549</v>
      </c>
      <c r="R34">
        <v>80936</v>
      </c>
      <c r="V34" s="484" t="s">
        <v>919</v>
      </c>
      <c r="W34" s="763">
        <v>2145.6</v>
      </c>
      <c r="X34" s="157"/>
    </row>
    <row r="35" spans="1:24" x14ac:dyDescent="0.35">
      <c r="A35" s="436" t="s">
        <v>915</v>
      </c>
      <c r="B35" s="427" t="s">
        <v>920</v>
      </c>
      <c r="C35" s="758">
        <f>HLOOKUP($C$4,$O$11:$R$41,25,FALSE)</f>
        <v>85601</v>
      </c>
      <c r="D35" s="424">
        <f t="shared" si="0"/>
        <v>0</v>
      </c>
      <c r="E35" s="424">
        <f t="shared" si="1"/>
        <v>85601</v>
      </c>
      <c r="F35" s="424">
        <f t="shared" si="2"/>
        <v>10557.138000000001</v>
      </c>
      <c r="G35" s="428">
        <f t="shared" si="3"/>
        <v>428.005</v>
      </c>
      <c r="H35" s="424">
        <f t="shared" si="4"/>
        <v>20355.917799999999</v>
      </c>
      <c r="I35" s="665">
        <f t="shared" si="5"/>
        <v>116942.06080000001</v>
      </c>
      <c r="J35" s="309">
        <v>1560</v>
      </c>
      <c r="K35" s="666">
        <f t="shared" si="6"/>
        <v>74.959999999999994</v>
      </c>
      <c r="L35" s="425">
        <v>0.3</v>
      </c>
      <c r="M35" s="632">
        <v>0.6</v>
      </c>
      <c r="O35" s="650">
        <v>85601</v>
      </c>
      <c r="P35" s="279">
        <v>93773</v>
      </c>
      <c r="Q35">
        <v>91336</v>
      </c>
      <c r="R35">
        <v>87723</v>
      </c>
      <c r="V35" s="484" t="s">
        <v>921</v>
      </c>
      <c r="W35" s="764">
        <v>0.6</v>
      </c>
      <c r="X35" s="157"/>
    </row>
    <row r="36" spans="1:24" x14ac:dyDescent="0.35">
      <c r="A36" s="436" t="s">
        <v>922</v>
      </c>
      <c r="B36" s="427" t="s">
        <v>923</v>
      </c>
      <c r="C36" s="758">
        <f>HLOOKUP($C$4,$O$11:$R$41,26,FALSE)</f>
        <v>88168</v>
      </c>
      <c r="D36" s="424">
        <f t="shared" si="0"/>
        <v>0</v>
      </c>
      <c r="E36" s="424">
        <f t="shared" si="1"/>
        <v>88168</v>
      </c>
      <c r="F36" s="424">
        <f t="shared" si="2"/>
        <v>10911.384</v>
      </c>
      <c r="G36" s="428">
        <f t="shared" si="3"/>
        <v>440.84000000000003</v>
      </c>
      <c r="H36" s="424">
        <f t="shared" si="4"/>
        <v>20966.350399999999</v>
      </c>
      <c r="I36" s="665">
        <f t="shared" si="5"/>
        <v>120486.5744</v>
      </c>
      <c r="J36" s="309">
        <v>1560</v>
      </c>
      <c r="K36" s="666">
        <f t="shared" si="6"/>
        <v>77.23</v>
      </c>
      <c r="L36" s="425">
        <v>0.3</v>
      </c>
      <c r="M36" s="632">
        <v>0.6</v>
      </c>
      <c r="O36" s="650">
        <v>88168</v>
      </c>
      <c r="P36" s="279">
        <v>96340</v>
      </c>
      <c r="Q36">
        <v>93903</v>
      </c>
      <c r="R36">
        <v>90290</v>
      </c>
      <c r="V36" s="484" t="s">
        <v>924</v>
      </c>
      <c r="W36" s="765">
        <f>ROUND(W35*W34,0)</f>
        <v>1287</v>
      </c>
      <c r="X36" s="157"/>
    </row>
    <row r="37" spans="1:24" x14ac:dyDescent="0.35">
      <c r="A37" s="436" t="s">
        <v>922</v>
      </c>
      <c r="B37" s="427" t="s">
        <v>925</v>
      </c>
      <c r="C37" s="758">
        <f>HLOOKUP($C$4,$O$11:$R$41,27,FALSE)</f>
        <v>93572</v>
      </c>
      <c r="D37" s="424">
        <f t="shared" si="0"/>
        <v>0</v>
      </c>
      <c r="E37" s="424">
        <f t="shared" si="1"/>
        <v>93572</v>
      </c>
      <c r="F37" s="424">
        <f t="shared" si="2"/>
        <v>11657.136</v>
      </c>
      <c r="G37" s="428">
        <f t="shared" si="3"/>
        <v>467.86</v>
      </c>
      <c r="H37" s="424">
        <f t="shared" si="4"/>
        <v>22251.421600000001</v>
      </c>
      <c r="I37" s="665">
        <f t="shared" si="5"/>
        <v>127948.4176</v>
      </c>
      <c r="J37" s="309">
        <v>1560</v>
      </c>
      <c r="K37" s="666">
        <f t="shared" si="6"/>
        <v>82.02</v>
      </c>
      <c r="L37" s="425">
        <v>0.3</v>
      </c>
      <c r="M37" s="632">
        <v>0.6</v>
      </c>
      <c r="O37" s="650">
        <v>93572</v>
      </c>
      <c r="P37" s="279">
        <v>101744</v>
      </c>
      <c r="Q37">
        <v>99307</v>
      </c>
      <c r="R37">
        <v>95694</v>
      </c>
      <c r="V37" s="159"/>
      <c r="W37" s="160"/>
      <c r="X37" s="161"/>
    </row>
    <row r="38" spans="1:24" x14ac:dyDescent="0.35">
      <c r="A38" s="436" t="s">
        <v>922</v>
      </c>
      <c r="B38" s="427" t="s">
        <v>926</v>
      </c>
      <c r="C38" s="758">
        <f>HLOOKUP($C$4,$O$11:$R$41,28,FALSE)</f>
        <v>101677</v>
      </c>
      <c r="D38" s="424">
        <f t="shared" si="0"/>
        <v>0</v>
      </c>
      <c r="E38" s="424">
        <f t="shared" si="1"/>
        <v>101677</v>
      </c>
      <c r="F38" s="424">
        <f t="shared" si="2"/>
        <v>12775.626</v>
      </c>
      <c r="G38" s="428">
        <f t="shared" si="3"/>
        <v>508.38499999999999</v>
      </c>
      <c r="H38" s="424">
        <f t="shared" si="4"/>
        <v>24178.7906</v>
      </c>
      <c r="I38" s="665">
        <f t="shared" si="5"/>
        <v>139139.80160000001</v>
      </c>
      <c r="J38" s="309">
        <v>1560</v>
      </c>
      <c r="K38" s="666">
        <f t="shared" si="6"/>
        <v>89.19</v>
      </c>
      <c r="L38" s="425">
        <v>0.3</v>
      </c>
      <c r="M38" s="632">
        <v>0.6</v>
      </c>
      <c r="O38" s="650">
        <v>101677</v>
      </c>
      <c r="P38" s="279">
        <v>109849</v>
      </c>
      <c r="Q38">
        <v>107412</v>
      </c>
      <c r="R38">
        <v>103799</v>
      </c>
    </row>
    <row r="39" spans="1:24" x14ac:dyDescent="0.35">
      <c r="A39" s="436">
        <v>9</v>
      </c>
      <c r="B39" s="427" t="s">
        <v>927</v>
      </c>
      <c r="C39" s="758">
        <f>HLOOKUP($C$4,$O$11:$R$41,29,FALSE)</f>
        <v>105385</v>
      </c>
      <c r="D39" s="424">
        <f t="shared" si="0"/>
        <v>0</v>
      </c>
      <c r="E39" s="424">
        <f t="shared" si="1"/>
        <v>105385</v>
      </c>
      <c r="F39" s="424">
        <f t="shared" si="2"/>
        <v>13287.330000000002</v>
      </c>
      <c r="G39" s="428">
        <f t="shared" si="3"/>
        <v>526.92499999999995</v>
      </c>
      <c r="H39" s="424">
        <f t="shared" si="4"/>
        <v>25060.553</v>
      </c>
      <c r="I39" s="665">
        <f t="shared" si="5"/>
        <v>144259.80800000002</v>
      </c>
      <c r="J39" s="309">
        <v>1560</v>
      </c>
      <c r="K39" s="666">
        <f t="shared" si="6"/>
        <v>92.47</v>
      </c>
      <c r="L39" s="425">
        <v>0.3</v>
      </c>
      <c r="M39" s="632">
        <v>0.6</v>
      </c>
      <c r="O39" s="650">
        <v>105385</v>
      </c>
      <c r="P39" s="279">
        <v>113557</v>
      </c>
      <c r="Q39">
        <v>111120</v>
      </c>
      <c r="R39">
        <v>107507</v>
      </c>
    </row>
    <row r="40" spans="1:24" x14ac:dyDescent="0.35">
      <c r="A40" s="436">
        <v>9</v>
      </c>
      <c r="B40" s="427" t="s">
        <v>928</v>
      </c>
      <c r="C40" s="758">
        <f>HLOOKUP($C$4,$O$11:$R$41,30,FALSE)</f>
        <v>111740</v>
      </c>
      <c r="D40" s="424">
        <f t="shared" si="0"/>
        <v>0</v>
      </c>
      <c r="E40" s="424">
        <f t="shared" si="1"/>
        <v>111740</v>
      </c>
      <c r="F40" s="424">
        <f t="shared" si="2"/>
        <v>14164.320000000002</v>
      </c>
      <c r="G40" s="428">
        <f t="shared" si="3"/>
        <v>558.70000000000005</v>
      </c>
      <c r="H40" s="424">
        <f t="shared" si="4"/>
        <v>26571.772000000001</v>
      </c>
      <c r="I40" s="665">
        <f t="shared" si="5"/>
        <v>153034.79200000002</v>
      </c>
      <c r="J40" s="309">
        <v>1560</v>
      </c>
      <c r="K40" s="666">
        <f t="shared" si="6"/>
        <v>98.1</v>
      </c>
      <c r="L40" s="425">
        <v>0.3</v>
      </c>
      <c r="M40" s="632">
        <v>0.6</v>
      </c>
      <c r="O40" s="650">
        <v>111740</v>
      </c>
      <c r="P40" s="279">
        <v>119912</v>
      </c>
      <c r="Q40">
        <v>117475</v>
      </c>
      <c r="R40">
        <v>113862</v>
      </c>
    </row>
    <row r="41" spans="1:24" x14ac:dyDescent="0.35">
      <c r="A41" s="436">
        <v>9</v>
      </c>
      <c r="B41" s="427" t="s">
        <v>929</v>
      </c>
      <c r="C41" s="758">
        <f>HLOOKUP($C$4,$O$11:$R$41,31,FALSE)</f>
        <v>121271</v>
      </c>
      <c r="D41" s="424">
        <f t="shared" si="0"/>
        <v>0</v>
      </c>
      <c r="E41" s="424">
        <f t="shared" si="1"/>
        <v>121271</v>
      </c>
      <c r="F41" s="424">
        <f t="shared" si="2"/>
        <v>15479.598000000002</v>
      </c>
      <c r="G41" s="428">
        <f t="shared" si="3"/>
        <v>606.35500000000002</v>
      </c>
      <c r="H41" s="424">
        <f t="shared" si="4"/>
        <v>28838.2438</v>
      </c>
      <c r="I41" s="665">
        <f t="shared" si="5"/>
        <v>166195.19680000001</v>
      </c>
      <c r="J41" s="309">
        <v>1560</v>
      </c>
      <c r="K41" s="666">
        <f t="shared" si="6"/>
        <v>106.54</v>
      </c>
      <c r="L41" s="425">
        <v>0.3</v>
      </c>
      <c r="M41" s="632">
        <v>0.6</v>
      </c>
      <c r="O41" s="650">
        <v>121271</v>
      </c>
      <c r="P41" s="279">
        <v>129443</v>
      </c>
      <c r="Q41">
        <v>127006</v>
      </c>
      <c r="R41">
        <v>123393</v>
      </c>
    </row>
    <row r="42" spans="1:24" x14ac:dyDescent="0.35">
      <c r="A42" s="436" t="s">
        <v>912</v>
      </c>
      <c r="B42" s="147" t="s">
        <v>930</v>
      </c>
      <c r="C42" s="758">
        <v>73113</v>
      </c>
      <c r="D42" s="424">
        <f t="shared" si="0"/>
        <v>0</v>
      </c>
      <c r="E42" s="424">
        <f t="shared" si="1"/>
        <v>73113</v>
      </c>
      <c r="F42" s="424">
        <f t="shared" si="2"/>
        <v>8833.7939999999999</v>
      </c>
      <c r="G42" s="428">
        <f t="shared" si="3"/>
        <v>365.565</v>
      </c>
      <c r="H42" s="424">
        <f>C42*0.2068</f>
        <v>15119.768400000001</v>
      </c>
      <c r="I42" s="665">
        <f t="shared" si="5"/>
        <v>97432.127399999998</v>
      </c>
      <c r="J42" s="309">
        <f>W36</f>
        <v>1287</v>
      </c>
      <c r="K42" s="666">
        <f t="shared" si="6"/>
        <v>75.7</v>
      </c>
      <c r="L42" s="426">
        <v>0</v>
      </c>
      <c r="M42" s="633">
        <v>0</v>
      </c>
    </row>
    <row r="43" spans="1:24" x14ac:dyDescent="0.35">
      <c r="A43" s="436" t="s">
        <v>912</v>
      </c>
      <c r="B43" s="147" t="s">
        <v>931</v>
      </c>
      <c r="C43" s="758">
        <f>(C42+C44)/2</f>
        <v>91721.5</v>
      </c>
      <c r="D43" s="424">
        <f t="shared" si="0"/>
        <v>0</v>
      </c>
      <c r="E43" s="424">
        <f t="shared" si="1"/>
        <v>91721.5</v>
      </c>
      <c r="F43" s="424">
        <f t="shared" si="2"/>
        <v>11401.767000000002</v>
      </c>
      <c r="G43" s="428">
        <f t="shared" si="3"/>
        <v>458.60750000000002</v>
      </c>
      <c r="H43" s="424">
        <f>C43*0.2068</f>
        <v>18968.0062</v>
      </c>
      <c r="I43" s="665">
        <f t="shared" si="5"/>
        <v>122549.88070000001</v>
      </c>
      <c r="J43" s="309">
        <f>W36</f>
        <v>1287</v>
      </c>
      <c r="K43" s="666">
        <f t="shared" si="6"/>
        <v>95.22</v>
      </c>
      <c r="L43" s="426">
        <v>0</v>
      </c>
      <c r="M43" s="633">
        <v>0</v>
      </c>
    </row>
    <row r="44" spans="1:24" x14ac:dyDescent="0.35">
      <c r="A44" s="669" t="s">
        <v>912</v>
      </c>
      <c r="B44" s="670" t="s">
        <v>931</v>
      </c>
      <c r="C44" s="759">
        <v>110330</v>
      </c>
      <c r="D44" s="488">
        <f t="shared" si="0"/>
        <v>0</v>
      </c>
      <c r="E44" s="424">
        <f t="shared" si="1"/>
        <v>110330</v>
      </c>
      <c r="F44" s="424">
        <f t="shared" si="2"/>
        <v>13969.740000000002</v>
      </c>
      <c r="G44" s="428">
        <f t="shared" si="3"/>
        <v>551.65</v>
      </c>
      <c r="H44" s="488">
        <f>C44*0.2068</f>
        <v>22816.244000000002</v>
      </c>
      <c r="I44" s="665">
        <f t="shared" si="5"/>
        <v>147667.63399999999</v>
      </c>
      <c r="J44" s="309">
        <f>W36</f>
        <v>1287</v>
      </c>
      <c r="K44" s="666">
        <f t="shared" si="6"/>
        <v>114.74</v>
      </c>
      <c r="L44" s="426">
        <v>0</v>
      </c>
      <c r="M44" s="633">
        <v>0</v>
      </c>
    </row>
    <row r="45" spans="1:24" x14ac:dyDescent="0.35">
      <c r="A45" s="436" t="s">
        <v>899</v>
      </c>
      <c r="B45" s="147" t="s">
        <v>932</v>
      </c>
      <c r="C45" s="758">
        <v>105504</v>
      </c>
      <c r="D45" s="424">
        <f t="shared" si="0"/>
        <v>0</v>
      </c>
      <c r="E45" s="424">
        <f t="shared" si="1"/>
        <v>105504</v>
      </c>
      <c r="F45" s="424">
        <f t="shared" si="2"/>
        <v>13303.752</v>
      </c>
      <c r="G45" s="428">
        <f t="shared" si="3"/>
        <v>527.52</v>
      </c>
      <c r="H45" s="424">
        <f t="shared" si="4"/>
        <v>25088.851200000001</v>
      </c>
      <c r="I45" s="665">
        <f t="shared" si="5"/>
        <v>144424.1232</v>
      </c>
      <c r="J45" s="309">
        <v>1376</v>
      </c>
      <c r="K45" s="666">
        <f t="shared" si="6"/>
        <v>104.96</v>
      </c>
      <c r="L45" s="426">
        <v>0</v>
      </c>
      <c r="M45" s="633">
        <v>0</v>
      </c>
    </row>
    <row r="46" spans="1:24" x14ac:dyDescent="0.35">
      <c r="A46" s="436" t="s">
        <v>899</v>
      </c>
      <c r="B46" s="147" t="s">
        <v>718</v>
      </c>
      <c r="C46" s="758">
        <f>(4*114894+6*126018)/10</f>
        <v>121568.4</v>
      </c>
      <c r="D46" s="424">
        <f t="shared" si="0"/>
        <v>0</v>
      </c>
      <c r="E46" s="424">
        <f t="shared" si="1"/>
        <v>121568.4</v>
      </c>
      <c r="F46" s="424">
        <f t="shared" si="2"/>
        <v>15520.6392</v>
      </c>
      <c r="G46" s="428">
        <f t="shared" si="3"/>
        <v>607.84199999999998</v>
      </c>
      <c r="H46" s="424">
        <f t="shared" si="4"/>
        <v>28908.965520000002</v>
      </c>
      <c r="I46" s="665">
        <f t="shared" si="5"/>
        <v>166605.84672</v>
      </c>
      <c r="J46" s="309">
        <v>1376</v>
      </c>
      <c r="K46" s="666">
        <f t="shared" si="6"/>
        <v>121.08</v>
      </c>
      <c r="L46" s="426">
        <v>0</v>
      </c>
      <c r="M46" s="633">
        <v>0</v>
      </c>
    </row>
    <row r="47" spans="1:24" ht="15" thickBot="1" x14ac:dyDescent="0.4">
      <c r="A47" s="437" t="s">
        <v>899</v>
      </c>
      <c r="B47" s="429" t="s">
        <v>933</v>
      </c>
      <c r="C47" s="760">
        <v>139882</v>
      </c>
      <c r="D47" s="430">
        <f t="shared" si="0"/>
        <v>0</v>
      </c>
      <c r="E47" s="430">
        <f t="shared" si="1"/>
        <v>139882</v>
      </c>
      <c r="F47" s="430">
        <f t="shared" si="2"/>
        <v>18047.916000000001</v>
      </c>
      <c r="G47" s="671">
        <f t="shared" si="3"/>
        <v>699.41</v>
      </c>
      <c r="H47" s="430">
        <f t="shared" si="4"/>
        <v>33263.939600000005</v>
      </c>
      <c r="I47" s="431">
        <f t="shared" si="5"/>
        <v>191893.26560000001</v>
      </c>
      <c r="J47" s="762">
        <v>1376</v>
      </c>
      <c r="K47" s="634">
        <f t="shared" si="6"/>
        <v>139.46</v>
      </c>
      <c r="L47" s="635">
        <v>0</v>
      </c>
      <c r="M47" s="636">
        <v>0</v>
      </c>
    </row>
    <row r="96" ht="23.5" customHeight="1" x14ac:dyDescent="0.35"/>
    <row r="97" ht="55.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DHqkBK+mqfHTbNQMB1Rz9uoIRlG/g7WWcDyweSulkFqIJ4z16mZvvvjt/o+O+D3sQTzWeA4k/FqkZytFDTdzEQ==" saltValue="gOxuEfqGklXZo8zATwwVLQ==" spinCount="100000" sheet="1" objects="1" scenarios="1"/>
  <protectedRanges>
    <protectedRange sqref="W32:W36" name="Range6"/>
    <protectedRange sqref="W23:W28" name="Range5"/>
    <protectedRange sqref="W14:W19" name="Range4"/>
    <protectedRange sqref="J12:J47" name="Range3"/>
    <protectedRange sqref="C12:C47" name="Range2"/>
    <protectedRange sqref="C4:C9" name="Range1"/>
  </protectedRanges>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election activeCell="N16" sqref="N16"/>
    </sheetView>
  </sheetViews>
  <sheetFormatPr defaultColWidth="9.1796875" defaultRowHeight="15.5" x14ac:dyDescent="0.35"/>
  <cols>
    <col min="1" max="1" width="28.81640625" style="683" customWidth="1"/>
    <col min="2" max="2" width="7.1796875" style="752" customWidth="1"/>
    <col min="3" max="3" width="8.1796875" style="683" customWidth="1"/>
    <col min="4" max="5" width="8.1796875" style="754" customWidth="1"/>
    <col min="6" max="8" width="8.1796875" style="752" customWidth="1"/>
    <col min="9" max="13" width="8.1796875" style="683" customWidth="1"/>
    <col min="14" max="14" width="8.81640625" style="683" customWidth="1"/>
    <col min="15" max="24" width="8.1796875" style="683" customWidth="1"/>
    <col min="25" max="25" width="12.1796875" style="683" customWidth="1"/>
    <col min="26" max="43" width="8.1796875" style="683" customWidth="1"/>
    <col min="44" max="16384" width="9.1796875" style="683"/>
  </cols>
  <sheetData>
    <row r="1" spans="1:51" ht="30.65" customHeight="1" x14ac:dyDescent="0.35">
      <c r="A1" s="678" t="s">
        <v>936</v>
      </c>
      <c r="B1" s="679"/>
      <c r="C1" s="679"/>
      <c r="D1" s="679"/>
      <c r="E1" s="679"/>
      <c r="F1" s="679"/>
      <c r="G1" s="679"/>
      <c r="H1" s="679"/>
      <c r="I1" s="679"/>
      <c r="J1" s="679"/>
      <c r="K1" s="679"/>
      <c r="L1" s="679"/>
      <c r="M1" s="679"/>
      <c r="N1" s="679"/>
      <c r="O1" s="680"/>
      <c r="P1" s="680"/>
      <c r="Q1" s="680"/>
      <c r="R1" s="680"/>
      <c r="S1" s="680"/>
      <c r="T1" s="680"/>
      <c r="U1" s="680"/>
      <c r="V1" s="680"/>
      <c r="W1" s="680"/>
      <c r="X1" s="680"/>
      <c r="Y1" s="680"/>
      <c r="Z1" s="680"/>
      <c r="AA1" s="680"/>
      <c r="AB1" s="680"/>
      <c r="AC1" s="680"/>
      <c r="AD1" s="680"/>
      <c r="AE1" s="680"/>
      <c r="AF1" s="680"/>
      <c r="AG1" s="681"/>
      <c r="AH1" s="681"/>
      <c r="AI1" s="681"/>
      <c r="AJ1" s="681"/>
      <c r="AK1" s="681"/>
      <c r="AL1" s="681"/>
      <c r="AM1" s="682"/>
      <c r="AN1" s="682"/>
      <c r="AO1" s="682"/>
      <c r="AP1" s="682"/>
      <c r="AQ1" s="682"/>
      <c r="AR1" s="682"/>
      <c r="AS1" s="682"/>
      <c r="AT1" s="682"/>
      <c r="AU1" s="682"/>
      <c r="AV1" s="682"/>
      <c r="AW1" s="682"/>
      <c r="AX1" s="682"/>
      <c r="AY1" s="682"/>
    </row>
    <row r="2" spans="1:51" ht="15.75" customHeight="1" x14ac:dyDescent="0.35">
      <c r="A2" s="684"/>
      <c r="B2" s="685"/>
      <c r="C2" s="536"/>
      <c r="D2" s="51"/>
      <c r="E2" s="1"/>
      <c r="F2" s="1"/>
      <c r="G2" s="1"/>
      <c r="H2" s="755" t="s">
        <v>35</v>
      </c>
      <c r="I2" s="756"/>
      <c r="J2" s="756"/>
      <c r="K2" s="756"/>
      <c r="L2" s="756"/>
      <c r="M2" s="686"/>
      <c r="N2" s="686"/>
      <c r="O2" s="686"/>
      <c r="P2" s="686"/>
      <c r="Q2" s="686"/>
      <c r="R2" s="686"/>
      <c r="S2" s="686"/>
      <c r="T2" s="686"/>
      <c r="U2" s="686"/>
      <c r="V2" s="686"/>
      <c r="W2" s="686"/>
      <c r="X2" s="686"/>
      <c r="Y2" s="686"/>
      <c r="Z2" s="686"/>
      <c r="AA2" s="686"/>
      <c r="AB2" s="686"/>
      <c r="AC2" s="681"/>
      <c r="AD2" s="681"/>
      <c r="AE2" s="681"/>
      <c r="AF2" s="681"/>
      <c r="AG2" s="681"/>
      <c r="AH2" s="681"/>
      <c r="AI2" s="681"/>
      <c r="AJ2" s="681"/>
      <c r="AK2" s="681"/>
      <c r="AL2" s="681"/>
      <c r="AM2" s="682"/>
      <c r="AN2" s="682"/>
      <c r="AO2" s="682"/>
      <c r="AP2" s="682"/>
      <c r="AQ2" s="682"/>
      <c r="AR2" s="682"/>
      <c r="AS2" s="682"/>
      <c r="AT2" s="682"/>
      <c r="AU2" s="682"/>
      <c r="AV2" s="682"/>
      <c r="AW2" s="682"/>
      <c r="AX2" s="682"/>
      <c r="AY2" s="682"/>
    </row>
    <row r="3" spans="1:51" x14ac:dyDescent="0.35">
      <c r="A3" s="687"/>
      <c r="B3" s="685"/>
      <c r="C3" s="688" t="s">
        <v>937</v>
      </c>
      <c r="D3" s="688"/>
      <c r="E3" s="1"/>
      <c r="F3" s="1"/>
      <c r="G3" s="1"/>
      <c r="H3" s="686"/>
      <c r="I3" s="686"/>
      <c r="J3" s="686"/>
      <c r="K3" s="686"/>
      <c r="L3" s="686"/>
      <c r="M3" s="686"/>
      <c r="N3" s="686"/>
      <c r="O3" s="686"/>
      <c r="P3" s="686"/>
      <c r="Q3" s="689" t="s">
        <v>938</v>
      </c>
      <c r="R3" s="686"/>
      <c r="S3" s="1"/>
      <c r="T3" s="1"/>
      <c r="U3" s="1"/>
      <c r="V3" s="1"/>
      <c r="W3" s="686"/>
      <c r="X3" s="686"/>
      <c r="Y3" s="686"/>
      <c r="Z3" s="686"/>
      <c r="AA3" s="686"/>
      <c r="AB3" s="686"/>
      <c r="AC3" s="681"/>
      <c r="AD3" s="681"/>
      <c r="AE3" s="681"/>
      <c r="AF3" s="681"/>
      <c r="AG3" s="681"/>
      <c r="AH3" s="681"/>
      <c r="AI3" s="681"/>
      <c r="AJ3" s="681"/>
      <c r="AK3" s="681"/>
      <c r="AL3" s="681"/>
      <c r="AM3" s="682"/>
      <c r="AN3" s="682"/>
      <c r="AO3" s="682"/>
      <c r="AP3" s="682"/>
      <c r="AQ3" s="682"/>
      <c r="AR3" s="682"/>
      <c r="AS3" s="682"/>
      <c r="AT3" s="682"/>
      <c r="AU3" s="682"/>
      <c r="AV3" s="682"/>
      <c r="AW3" s="682"/>
      <c r="AX3" s="682"/>
      <c r="AY3" s="682"/>
    </row>
    <row r="4" spans="1:51" x14ac:dyDescent="0.35">
      <c r="A4" s="687"/>
      <c r="B4" s="685"/>
      <c r="C4" s="536" t="s">
        <v>939</v>
      </c>
      <c r="D4" s="51"/>
      <c r="E4" s="1"/>
      <c r="F4" s="1"/>
      <c r="G4" s="1"/>
      <c r="H4" s="686"/>
      <c r="I4" s="686"/>
      <c r="J4" s="686"/>
      <c r="K4" s="686"/>
      <c r="L4" s="686"/>
      <c r="M4" s="686"/>
      <c r="N4" s="686"/>
      <c r="O4" s="686"/>
      <c r="P4" s="686"/>
      <c r="Q4" s="690" t="s">
        <v>940</v>
      </c>
      <c r="R4" s="686"/>
      <c r="S4" s="686"/>
      <c r="T4" s="686"/>
      <c r="U4" s="686"/>
      <c r="V4" s="686"/>
      <c r="W4" s="686"/>
      <c r="X4" s="686"/>
      <c r="Y4" s="686"/>
      <c r="Z4" s="686"/>
      <c r="AA4" s="686"/>
      <c r="AB4" s="686"/>
      <c r="AC4" s="681"/>
      <c r="AD4" s="681"/>
      <c r="AE4" s="681"/>
      <c r="AF4" s="681"/>
      <c r="AG4" s="681"/>
      <c r="AH4" s="681"/>
      <c r="AI4" s="681"/>
      <c r="AJ4" s="681"/>
      <c r="AK4" s="681"/>
      <c r="AL4" s="681"/>
      <c r="AM4" s="682"/>
      <c r="AN4" s="681"/>
      <c r="AO4" s="681"/>
      <c r="AP4" s="682"/>
      <c r="AQ4" s="682"/>
      <c r="AR4" s="682"/>
      <c r="AS4" s="682"/>
      <c r="AT4" s="682"/>
      <c r="AU4" s="682"/>
      <c r="AV4" s="682"/>
      <c r="AW4" s="682"/>
      <c r="AX4" s="682"/>
      <c r="AY4" s="682"/>
    </row>
    <row r="5" spans="1:51" ht="16" thickBot="1" x14ac:dyDescent="0.4">
      <c r="A5" s="691"/>
      <c r="B5" s="692"/>
      <c r="C5" s="1"/>
      <c r="D5" s="1"/>
      <c r="E5" s="1"/>
      <c r="F5" s="1"/>
      <c r="G5" s="1"/>
      <c r="H5" s="686"/>
      <c r="I5" s="686"/>
      <c r="J5" s="686"/>
      <c r="K5" s="686"/>
      <c r="L5" s="686"/>
      <c r="M5" s="686"/>
      <c r="N5" s="686"/>
      <c r="O5" s="686"/>
      <c r="P5" s="686"/>
      <c r="Q5" s="690" t="s">
        <v>941</v>
      </c>
      <c r="R5" s="686"/>
      <c r="S5" s="686"/>
      <c r="T5" s="686"/>
      <c r="U5" s="686"/>
      <c r="V5" s="686"/>
      <c r="W5" s="686"/>
      <c r="X5" s="686"/>
      <c r="Y5" s="686"/>
      <c r="Z5" s="686"/>
      <c r="AA5" s="686"/>
      <c r="AB5" s="686"/>
      <c r="AC5" s="681"/>
      <c r="AD5" s="681"/>
      <c r="AE5" s="681"/>
      <c r="AF5" s="681"/>
      <c r="AG5" s="681"/>
      <c r="AH5" s="681"/>
      <c r="AI5" s="681"/>
      <c r="AJ5" s="681"/>
      <c r="AK5" s="681"/>
      <c r="AL5" s="681"/>
      <c r="AM5" s="682"/>
      <c r="AN5" s="682"/>
      <c r="AO5" s="682"/>
      <c r="AP5" s="682"/>
      <c r="AQ5" s="682"/>
      <c r="AR5" s="682"/>
      <c r="AS5" s="682"/>
      <c r="AT5" s="682"/>
      <c r="AU5" s="682"/>
      <c r="AV5" s="682"/>
      <c r="AW5" s="682"/>
      <c r="AX5" s="682"/>
      <c r="AY5" s="682"/>
    </row>
    <row r="6" spans="1:51" x14ac:dyDescent="0.35">
      <c r="A6" s="691"/>
      <c r="B6" s="692"/>
      <c r="C6" s="693"/>
      <c r="D6" s="694"/>
      <c r="E6" s="694"/>
      <c r="F6" s="694"/>
      <c r="G6" s="694"/>
      <c r="H6" s="695" t="s">
        <v>942</v>
      </c>
      <c r="I6" s="694"/>
      <c r="J6" s="694"/>
      <c r="K6" s="694"/>
      <c r="L6" s="694"/>
      <c r="M6" s="694"/>
      <c r="N6" s="696"/>
      <c r="O6" s="686"/>
      <c r="P6" s="686"/>
      <c r="Q6" s="690" t="s">
        <v>968</v>
      </c>
      <c r="R6" s="686"/>
      <c r="S6" s="686"/>
      <c r="T6" s="686"/>
      <c r="U6" s="686"/>
      <c r="V6" s="686"/>
      <c r="W6" s="686"/>
      <c r="X6" s="686"/>
      <c r="Y6" s="686"/>
      <c r="Z6" s="686"/>
      <c r="AA6" s="686"/>
      <c r="AB6" s="686"/>
      <c r="AC6" s="681"/>
      <c r="AD6" s="681"/>
      <c r="AE6" s="681"/>
      <c r="AF6" s="681"/>
      <c r="AG6" s="681"/>
      <c r="AH6" s="681"/>
      <c r="AI6" s="681"/>
      <c r="AJ6" s="681"/>
      <c r="AK6" s="681"/>
      <c r="AL6" s="681"/>
      <c r="AM6" s="682"/>
      <c r="AN6" s="682"/>
      <c r="AO6" s="682"/>
      <c r="AP6" s="682"/>
      <c r="AQ6" s="682"/>
      <c r="AR6" s="682"/>
      <c r="AS6" s="682"/>
      <c r="AT6" s="682"/>
      <c r="AU6" s="682"/>
      <c r="AV6" s="682"/>
      <c r="AW6" s="682"/>
      <c r="AX6" s="682"/>
      <c r="AY6" s="682"/>
    </row>
    <row r="7" spans="1:51" s="702" customFormat="1" ht="16" thickBot="1" x14ac:dyDescent="0.4">
      <c r="A7" s="691"/>
      <c r="B7" s="692"/>
      <c r="C7" s="697" t="s">
        <v>943</v>
      </c>
      <c r="D7" s="698">
        <v>2</v>
      </c>
      <c r="E7" s="699">
        <v>3</v>
      </c>
      <c r="F7" s="700">
        <v>4</v>
      </c>
      <c r="G7" s="700">
        <v>5</v>
      </c>
      <c r="H7" s="699">
        <v>6</v>
      </c>
      <c r="I7" s="700">
        <v>7</v>
      </c>
      <c r="J7" s="700">
        <v>8</v>
      </c>
      <c r="K7" s="699">
        <v>9</v>
      </c>
      <c r="L7" s="700">
        <v>10</v>
      </c>
      <c r="M7" s="700">
        <v>11</v>
      </c>
      <c r="N7" s="701">
        <v>12</v>
      </c>
      <c r="O7" s="686"/>
      <c r="P7" s="686"/>
      <c r="Q7" s="686"/>
      <c r="R7" s="686" t="s">
        <v>944</v>
      </c>
      <c r="S7" s="1"/>
      <c r="T7" s="686"/>
      <c r="U7" s="686"/>
      <c r="V7" s="686"/>
      <c r="W7" s="686"/>
      <c r="X7" s="686"/>
      <c r="Y7" s="686"/>
      <c r="Z7" s="686"/>
      <c r="AA7" s="686"/>
      <c r="AB7" s="686"/>
      <c r="AC7" s="681"/>
      <c r="AD7" s="681"/>
      <c r="AE7" s="681"/>
      <c r="AF7" s="681"/>
      <c r="AG7" s="681"/>
      <c r="AH7" s="681"/>
      <c r="AI7" s="681"/>
      <c r="AJ7" s="681"/>
      <c r="AK7" s="681"/>
      <c r="AL7" s="681"/>
      <c r="AM7" s="682"/>
      <c r="AN7" s="682"/>
      <c r="AO7" s="682"/>
      <c r="AP7" s="682"/>
      <c r="AQ7" s="682"/>
      <c r="AR7" s="682"/>
      <c r="AS7" s="682"/>
      <c r="AT7" s="682"/>
      <c r="AU7" s="691"/>
      <c r="AV7" s="691"/>
      <c r="AW7" s="691"/>
      <c r="AX7" s="691"/>
      <c r="AY7" s="691"/>
    </row>
    <row r="8" spans="1:51" s="702" customFormat="1" x14ac:dyDescent="0.35">
      <c r="A8" s="691"/>
      <c r="B8" s="692"/>
      <c r="C8" s="703"/>
      <c r="D8" s="704"/>
      <c r="E8" s="705"/>
      <c r="F8" s="703"/>
      <c r="G8" s="704"/>
      <c r="H8" s="705"/>
      <c r="I8" s="706"/>
      <c r="J8" s="707"/>
      <c r="K8" s="708"/>
      <c r="L8" s="706"/>
      <c r="M8" s="707"/>
      <c r="N8" s="709">
        <v>90</v>
      </c>
      <c r="O8" s="686"/>
      <c r="P8" s="686"/>
      <c r="Q8" s="686"/>
      <c r="R8" s="686" t="s">
        <v>945</v>
      </c>
      <c r="S8" s="1"/>
      <c r="T8" s="686"/>
      <c r="U8" s="686"/>
      <c r="V8" s="686"/>
      <c r="W8" s="686"/>
      <c r="X8" s="686"/>
      <c r="Y8" s="686"/>
      <c r="Z8" s="686"/>
      <c r="AA8" s="686"/>
      <c r="AB8" s="686"/>
      <c r="AC8" s="681"/>
      <c r="AD8" s="681"/>
      <c r="AE8" s="681"/>
      <c r="AF8" s="681"/>
      <c r="AG8" s="681"/>
      <c r="AH8" s="681"/>
      <c r="AI8" s="681"/>
      <c r="AJ8" s="681"/>
      <c r="AK8" s="681"/>
      <c r="AL8" s="681"/>
      <c r="AM8" s="682"/>
      <c r="AN8" s="682"/>
      <c r="AO8" s="682"/>
      <c r="AP8" s="682"/>
      <c r="AQ8" s="682"/>
      <c r="AR8" s="682"/>
      <c r="AS8" s="682"/>
      <c r="AT8" s="682"/>
      <c r="AU8" s="691"/>
      <c r="AV8" s="691"/>
      <c r="AW8" s="691"/>
      <c r="AX8" s="691"/>
      <c r="AY8" s="691"/>
    </row>
    <row r="9" spans="1:51" s="6" customFormat="1" ht="15.65" customHeight="1" x14ac:dyDescent="0.35">
      <c r="A9" s="691"/>
      <c r="B9" s="692"/>
      <c r="C9" s="710"/>
      <c r="D9" s="710"/>
      <c r="E9" s="710"/>
      <c r="F9" s="711"/>
      <c r="G9" s="711"/>
      <c r="H9" s="711"/>
      <c r="I9" s="712"/>
      <c r="J9" s="712"/>
      <c r="K9" s="712"/>
      <c r="L9" s="713"/>
      <c r="M9" s="714">
        <v>90</v>
      </c>
      <c r="N9" s="714">
        <v>90</v>
      </c>
      <c r="O9" s="686"/>
      <c r="P9" s="686"/>
      <c r="Q9" s="686"/>
      <c r="R9" s="686" t="s">
        <v>946</v>
      </c>
      <c r="S9" s="1"/>
      <c r="T9" s="686"/>
      <c r="U9" s="686"/>
      <c r="V9" s="686"/>
      <c r="W9" s="686"/>
      <c r="X9" s="686"/>
      <c r="Y9" s="686"/>
      <c r="Z9" s="686"/>
      <c r="AA9" s="686"/>
      <c r="AB9" s="686"/>
      <c r="AC9" s="681"/>
      <c r="AD9" s="681"/>
      <c r="AE9" s="681"/>
      <c r="AF9" s="681"/>
      <c r="AG9" s="681"/>
      <c r="AH9" s="681"/>
      <c r="AI9" s="681"/>
      <c r="AJ9" s="681"/>
      <c r="AK9" s="681"/>
      <c r="AL9" s="681"/>
      <c r="AM9" s="682"/>
      <c r="AN9" s="682"/>
      <c r="AO9" s="682"/>
      <c r="AP9" s="682"/>
      <c r="AQ9" s="682"/>
      <c r="AR9" s="682"/>
      <c r="AS9" s="682"/>
      <c r="AT9" s="682"/>
      <c r="AU9" s="1"/>
      <c r="AV9" s="1"/>
      <c r="AW9" s="1"/>
      <c r="AX9" s="1"/>
      <c r="AY9" s="1"/>
    </row>
    <row r="10" spans="1:51" s="6" customFormat="1" ht="15.65" customHeight="1" x14ac:dyDescent="0.35">
      <c r="A10" s="691"/>
      <c r="B10" s="692"/>
      <c r="C10" s="710"/>
      <c r="D10" s="710"/>
      <c r="E10" s="710"/>
      <c r="F10" s="711"/>
      <c r="G10" s="711"/>
      <c r="H10" s="711"/>
      <c r="I10" s="712"/>
      <c r="J10" s="712"/>
      <c r="K10" s="712"/>
      <c r="L10" s="714">
        <v>90</v>
      </c>
      <c r="M10" s="714">
        <v>90</v>
      </c>
      <c r="N10" s="714">
        <v>90</v>
      </c>
      <c r="O10" s="686"/>
      <c r="P10" s="686"/>
      <c r="Q10" s="690" t="s">
        <v>947</v>
      </c>
      <c r="R10" s="686"/>
      <c r="S10" s="686"/>
      <c r="T10" s="686"/>
      <c r="U10" s="686"/>
      <c r="V10" s="686"/>
      <c r="W10" s="686"/>
      <c r="X10" s="686"/>
      <c r="Y10" s="686"/>
      <c r="Z10" s="686"/>
      <c r="AA10" s="686"/>
      <c r="AB10" s="686"/>
      <c r="AC10" s="681"/>
      <c r="AD10" s="681"/>
      <c r="AE10" s="681"/>
      <c r="AF10" s="681"/>
      <c r="AG10" s="681"/>
      <c r="AH10" s="681"/>
      <c r="AI10" s="681"/>
      <c r="AJ10" s="681"/>
      <c r="AK10" s="681"/>
      <c r="AL10" s="681"/>
      <c r="AM10" s="682"/>
      <c r="AN10" s="682"/>
      <c r="AO10" s="682"/>
      <c r="AP10" s="682"/>
      <c r="AQ10" s="682"/>
      <c r="AR10" s="682"/>
      <c r="AS10" s="682"/>
      <c r="AT10" s="682"/>
      <c r="AU10" s="1"/>
      <c r="AV10" s="1"/>
      <c r="AW10" s="1"/>
      <c r="AX10" s="1"/>
      <c r="AY10" s="1"/>
    </row>
    <row r="11" spans="1:51" s="6" customFormat="1" ht="15.65" customHeight="1" x14ac:dyDescent="0.35">
      <c r="A11" s="691"/>
      <c r="B11" s="692"/>
      <c r="C11" s="710"/>
      <c r="D11" s="710"/>
      <c r="E11" s="710"/>
      <c r="F11" s="711"/>
      <c r="G11" s="711"/>
      <c r="H11" s="711"/>
      <c r="I11" s="712"/>
      <c r="J11" s="712"/>
      <c r="K11" s="714">
        <v>90</v>
      </c>
      <c r="L11" s="714">
        <v>90</v>
      </c>
      <c r="M11" s="714">
        <v>90</v>
      </c>
      <c r="N11" s="714">
        <v>90</v>
      </c>
      <c r="O11" s="686"/>
      <c r="P11" s="686"/>
      <c r="Q11" s="690" t="s">
        <v>948</v>
      </c>
      <c r="R11" s="686"/>
      <c r="S11" s="686"/>
      <c r="T11" s="686"/>
      <c r="U11" s="686"/>
      <c r="V11" s="686"/>
      <c r="W11" s="686"/>
      <c r="X11" s="686"/>
      <c r="Y11" s="686"/>
      <c r="Z11" s="686"/>
      <c r="AA11" s="686"/>
      <c r="AB11" s="686"/>
      <c r="AC11" s="681"/>
      <c r="AD11" s="681"/>
      <c r="AE11" s="681"/>
      <c r="AF11" s="681"/>
      <c r="AG11" s="681"/>
      <c r="AH11" s="681"/>
      <c r="AI11" s="681"/>
      <c r="AJ11" s="681"/>
      <c r="AK11" s="681"/>
      <c r="AL11" s="681"/>
      <c r="AM11" s="682"/>
      <c r="AN11" s="682"/>
      <c r="AO11" s="682"/>
      <c r="AP11" s="682"/>
      <c r="AQ11" s="682"/>
      <c r="AR11" s="682"/>
      <c r="AS11" s="682"/>
      <c r="AT11" s="682"/>
      <c r="AU11" s="1"/>
      <c r="AV11" s="1"/>
      <c r="AW11" s="1"/>
      <c r="AX11" s="1"/>
      <c r="AY11" s="1"/>
    </row>
    <row r="12" spans="1:51" s="6" customFormat="1" ht="15.65" customHeight="1" x14ac:dyDescent="0.35">
      <c r="A12" s="691"/>
      <c r="B12" s="692"/>
      <c r="C12" s="715"/>
      <c r="D12" s="715"/>
      <c r="E12" s="715"/>
      <c r="F12" s="716"/>
      <c r="G12" s="716"/>
      <c r="H12" s="716"/>
      <c r="I12" s="717"/>
      <c r="J12" s="714">
        <v>90</v>
      </c>
      <c r="K12" s="714">
        <v>90</v>
      </c>
      <c r="L12" s="714">
        <v>90</v>
      </c>
      <c r="M12" s="714">
        <v>90</v>
      </c>
      <c r="N12" s="714">
        <v>90</v>
      </c>
      <c r="O12" s="686"/>
      <c r="P12" s="686"/>
      <c r="Q12" s="690" t="s">
        <v>949</v>
      </c>
      <c r="R12" s="686"/>
      <c r="S12" s="686"/>
      <c r="T12" s="686"/>
      <c r="U12" s="686"/>
      <c r="V12" s="686"/>
      <c r="W12" s="686"/>
      <c r="X12" s="686"/>
      <c r="Y12" s="686"/>
      <c r="Z12" s="686"/>
      <c r="AA12" s="686"/>
      <c r="AB12" s="686"/>
      <c r="AC12" s="681"/>
      <c r="AD12" s="681"/>
      <c r="AE12" s="681"/>
      <c r="AF12" s="681"/>
      <c r="AG12" s="681"/>
      <c r="AH12" s="681"/>
      <c r="AI12" s="681"/>
      <c r="AJ12" s="681"/>
      <c r="AK12" s="681"/>
      <c r="AL12" s="681"/>
      <c r="AM12" s="682"/>
      <c r="AN12" s="682"/>
      <c r="AO12" s="682"/>
      <c r="AP12" s="682"/>
      <c r="AQ12" s="682"/>
      <c r="AR12" s="682"/>
      <c r="AS12" s="682"/>
      <c r="AT12" s="682"/>
      <c r="AU12" s="1"/>
      <c r="AV12" s="1"/>
      <c r="AW12" s="1"/>
      <c r="AX12" s="1"/>
      <c r="AY12" s="1"/>
    </row>
    <row r="13" spans="1:51" s="6" customFormat="1" ht="15.65" customHeight="1" x14ac:dyDescent="0.35">
      <c r="A13" s="691"/>
      <c r="B13" s="692"/>
      <c r="C13" s="718"/>
      <c r="D13" s="719"/>
      <c r="E13" s="720"/>
      <c r="F13" s="721"/>
      <c r="G13" s="719"/>
      <c r="H13" s="720"/>
      <c r="I13" s="714">
        <v>90</v>
      </c>
      <c r="J13" s="714">
        <v>90</v>
      </c>
      <c r="K13" s="714">
        <v>90</v>
      </c>
      <c r="L13" s="714">
        <v>90</v>
      </c>
      <c r="M13" s="714">
        <v>90</v>
      </c>
      <c r="N13" s="714">
        <v>90</v>
      </c>
      <c r="O13" s="686"/>
      <c r="P13" s="686"/>
      <c r="Q13" s="690" t="s">
        <v>950</v>
      </c>
      <c r="R13" s="686"/>
      <c r="S13" s="686"/>
      <c r="T13" s="686"/>
      <c r="U13" s="686"/>
      <c r="V13" s="686"/>
      <c r="W13" s="686"/>
      <c r="X13" s="686"/>
      <c r="Y13" s="686"/>
      <c r="Z13" s="686"/>
      <c r="AA13" s="686"/>
      <c r="AB13" s="686"/>
      <c r="AC13" s="681"/>
      <c r="AD13" s="681"/>
      <c r="AE13" s="681"/>
      <c r="AF13" s="681"/>
      <c r="AG13" s="681"/>
      <c r="AH13" s="681"/>
      <c r="AI13" s="681"/>
      <c r="AJ13" s="681"/>
      <c r="AK13" s="681"/>
      <c r="AL13" s="681"/>
      <c r="AM13" s="682"/>
      <c r="AN13" s="682"/>
      <c r="AO13" s="682"/>
      <c r="AP13" s="682"/>
      <c r="AQ13" s="682"/>
      <c r="AR13" s="682"/>
      <c r="AS13" s="682"/>
      <c r="AT13" s="682"/>
      <c r="AU13" s="1"/>
      <c r="AV13" s="1"/>
      <c r="AW13" s="1"/>
      <c r="AX13" s="1"/>
      <c r="AY13" s="1"/>
    </row>
    <row r="14" spans="1:51" s="6" customFormat="1" ht="15.65" customHeight="1" x14ac:dyDescent="0.35">
      <c r="A14" s="691"/>
      <c r="B14" s="692"/>
      <c r="C14" s="712"/>
      <c r="D14" s="712"/>
      <c r="E14" s="712"/>
      <c r="F14" s="713"/>
      <c r="G14" s="713"/>
      <c r="H14" s="714">
        <v>90</v>
      </c>
      <c r="I14" s="714">
        <v>90</v>
      </c>
      <c r="J14" s="714">
        <v>90</v>
      </c>
      <c r="K14" s="714">
        <v>90</v>
      </c>
      <c r="L14" s="714">
        <v>90</v>
      </c>
      <c r="M14" s="714">
        <v>90</v>
      </c>
      <c r="N14" s="714">
        <v>90</v>
      </c>
      <c r="O14" s="686"/>
      <c r="P14" s="686"/>
      <c r="Q14" s="690" t="s">
        <v>951</v>
      </c>
      <c r="R14" s="686"/>
      <c r="S14" s="686"/>
      <c r="T14" s="686"/>
      <c r="U14" s="686"/>
      <c r="V14" s="686"/>
      <c r="W14" s="686"/>
      <c r="X14" s="686"/>
      <c r="Y14" s="686"/>
      <c r="Z14" s="686"/>
      <c r="AA14" s="686"/>
      <c r="AB14" s="686"/>
      <c r="AC14" s="681"/>
      <c r="AD14" s="681"/>
      <c r="AE14" s="681"/>
      <c r="AF14" s="681"/>
      <c r="AG14" s="681"/>
      <c r="AH14" s="681"/>
      <c r="AI14" s="681"/>
      <c r="AJ14" s="681"/>
      <c r="AK14" s="681"/>
      <c r="AL14" s="681"/>
      <c r="AM14" s="682"/>
      <c r="AN14" s="682"/>
      <c r="AO14" s="682"/>
      <c r="AP14" s="682"/>
      <c r="AQ14" s="682"/>
      <c r="AR14" s="682"/>
      <c r="AS14" s="682"/>
      <c r="AT14" s="682"/>
      <c r="AU14" s="1"/>
      <c r="AV14" s="1"/>
      <c r="AW14" s="1"/>
      <c r="AX14" s="1"/>
      <c r="AY14" s="1"/>
    </row>
    <row r="15" spans="1:51" s="6" customFormat="1" ht="15.65" customHeight="1" x14ac:dyDescent="0.35">
      <c r="A15" s="691"/>
      <c r="B15" s="692"/>
      <c r="C15" s="712"/>
      <c r="D15" s="712"/>
      <c r="E15" s="712"/>
      <c r="F15" s="713"/>
      <c r="G15" s="714">
        <v>90</v>
      </c>
      <c r="H15" s="714">
        <v>90</v>
      </c>
      <c r="I15" s="714">
        <v>90</v>
      </c>
      <c r="J15" s="714">
        <v>90</v>
      </c>
      <c r="K15" s="714">
        <v>90</v>
      </c>
      <c r="L15" s="714">
        <v>90</v>
      </c>
      <c r="M15" s="714">
        <v>90</v>
      </c>
      <c r="N15" s="714">
        <v>90</v>
      </c>
      <c r="O15" s="686"/>
      <c r="P15" s="686"/>
      <c r="Q15" s="686"/>
      <c r="R15" s="686"/>
      <c r="S15" s="686"/>
      <c r="T15" s="686"/>
      <c r="U15" s="686"/>
      <c r="V15" s="686"/>
      <c r="W15" s="686"/>
      <c r="X15" s="686"/>
      <c r="Y15" s="686"/>
      <c r="Z15" s="686"/>
      <c r="AA15" s="686"/>
      <c r="AB15" s="686"/>
      <c r="AC15" s="681"/>
      <c r="AD15" s="681"/>
      <c r="AE15" s="681"/>
      <c r="AF15" s="681"/>
      <c r="AG15" s="681"/>
      <c r="AH15" s="681"/>
      <c r="AI15" s="681"/>
      <c r="AJ15" s="681"/>
      <c r="AK15" s="681"/>
      <c r="AL15" s="681"/>
      <c r="AM15" s="682"/>
      <c r="AN15" s="682"/>
      <c r="AO15" s="682"/>
      <c r="AP15" s="682"/>
      <c r="AQ15" s="682"/>
      <c r="AR15" s="682"/>
      <c r="AS15" s="682"/>
      <c r="AT15" s="682"/>
      <c r="AU15" s="1"/>
      <c r="AV15" s="1"/>
      <c r="AW15" s="1"/>
      <c r="AX15" s="1"/>
      <c r="AY15" s="1"/>
    </row>
    <row r="16" spans="1:51" s="6" customFormat="1" ht="15.65" customHeight="1" x14ac:dyDescent="0.35">
      <c r="A16" s="691"/>
      <c r="B16" s="692"/>
      <c r="C16" s="712"/>
      <c r="D16" s="712"/>
      <c r="E16" s="712"/>
      <c r="F16" s="714">
        <v>90</v>
      </c>
      <c r="G16" s="714">
        <v>90</v>
      </c>
      <c r="H16" s="714">
        <v>90</v>
      </c>
      <c r="I16" s="714">
        <v>90</v>
      </c>
      <c r="J16" s="714">
        <v>90</v>
      </c>
      <c r="K16" s="714">
        <v>90</v>
      </c>
      <c r="L16" s="714">
        <v>90</v>
      </c>
      <c r="M16" s="714">
        <v>90</v>
      </c>
      <c r="N16" s="714">
        <v>90</v>
      </c>
      <c r="O16" s="686"/>
      <c r="P16" s="686"/>
      <c r="Q16" s="686"/>
      <c r="R16" s="686"/>
      <c r="S16" s="686"/>
      <c r="T16" s="686"/>
      <c r="U16" s="686"/>
      <c r="V16" s="686"/>
      <c r="W16" s="689" t="s">
        <v>952</v>
      </c>
      <c r="X16" s="686"/>
      <c r="Y16" s="686"/>
      <c r="Z16" s="686"/>
      <c r="AA16" s="686"/>
      <c r="AB16" s="686"/>
      <c r="AC16" s="681"/>
      <c r="AD16" s="681"/>
      <c r="AE16" s="681"/>
      <c r="AF16" s="681"/>
      <c r="AG16" s="681"/>
      <c r="AH16" s="681"/>
      <c r="AI16" s="681"/>
      <c r="AJ16" s="681"/>
      <c r="AK16" s="681"/>
      <c r="AL16" s="681"/>
      <c r="AM16" s="682"/>
      <c r="AN16" s="682"/>
      <c r="AO16" s="682"/>
      <c r="AP16" s="682"/>
      <c r="AQ16" s="682"/>
      <c r="AR16" s="682"/>
      <c r="AS16" s="682"/>
      <c r="AT16" s="682"/>
      <c r="AU16" s="1"/>
      <c r="AV16" s="1"/>
      <c r="AW16" s="1"/>
      <c r="AX16" s="1"/>
      <c r="AY16" s="1"/>
    </row>
    <row r="17" spans="1:51" s="6" customFormat="1" ht="15.65" customHeight="1" x14ac:dyDescent="0.35">
      <c r="A17" s="691"/>
      <c r="B17" s="692"/>
      <c r="C17" s="712"/>
      <c r="D17" s="712"/>
      <c r="E17" s="714">
        <v>90</v>
      </c>
      <c r="F17" s="714">
        <v>90</v>
      </c>
      <c r="G17" s="714">
        <v>90</v>
      </c>
      <c r="H17" s="714">
        <v>90</v>
      </c>
      <c r="I17" s="714">
        <v>90</v>
      </c>
      <c r="J17" s="714">
        <v>90</v>
      </c>
      <c r="K17" s="714">
        <v>90</v>
      </c>
      <c r="L17" s="714">
        <v>90</v>
      </c>
      <c r="M17" s="714">
        <v>90</v>
      </c>
      <c r="N17" s="714">
        <v>90</v>
      </c>
      <c r="O17" s="686"/>
      <c r="P17" s="686"/>
      <c r="Q17" s="686"/>
      <c r="R17" s="686"/>
      <c r="S17" s="686"/>
      <c r="T17" s="686"/>
      <c r="U17" s="686"/>
      <c r="V17" s="686"/>
      <c r="W17" s="722" t="s">
        <v>953</v>
      </c>
      <c r="X17" s="722" t="s">
        <v>954</v>
      </c>
      <c r="Y17" s="722" t="s">
        <v>955</v>
      </c>
      <c r="Z17" s="686"/>
      <c r="AA17" s="686"/>
      <c r="AB17" s="686"/>
      <c r="AC17" s="681"/>
      <c r="AD17" s="681"/>
      <c r="AE17" s="681"/>
      <c r="AF17" s="681"/>
      <c r="AG17" s="681"/>
      <c r="AH17" s="681"/>
      <c r="AI17" s="681"/>
      <c r="AJ17" s="681"/>
      <c r="AK17" s="681"/>
      <c r="AL17" s="681"/>
      <c r="AM17" s="682"/>
      <c r="AN17" s="682"/>
      <c r="AO17" s="682"/>
      <c r="AP17" s="682"/>
      <c r="AQ17" s="682"/>
      <c r="AR17" s="682"/>
      <c r="AS17" s="682"/>
      <c r="AT17" s="682"/>
      <c r="AU17" s="1"/>
      <c r="AV17" s="1"/>
      <c r="AW17" s="1"/>
      <c r="AX17" s="1"/>
      <c r="AY17" s="1"/>
    </row>
    <row r="18" spans="1:51" s="702" customFormat="1" ht="15.65" customHeight="1" x14ac:dyDescent="0.35">
      <c r="A18" s="691"/>
      <c r="B18" s="692"/>
      <c r="C18" s="712"/>
      <c r="D18" s="714">
        <v>90</v>
      </c>
      <c r="E18" s="714">
        <v>90</v>
      </c>
      <c r="F18" s="714">
        <v>90</v>
      </c>
      <c r="G18" s="714">
        <v>90</v>
      </c>
      <c r="H18" s="714">
        <v>90</v>
      </c>
      <c r="I18" s="714">
        <v>90</v>
      </c>
      <c r="J18" s="714">
        <v>90</v>
      </c>
      <c r="K18" s="714">
        <v>90</v>
      </c>
      <c r="L18" s="714">
        <v>90</v>
      </c>
      <c r="M18" s="714">
        <v>90</v>
      </c>
      <c r="N18" s="714">
        <v>90</v>
      </c>
      <c r="O18" s="686"/>
      <c r="P18" s="686"/>
      <c r="Q18" s="686"/>
      <c r="R18" s="686"/>
      <c r="S18" s="686"/>
      <c r="T18" s="686"/>
      <c r="U18" s="686"/>
      <c r="V18" s="686"/>
      <c r="W18" s="723">
        <v>0.5</v>
      </c>
      <c r="X18" s="724">
        <v>9</v>
      </c>
      <c r="Y18" s="725">
        <f>X18/12*W18</f>
        <v>0.375</v>
      </c>
      <c r="Z18" s="686"/>
      <c r="AA18" s="686"/>
      <c r="AB18" s="686"/>
      <c r="AC18" s="681"/>
      <c r="AD18" s="681"/>
      <c r="AE18" s="681"/>
      <c r="AF18" s="681"/>
      <c r="AG18" s="681"/>
      <c r="AH18" s="681"/>
      <c r="AI18" s="681"/>
      <c r="AJ18" s="681"/>
      <c r="AK18" s="681"/>
      <c r="AL18" s="681"/>
      <c r="AM18" s="682"/>
      <c r="AN18" s="682"/>
      <c r="AO18" s="682"/>
      <c r="AP18" s="682"/>
      <c r="AQ18" s="682"/>
      <c r="AR18" s="682"/>
      <c r="AS18" s="682"/>
      <c r="AT18" s="682"/>
      <c r="AU18" s="691"/>
      <c r="AV18" s="691"/>
      <c r="AW18" s="691"/>
      <c r="AX18" s="691"/>
      <c r="AY18" s="691"/>
    </row>
    <row r="19" spans="1:51" s="726" customFormat="1" ht="15.65" customHeight="1" x14ac:dyDescent="0.35">
      <c r="A19" s="691"/>
      <c r="B19" s="692"/>
      <c r="C19" s="714">
        <v>90</v>
      </c>
      <c r="D19" s="714">
        <v>90</v>
      </c>
      <c r="E19" s="714">
        <v>90</v>
      </c>
      <c r="F19" s="714">
        <v>90</v>
      </c>
      <c r="G19" s="714">
        <v>90</v>
      </c>
      <c r="H19" s="714">
        <v>90</v>
      </c>
      <c r="I19" s="714">
        <v>90</v>
      </c>
      <c r="J19" s="714">
        <v>90</v>
      </c>
      <c r="K19" s="714">
        <v>90</v>
      </c>
      <c r="L19" s="714">
        <v>90</v>
      </c>
      <c r="M19" s="714">
        <v>90</v>
      </c>
      <c r="N19" s="714">
        <v>90</v>
      </c>
      <c r="O19" s="686"/>
      <c r="P19" s="686"/>
      <c r="Q19" s="686"/>
      <c r="R19" s="686"/>
      <c r="S19" s="686"/>
      <c r="T19" s="686"/>
      <c r="U19" s="686"/>
      <c r="V19" s="686"/>
      <c r="W19" s="723">
        <v>0.9</v>
      </c>
      <c r="X19" s="724">
        <v>3</v>
      </c>
      <c r="Y19" s="725">
        <f>X19/12*W19</f>
        <v>0.22500000000000001</v>
      </c>
      <c r="Z19" s="686"/>
      <c r="AA19" s="686"/>
      <c r="AB19" s="686"/>
      <c r="AC19" s="681"/>
      <c r="AD19" s="681"/>
      <c r="AE19" s="681"/>
      <c r="AF19" s="681"/>
      <c r="AG19" s="681"/>
      <c r="AH19" s="681"/>
      <c r="AI19" s="681"/>
      <c r="AJ19" s="681"/>
      <c r="AK19" s="681"/>
      <c r="AL19" s="681"/>
      <c r="AM19" s="682"/>
      <c r="AN19" s="682"/>
      <c r="AO19" s="682"/>
      <c r="AP19" s="682"/>
      <c r="AQ19" s="682"/>
      <c r="AR19" s="682"/>
      <c r="AS19" s="682"/>
      <c r="AT19" s="682"/>
      <c r="AU19" s="8"/>
      <c r="AV19" s="8"/>
      <c r="AW19" s="8"/>
      <c r="AX19" s="8"/>
      <c r="AY19" s="8"/>
    </row>
    <row r="20" spans="1:51" s="726" customFormat="1" x14ac:dyDescent="0.35">
      <c r="A20" s="691"/>
      <c r="B20" s="692"/>
      <c r="C20" s="692"/>
      <c r="D20" s="692"/>
      <c r="E20" s="692"/>
      <c r="F20" s="692"/>
      <c r="G20" s="692"/>
      <c r="H20" s="692"/>
      <c r="I20" s="692"/>
      <c r="J20" s="692"/>
      <c r="K20" s="692"/>
      <c r="L20" s="692"/>
      <c r="M20" s="692"/>
      <c r="N20" s="692"/>
      <c r="O20" s="692"/>
      <c r="P20" s="692"/>
      <c r="Q20" s="692"/>
      <c r="R20" s="686"/>
      <c r="S20" s="686"/>
      <c r="T20" s="686"/>
      <c r="U20" s="686"/>
      <c r="V20" s="686"/>
      <c r="W20" s="686"/>
      <c r="X20" s="686"/>
      <c r="Y20" s="727">
        <f>SUM(Y18:Y19)</f>
        <v>0.6</v>
      </c>
      <c r="Z20" s="686"/>
      <c r="AA20" s="686"/>
      <c r="AB20" s="686"/>
      <c r="AC20" s="681"/>
      <c r="AD20" s="681"/>
      <c r="AE20" s="681"/>
      <c r="AF20" s="681"/>
      <c r="AG20" s="681"/>
      <c r="AH20" s="681"/>
      <c r="AI20" s="681"/>
      <c r="AJ20" s="681"/>
      <c r="AK20" s="681"/>
      <c r="AL20" s="681"/>
      <c r="AM20" s="682"/>
      <c r="AN20" s="682"/>
      <c r="AO20" s="682"/>
      <c r="AP20" s="682"/>
      <c r="AQ20" s="682"/>
      <c r="AR20" s="682"/>
      <c r="AS20" s="682"/>
      <c r="AT20" s="682"/>
      <c r="AU20" s="8"/>
      <c r="AV20" s="8"/>
      <c r="AW20" s="8"/>
      <c r="AX20" s="8"/>
      <c r="AY20" s="8"/>
    </row>
    <row r="21" spans="1:51" s="726" customFormat="1" x14ac:dyDescent="0.35">
      <c r="A21" s="691" t="s">
        <v>956</v>
      </c>
      <c r="B21" s="728">
        <v>1200</v>
      </c>
      <c r="C21" s="729">
        <f>$B$21/12</f>
        <v>100</v>
      </c>
      <c r="D21" s="729">
        <f t="shared" ref="D21:M21" si="0">$B$21/12</f>
        <v>100</v>
      </c>
      <c r="E21" s="729">
        <f t="shared" si="0"/>
        <v>100</v>
      </c>
      <c r="F21" s="729">
        <f t="shared" si="0"/>
        <v>100</v>
      </c>
      <c r="G21" s="729">
        <f t="shared" si="0"/>
        <v>100</v>
      </c>
      <c r="H21" s="729">
        <f t="shared" si="0"/>
        <v>100</v>
      </c>
      <c r="I21" s="729">
        <f t="shared" si="0"/>
        <v>100</v>
      </c>
      <c r="J21" s="729">
        <f t="shared" si="0"/>
        <v>100</v>
      </c>
      <c r="K21" s="729">
        <f t="shared" si="0"/>
        <v>100</v>
      </c>
      <c r="L21" s="729">
        <f t="shared" si="0"/>
        <v>100</v>
      </c>
      <c r="M21" s="729">
        <f t="shared" si="0"/>
        <v>100</v>
      </c>
      <c r="N21" s="729">
        <f>$B$21/12</f>
        <v>100</v>
      </c>
      <c r="O21" s="686"/>
      <c r="P21" s="686"/>
      <c r="Q21" s="686"/>
      <c r="R21" s="686"/>
      <c r="S21" s="686"/>
      <c r="T21" s="686"/>
      <c r="U21" s="686"/>
      <c r="V21" s="686"/>
      <c r="W21" s="686"/>
      <c r="X21" s="686"/>
      <c r="Y21" s="686"/>
      <c r="Z21" s="686"/>
      <c r="AA21" s="686"/>
      <c r="AB21" s="686"/>
      <c r="AC21" s="681"/>
      <c r="AD21" s="681"/>
      <c r="AE21" s="681"/>
      <c r="AF21" s="681"/>
      <c r="AG21" s="681"/>
      <c r="AH21" s="681"/>
      <c r="AI21" s="681"/>
      <c r="AJ21" s="681"/>
      <c r="AK21" s="681"/>
      <c r="AL21" s="681"/>
      <c r="AM21" s="682"/>
      <c r="AN21" s="682"/>
      <c r="AO21" s="682"/>
      <c r="AP21" s="682"/>
      <c r="AQ21" s="682"/>
      <c r="AR21" s="682"/>
      <c r="AS21" s="682"/>
      <c r="AT21" s="682"/>
      <c r="AU21" s="8"/>
      <c r="AV21" s="8"/>
      <c r="AW21" s="8"/>
      <c r="AX21" s="8"/>
      <c r="AY21" s="8"/>
    </row>
    <row r="22" spans="1:51" s="726" customFormat="1" x14ac:dyDescent="0.35">
      <c r="A22" s="691" t="s">
        <v>957</v>
      </c>
      <c r="B22" s="730">
        <v>0.9</v>
      </c>
      <c r="C22" s="731"/>
      <c r="D22" s="731"/>
      <c r="E22" s="731"/>
      <c r="F22" s="731"/>
      <c r="G22" s="731"/>
      <c r="H22" s="731"/>
      <c r="I22" s="731"/>
      <c r="J22" s="731"/>
      <c r="K22" s="731"/>
      <c r="L22" s="731"/>
      <c r="M22" s="731"/>
      <c r="N22" s="731"/>
      <c r="O22" s="686"/>
      <c r="P22" s="686"/>
      <c r="Q22" s="686"/>
      <c r="R22" s="686"/>
      <c r="S22" s="686"/>
      <c r="T22" s="686"/>
      <c r="U22" s="686"/>
      <c r="V22" s="686"/>
      <c r="W22" s="686"/>
      <c r="X22" s="686"/>
      <c r="Y22" s="686"/>
      <c r="Z22" s="686"/>
      <c r="AA22" s="686"/>
      <c r="AB22" s="686"/>
      <c r="AC22" s="681"/>
      <c r="AD22" s="681"/>
      <c r="AE22" s="681"/>
      <c r="AF22" s="681"/>
      <c r="AG22" s="681"/>
      <c r="AH22" s="681"/>
      <c r="AI22" s="681"/>
      <c r="AJ22" s="681"/>
      <c r="AK22" s="681"/>
      <c r="AL22" s="681"/>
      <c r="AM22" s="682"/>
      <c r="AN22" s="682"/>
      <c r="AO22" s="682"/>
      <c r="AP22" s="682"/>
      <c r="AQ22" s="682"/>
      <c r="AR22" s="682"/>
      <c r="AS22" s="682"/>
      <c r="AT22" s="682"/>
      <c r="AU22" s="8"/>
      <c r="AV22" s="8"/>
      <c r="AW22" s="8"/>
      <c r="AX22" s="8"/>
      <c r="AY22" s="8"/>
    </row>
    <row r="23" spans="1:51" s="6" customFormat="1" ht="14" x14ac:dyDescent="0.3">
      <c r="A23" s="691" t="s">
        <v>958</v>
      </c>
      <c r="B23" s="692"/>
      <c r="C23" s="732">
        <f>SUM(C8:C19)</f>
        <v>90</v>
      </c>
      <c r="D23" s="732">
        <f t="shared" ref="D23:N23" si="1">SUM(D8:D19)</f>
        <v>180</v>
      </c>
      <c r="E23" s="732">
        <f t="shared" si="1"/>
        <v>270</v>
      </c>
      <c r="F23" s="732">
        <f t="shared" si="1"/>
        <v>360</v>
      </c>
      <c r="G23" s="732">
        <f t="shared" si="1"/>
        <v>450</v>
      </c>
      <c r="H23" s="732">
        <f t="shared" si="1"/>
        <v>540</v>
      </c>
      <c r="I23" s="732">
        <f t="shared" si="1"/>
        <v>630</v>
      </c>
      <c r="J23" s="732">
        <f t="shared" si="1"/>
        <v>720</v>
      </c>
      <c r="K23" s="732">
        <f t="shared" si="1"/>
        <v>810</v>
      </c>
      <c r="L23" s="732">
        <f t="shared" si="1"/>
        <v>900</v>
      </c>
      <c r="M23" s="732">
        <f t="shared" si="1"/>
        <v>990</v>
      </c>
      <c r="N23" s="733">
        <f t="shared" si="1"/>
        <v>1080</v>
      </c>
      <c r="O23" s="734" t="s">
        <v>959</v>
      </c>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686"/>
      <c r="AM23" s="686"/>
      <c r="AN23" s="686"/>
      <c r="AO23" s="686"/>
      <c r="AP23" s="686"/>
      <c r="AQ23" s="1"/>
      <c r="AR23" s="1"/>
      <c r="AS23" s="1"/>
      <c r="AT23" s="1"/>
      <c r="AU23" s="1"/>
      <c r="AV23" s="1"/>
      <c r="AW23" s="1"/>
      <c r="AX23" s="1"/>
      <c r="AY23" s="1"/>
    </row>
    <row r="24" spans="1:51" x14ac:dyDescent="0.35">
      <c r="A24" s="691" t="s">
        <v>960</v>
      </c>
      <c r="B24" s="692"/>
      <c r="C24" s="735">
        <f>C23/$B$21</f>
        <v>7.4999999999999997E-2</v>
      </c>
      <c r="D24" s="735">
        <f t="shared" ref="D24:N24" si="2">D23/$B$21</f>
        <v>0.15</v>
      </c>
      <c r="E24" s="735">
        <f t="shared" si="2"/>
        <v>0.22500000000000001</v>
      </c>
      <c r="F24" s="735">
        <f t="shared" si="2"/>
        <v>0.3</v>
      </c>
      <c r="G24" s="735">
        <f t="shared" si="2"/>
        <v>0.375</v>
      </c>
      <c r="H24" s="735">
        <f t="shared" si="2"/>
        <v>0.45</v>
      </c>
      <c r="I24" s="735">
        <f t="shared" si="2"/>
        <v>0.52500000000000002</v>
      </c>
      <c r="J24" s="735">
        <f t="shared" si="2"/>
        <v>0.6</v>
      </c>
      <c r="K24" s="735">
        <f t="shared" si="2"/>
        <v>0.67500000000000004</v>
      </c>
      <c r="L24" s="735">
        <f t="shared" si="2"/>
        <v>0.75</v>
      </c>
      <c r="M24" s="735">
        <f t="shared" si="2"/>
        <v>0.82499999999999996</v>
      </c>
      <c r="N24" s="735">
        <f t="shared" si="2"/>
        <v>0.9</v>
      </c>
      <c r="O24" s="734" t="s">
        <v>961</v>
      </c>
      <c r="P24" s="686"/>
      <c r="Q24" s="686"/>
      <c r="R24" s="686"/>
      <c r="S24" s="686"/>
      <c r="T24" s="686"/>
      <c r="U24" s="686"/>
      <c r="V24" s="686"/>
      <c r="W24" s="686"/>
      <c r="X24" s="686"/>
      <c r="Y24" s="686"/>
      <c r="Z24" s="686"/>
      <c r="AA24" s="686"/>
      <c r="AB24" s="736"/>
      <c r="AC24" s="737"/>
      <c r="AD24" s="737"/>
      <c r="AE24" s="737"/>
      <c r="AF24" s="737"/>
      <c r="AG24" s="737"/>
      <c r="AH24" s="737"/>
      <c r="AI24" s="737"/>
      <c r="AJ24" s="737"/>
      <c r="AK24" s="737"/>
      <c r="AL24" s="737"/>
      <c r="AM24" s="737"/>
      <c r="AN24" s="737"/>
      <c r="AO24" s="737"/>
      <c r="AP24" s="737"/>
      <c r="AQ24" s="682"/>
      <c r="AR24" s="682"/>
      <c r="AS24" s="682"/>
      <c r="AT24" s="682"/>
      <c r="AU24" s="682"/>
      <c r="AV24" s="682"/>
      <c r="AW24" s="682"/>
      <c r="AX24" s="682"/>
      <c r="AY24" s="682"/>
    </row>
    <row r="25" spans="1:51" x14ac:dyDescent="0.35">
      <c r="A25" s="738"/>
      <c r="B25" s="692"/>
      <c r="C25" s="686"/>
      <c r="D25" s="739"/>
      <c r="E25" s="739"/>
      <c r="F25" s="740"/>
      <c r="G25" s="740"/>
      <c r="H25" s="740"/>
      <c r="I25" s="686"/>
      <c r="J25" s="686"/>
      <c r="K25" s="686"/>
      <c r="L25" s="686"/>
      <c r="M25" s="686"/>
      <c r="N25" s="741" t="s">
        <v>962</v>
      </c>
      <c r="O25" s="1"/>
      <c r="P25" s="686"/>
      <c r="Q25" s="686"/>
      <c r="R25" s="686"/>
      <c r="S25" s="686"/>
      <c r="T25" s="686"/>
      <c r="U25" s="686"/>
      <c r="V25" s="686"/>
      <c r="W25" s="686"/>
      <c r="X25" s="686"/>
      <c r="Y25" s="686"/>
      <c r="Z25" s="686"/>
      <c r="AA25" s="686"/>
      <c r="AB25" s="686"/>
      <c r="AC25" s="681"/>
      <c r="AD25" s="742"/>
      <c r="AE25" s="681"/>
      <c r="AF25" s="681"/>
      <c r="AG25" s="681"/>
      <c r="AH25" s="681"/>
      <c r="AI25" s="681"/>
      <c r="AJ25" s="681"/>
      <c r="AK25" s="681"/>
      <c r="AL25" s="681"/>
      <c r="AM25" s="681"/>
      <c r="AN25" s="681"/>
      <c r="AO25" s="681"/>
      <c r="AP25" s="742"/>
      <c r="AQ25" s="682"/>
      <c r="AR25" s="682"/>
      <c r="AS25" s="682"/>
      <c r="AT25" s="682"/>
      <c r="AU25" s="682"/>
      <c r="AV25" s="682"/>
      <c r="AW25" s="682"/>
      <c r="AX25" s="682"/>
      <c r="AY25" s="682"/>
    </row>
    <row r="26" spans="1:51" x14ac:dyDescent="0.35">
      <c r="A26" s="738"/>
      <c r="B26" s="692"/>
      <c r="C26" s="686"/>
      <c r="D26" s="739"/>
      <c r="E26" s="739"/>
      <c r="F26" s="740"/>
      <c r="G26" s="740"/>
      <c r="H26" s="740"/>
      <c r="I26" s="686"/>
      <c r="J26" s="686"/>
      <c r="K26" s="686"/>
      <c r="L26" s="686"/>
      <c r="M26" s="686"/>
      <c r="N26" s="743"/>
      <c r="O26" s="686"/>
      <c r="P26" s="686"/>
      <c r="Q26" s="686"/>
      <c r="R26" s="686"/>
      <c r="S26" s="686"/>
      <c r="T26" s="686"/>
      <c r="U26" s="686"/>
      <c r="V26" s="686"/>
      <c r="W26" s="686"/>
      <c r="X26" s="686"/>
      <c r="Y26" s="686"/>
      <c r="Z26" s="686"/>
      <c r="AA26" s="686"/>
      <c r="AB26" s="686"/>
      <c r="AC26" s="681"/>
      <c r="AD26" s="744"/>
      <c r="AE26" s="681"/>
      <c r="AF26" s="681"/>
      <c r="AG26" s="681"/>
      <c r="AH26" s="681"/>
      <c r="AI26" s="681"/>
      <c r="AJ26" s="681"/>
      <c r="AK26" s="681"/>
      <c r="AL26" s="681"/>
      <c r="AM26" s="681"/>
      <c r="AN26" s="681"/>
      <c r="AO26" s="681"/>
      <c r="AP26" s="744"/>
      <c r="AQ26" s="682"/>
      <c r="AR26" s="682"/>
      <c r="AS26" s="682"/>
      <c r="AT26" s="682"/>
      <c r="AU26" s="682"/>
      <c r="AV26" s="682"/>
      <c r="AW26" s="682"/>
      <c r="AX26" s="682"/>
      <c r="AY26" s="682"/>
    </row>
    <row r="27" spans="1:51" x14ac:dyDescent="0.35">
      <c r="A27" s="738"/>
      <c r="B27" s="740"/>
      <c r="C27" s="686"/>
      <c r="D27" s="739"/>
      <c r="E27" s="739"/>
      <c r="F27" s="740"/>
      <c r="G27" s="740"/>
      <c r="H27" s="740"/>
      <c r="I27" s="686"/>
      <c r="J27" s="686"/>
      <c r="K27" s="686"/>
      <c r="L27" s="686"/>
      <c r="M27" s="743" t="s">
        <v>963</v>
      </c>
      <c r="N27" s="745">
        <f>ROUNDUP((C23+D23+E23+F23+G23+H23+I23+J23+K23+L23+M23+N23)/(12*1200),1)</f>
        <v>0.5</v>
      </c>
      <c r="O27" s="689"/>
      <c r="P27" s="686"/>
      <c r="Q27" s="686"/>
      <c r="R27" s="686"/>
      <c r="S27" s="686"/>
      <c r="T27" s="686"/>
      <c r="U27" s="686"/>
      <c r="V27" s="686"/>
      <c r="W27" s="686"/>
      <c r="X27" s="686"/>
      <c r="Y27" s="686"/>
      <c r="Z27" s="686"/>
      <c r="AA27" s="686"/>
      <c r="AB27" s="686"/>
      <c r="AC27" s="681"/>
      <c r="AD27" s="746"/>
      <c r="AE27" s="681"/>
      <c r="AF27" s="681"/>
      <c r="AG27" s="681"/>
      <c r="AH27" s="681"/>
      <c r="AI27" s="681"/>
      <c r="AJ27" s="681"/>
      <c r="AK27" s="681"/>
      <c r="AL27" s="681"/>
      <c r="AM27" s="681"/>
      <c r="AN27" s="681"/>
      <c r="AO27" s="681"/>
      <c r="AP27" s="747"/>
      <c r="AQ27" s="682"/>
      <c r="AR27" s="682"/>
      <c r="AS27" s="682"/>
      <c r="AT27" s="682"/>
      <c r="AU27" s="682"/>
      <c r="AV27" s="682"/>
      <c r="AW27" s="682"/>
      <c r="AX27" s="682"/>
      <c r="AY27" s="682"/>
    </row>
    <row r="28" spans="1:51" x14ac:dyDescent="0.35">
      <c r="A28" s="738"/>
      <c r="B28" s="740"/>
      <c r="C28" s="686"/>
      <c r="D28" s="739"/>
      <c r="E28" s="739"/>
      <c r="F28" s="740"/>
      <c r="G28" s="740"/>
      <c r="H28" s="740"/>
      <c r="I28" s="686"/>
      <c r="J28" s="686"/>
      <c r="K28" s="686"/>
      <c r="L28" s="686"/>
      <c r="M28" s="686"/>
      <c r="N28" s="743"/>
      <c r="O28" s="686"/>
      <c r="P28" s="686"/>
      <c r="Q28" s="686"/>
      <c r="R28" s="686"/>
      <c r="S28" s="686"/>
      <c r="T28" s="686"/>
      <c r="U28" s="686"/>
      <c r="V28" s="686"/>
      <c r="W28" s="686"/>
      <c r="X28" s="686"/>
      <c r="Y28" s="686"/>
      <c r="Z28" s="686"/>
      <c r="AA28" s="686"/>
      <c r="AB28" s="686"/>
      <c r="AC28" s="681"/>
      <c r="AD28" s="748"/>
      <c r="AE28" s="681"/>
      <c r="AF28" s="681"/>
      <c r="AG28" s="681"/>
      <c r="AH28" s="681"/>
      <c r="AI28" s="681"/>
      <c r="AJ28" s="681"/>
      <c r="AK28" s="681"/>
      <c r="AL28" s="681"/>
      <c r="AM28" s="681"/>
      <c r="AN28" s="681"/>
      <c r="AO28" s="681"/>
      <c r="AP28" s="748"/>
      <c r="AQ28" s="682"/>
      <c r="AR28" s="682"/>
      <c r="AS28" s="682"/>
      <c r="AT28" s="682"/>
      <c r="AU28" s="682"/>
      <c r="AV28" s="682"/>
      <c r="AW28" s="682"/>
      <c r="AX28" s="682"/>
      <c r="AY28" s="682"/>
    </row>
    <row r="29" spans="1:51" x14ac:dyDescent="0.35">
      <c r="A29" s="738"/>
      <c r="B29" s="740"/>
      <c r="C29" s="686"/>
      <c r="D29" s="739"/>
      <c r="E29" s="739"/>
      <c r="F29" s="740"/>
      <c r="G29" s="740"/>
      <c r="H29" s="740"/>
      <c r="I29" s="686"/>
      <c r="J29" s="686"/>
      <c r="K29" s="686"/>
      <c r="L29" s="686"/>
      <c r="M29" s="686"/>
      <c r="N29" s="749" t="s">
        <v>964</v>
      </c>
      <c r="O29" s="686"/>
      <c r="P29" s="686"/>
      <c r="Q29" s="686"/>
      <c r="R29" s="686"/>
      <c r="S29" s="686"/>
      <c r="T29" s="686"/>
      <c r="U29" s="686"/>
      <c r="V29" s="686"/>
      <c r="W29" s="686"/>
      <c r="X29" s="686"/>
      <c r="Y29" s="686"/>
      <c r="Z29" s="686"/>
      <c r="AA29" s="686"/>
      <c r="AB29" s="686"/>
      <c r="AC29" s="681"/>
      <c r="AD29" s="748"/>
      <c r="AE29" s="681"/>
      <c r="AF29" s="681"/>
      <c r="AG29" s="681"/>
      <c r="AH29" s="681"/>
      <c r="AI29" s="681"/>
      <c r="AJ29" s="681"/>
      <c r="AK29" s="681"/>
      <c r="AL29" s="681"/>
      <c r="AM29" s="681"/>
      <c r="AN29" s="681"/>
      <c r="AO29" s="681"/>
      <c r="AP29" s="748"/>
      <c r="AQ29" s="682"/>
      <c r="AR29" s="682"/>
      <c r="AS29" s="682"/>
      <c r="AT29" s="682"/>
      <c r="AU29" s="682"/>
      <c r="AV29" s="682"/>
      <c r="AW29" s="682"/>
      <c r="AX29" s="682"/>
      <c r="AY29" s="682"/>
    </row>
    <row r="30" spans="1:51" x14ac:dyDescent="0.35">
      <c r="A30" s="738"/>
      <c r="B30" s="740"/>
      <c r="C30" s="686"/>
      <c r="D30" s="739"/>
      <c r="E30" s="739"/>
      <c r="F30" s="740"/>
      <c r="G30" s="740"/>
      <c r="H30" s="740"/>
      <c r="I30" s="686"/>
      <c r="J30" s="686"/>
      <c r="K30" s="686"/>
      <c r="L30" s="686"/>
      <c r="M30" s="686"/>
      <c r="N30" s="743" t="s">
        <v>965</v>
      </c>
      <c r="O30" s="686"/>
      <c r="P30" s="686"/>
      <c r="Q30" s="686"/>
      <c r="R30" s="686"/>
      <c r="S30" s="686"/>
      <c r="T30" s="686"/>
      <c r="U30" s="686"/>
      <c r="V30" s="686"/>
      <c r="W30" s="686"/>
      <c r="X30" s="686"/>
      <c r="Y30" s="686"/>
      <c r="Z30" s="686"/>
      <c r="AA30" s="686"/>
      <c r="AB30" s="686"/>
      <c r="AC30" s="681"/>
      <c r="AD30" s="746"/>
      <c r="AE30" s="681"/>
      <c r="AF30" s="681"/>
      <c r="AG30" s="681"/>
      <c r="AH30" s="681"/>
      <c r="AI30" s="681"/>
      <c r="AJ30" s="681"/>
      <c r="AK30" s="681"/>
      <c r="AL30" s="681"/>
      <c r="AM30" s="681"/>
      <c r="AN30" s="681"/>
      <c r="AO30" s="681"/>
      <c r="AP30" s="747"/>
      <c r="AQ30" s="682"/>
      <c r="AR30" s="682"/>
      <c r="AS30" s="682"/>
      <c r="AT30" s="682"/>
      <c r="AU30" s="682"/>
      <c r="AV30" s="682"/>
      <c r="AW30" s="682"/>
      <c r="AX30" s="682"/>
      <c r="AY30" s="682"/>
    </row>
    <row r="31" spans="1:51" s="752" customFormat="1" x14ac:dyDescent="0.35">
      <c r="A31" s="750"/>
      <c r="B31" s="692"/>
      <c r="C31" s="1"/>
      <c r="D31" s="51"/>
      <c r="E31" s="51"/>
      <c r="F31" s="51"/>
      <c r="G31" s="51"/>
      <c r="H31" s="51"/>
      <c r="I31" s="51"/>
      <c r="J31" s="51"/>
      <c r="K31" s="51"/>
      <c r="L31" s="51"/>
      <c r="M31" s="51"/>
      <c r="N31" s="743" t="s">
        <v>966</v>
      </c>
      <c r="O31" s="692"/>
      <c r="P31" s="692"/>
      <c r="Q31" s="692"/>
      <c r="R31" s="692"/>
      <c r="S31" s="692"/>
      <c r="T31" s="692"/>
      <c r="U31" s="692"/>
      <c r="V31" s="692"/>
      <c r="W31" s="692"/>
      <c r="X31" s="692"/>
      <c r="Y31" s="692"/>
      <c r="Z31" s="692"/>
      <c r="AA31" s="692"/>
      <c r="AB31" s="692"/>
      <c r="AC31" s="751"/>
      <c r="AD31" s="751"/>
      <c r="AE31" s="751"/>
      <c r="AF31" s="751"/>
      <c r="AG31" s="751"/>
      <c r="AH31" s="751"/>
      <c r="AI31" s="751"/>
      <c r="AJ31" s="751"/>
      <c r="AK31" s="751"/>
      <c r="AL31" s="751"/>
      <c r="AM31" s="751"/>
      <c r="AN31" s="751"/>
      <c r="AO31" s="751"/>
      <c r="AP31" s="751"/>
      <c r="AQ31" s="751"/>
      <c r="AR31" s="751"/>
      <c r="AS31" s="751"/>
      <c r="AT31" s="751"/>
      <c r="AU31" s="751"/>
      <c r="AV31" s="751"/>
      <c r="AW31" s="751"/>
      <c r="AX31" s="751"/>
      <c r="AY31" s="751"/>
    </row>
    <row r="32" spans="1:51" s="752" customFormat="1" x14ac:dyDescent="0.35">
      <c r="A32" s="750"/>
      <c r="B32" s="692"/>
      <c r="C32" s="1"/>
      <c r="D32" s="51"/>
      <c r="E32" s="51"/>
      <c r="F32" s="51"/>
      <c r="G32" s="51"/>
      <c r="H32" s="51"/>
      <c r="I32" s="51"/>
      <c r="J32" s="51"/>
      <c r="K32" s="51"/>
      <c r="L32" s="51"/>
      <c r="M32" s="51"/>
      <c r="N32" s="743" t="s">
        <v>967</v>
      </c>
      <c r="O32" s="692"/>
      <c r="P32" s="692"/>
      <c r="Q32" s="692"/>
      <c r="R32" s="692"/>
      <c r="S32" s="692"/>
      <c r="T32" s="692"/>
      <c r="U32" s="692"/>
      <c r="V32" s="692"/>
      <c r="W32" s="692"/>
      <c r="X32" s="692"/>
      <c r="Y32" s="692"/>
      <c r="Z32" s="692"/>
      <c r="AA32" s="692"/>
      <c r="AB32" s="692"/>
      <c r="AC32" s="751"/>
      <c r="AD32" s="751"/>
      <c r="AE32" s="751"/>
      <c r="AF32" s="751"/>
      <c r="AG32" s="751"/>
      <c r="AH32" s="751"/>
      <c r="AI32" s="751"/>
      <c r="AJ32" s="751"/>
      <c r="AK32" s="751"/>
      <c r="AL32" s="751"/>
      <c r="AM32" s="751"/>
      <c r="AN32" s="751"/>
      <c r="AO32" s="751"/>
      <c r="AP32" s="751"/>
      <c r="AQ32" s="751"/>
      <c r="AR32" s="751"/>
      <c r="AS32" s="751"/>
      <c r="AT32" s="751"/>
      <c r="AU32" s="751"/>
      <c r="AV32" s="751"/>
      <c r="AW32" s="751"/>
      <c r="AX32" s="751"/>
      <c r="AY32" s="751"/>
    </row>
    <row r="33" spans="1:5" s="752" customFormat="1" x14ac:dyDescent="0.35">
      <c r="A33" s="753"/>
      <c r="C33" s="683"/>
      <c r="D33" s="754"/>
      <c r="E33" s="754"/>
    </row>
    <row r="34" spans="1:5" s="752" customFormat="1" x14ac:dyDescent="0.35">
      <c r="A34" s="753"/>
      <c r="C34" s="683"/>
      <c r="D34" s="754"/>
      <c r="E34" s="754"/>
    </row>
    <row r="35" spans="1:5" s="752" customFormat="1" x14ac:dyDescent="0.35">
      <c r="A35" s="753"/>
      <c r="C35" s="683"/>
      <c r="D35" s="754"/>
      <c r="E35" s="754"/>
    </row>
    <row r="36" spans="1:5" s="752" customFormat="1" x14ac:dyDescent="0.35">
      <c r="A36" s="753"/>
      <c r="C36" s="683"/>
      <c r="D36" s="754"/>
      <c r="E36" s="754"/>
    </row>
    <row r="37" spans="1:5" s="752" customFormat="1" x14ac:dyDescent="0.35">
      <c r="A37" s="753"/>
      <c r="C37" s="683"/>
      <c r="D37" s="754"/>
      <c r="E37" s="754"/>
    </row>
    <row r="38" spans="1:5" s="752" customFormat="1" x14ac:dyDescent="0.35">
      <c r="A38" s="753"/>
      <c r="C38" s="683"/>
      <c r="D38" s="754"/>
      <c r="E38" s="754"/>
    </row>
    <row r="39" spans="1:5" s="752" customFormat="1" x14ac:dyDescent="0.35">
      <c r="A39" s="753"/>
      <c r="C39" s="683"/>
      <c r="D39" s="754"/>
      <c r="E39" s="754"/>
    </row>
    <row r="40" spans="1:5" s="752" customFormat="1" x14ac:dyDescent="0.35">
      <c r="A40" s="753"/>
      <c r="C40" s="683"/>
      <c r="D40" s="754"/>
      <c r="E40" s="754"/>
    </row>
    <row r="41" spans="1:5" s="752" customFormat="1" x14ac:dyDescent="0.35">
      <c r="A41" s="753"/>
      <c r="C41" s="683"/>
      <c r="D41" s="754"/>
      <c r="E41" s="754"/>
    </row>
    <row r="42" spans="1:5" s="752" customFormat="1" x14ac:dyDescent="0.35">
      <c r="A42" s="753"/>
      <c r="C42" s="683"/>
      <c r="D42" s="754"/>
      <c r="E42" s="754"/>
    </row>
    <row r="43" spans="1:5" s="752" customFormat="1" x14ac:dyDescent="0.35">
      <c r="A43" s="753"/>
      <c r="C43" s="683"/>
      <c r="D43" s="754"/>
      <c r="E43" s="754"/>
    </row>
    <row r="44" spans="1:5" s="752" customFormat="1" x14ac:dyDescent="0.35">
      <c r="A44" s="753"/>
      <c r="C44" s="683"/>
      <c r="D44" s="754"/>
      <c r="E44" s="754"/>
    </row>
    <row r="45" spans="1:5" s="752" customFormat="1" x14ac:dyDescent="0.35">
      <c r="A45" s="753"/>
      <c r="C45" s="683"/>
      <c r="D45" s="754"/>
      <c r="E45" s="754"/>
    </row>
    <row r="46" spans="1:5" s="752" customFormat="1" x14ac:dyDescent="0.35">
      <c r="A46" s="753"/>
      <c r="C46" s="683"/>
      <c r="D46" s="754"/>
      <c r="E46" s="754"/>
    </row>
    <row r="47" spans="1:5" s="752" customFormat="1" x14ac:dyDescent="0.35">
      <c r="A47" s="753"/>
      <c r="C47" s="683"/>
      <c r="D47" s="754"/>
      <c r="E47" s="754"/>
    </row>
    <row r="48" spans="1:5" s="752" customFormat="1" x14ac:dyDescent="0.35">
      <c r="A48" s="753"/>
      <c r="C48" s="683"/>
      <c r="D48" s="754"/>
      <c r="E48" s="754"/>
    </row>
    <row r="49" spans="1:5" s="752" customFormat="1" x14ac:dyDescent="0.35">
      <c r="A49" s="753"/>
      <c r="C49" s="683"/>
      <c r="D49" s="754"/>
      <c r="E49" s="754"/>
    </row>
    <row r="50" spans="1:5" s="752" customFormat="1" x14ac:dyDescent="0.35">
      <c r="A50" s="753"/>
      <c r="C50" s="683"/>
      <c r="D50" s="754"/>
      <c r="E50" s="754"/>
    </row>
    <row r="51" spans="1:5" s="752" customFormat="1" x14ac:dyDescent="0.35">
      <c r="A51" s="753"/>
      <c r="C51" s="683"/>
      <c r="D51" s="754"/>
      <c r="E51" s="754"/>
    </row>
    <row r="52" spans="1:5" s="752" customFormat="1" x14ac:dyDescent="0.35">
      <c r="A52" s="753"/>
      <c r="C52" s="683"/>
      <c r="D52" s="754"/>
      <c r="E52" s="754"/>
    </row>
    <row r="53" spans="1:5" s="752" customFormat="1" x14ac:dyDescent="0.35">
      <c r="A53" s="753"/>
      <c r="C53" s="683"/>
      <c r="D53" s="754"/>
      <c r="E53" s="754"/>
    </row>
    <row r="54" spans="1:5" s="752" customFormat="1" x14ac:dyDescent="0.35">
      <c r="A54" s="753"/>
      <c r="C54" s="683"/>
      <c r="D54" s="754"/>
      <c r="E54" s="754"/>
    </row>
    <row r="55" spans="1:5" s="752" customFormat="1" x14ac:dyDescent="0.35">
      <c r="A55" s="753"/>
      <c r="C55" s="683"/>
      <c r="D55" s="754"/>
      <c r="E55" s="754"/>
    </row>
    <row r="56" spans="1:5" s="752" customFormat="1" x14ac:dyDescent="0.35">
      <c r="A56" s="753"/>
      <c r="C56" s="683"/>
      <c r="D56" s="754"/>
      <c r="E56" s="754"/>
    </row>
    <row r="57" spans="1:5" s="752" customFormat="1" x14ac:dyDescent="0.35">
      <c r="A57" s="753"/>
      <c r="C57" s="683"/>
      <c r="D57" s="754"/>
      <c r="E57" s="754"/>
    </row>
    <row r="58" spans="1:5" s="752" customFormat="1" x14ac:dyDescent="0.35">
      <c r="A58" s="753"/>
      <c r="C58" s="683"/>
      <c r="D58" s="754"/>
      <c r="E58" s="754"/>
    </row>
    <row r="59" spans="1:5" s="752" customFormat="1" x14ac:dyDescent="0.35">
      <c r="A59" s="753"/>
      <c r="C59" s="683"/>
      <c r="D59" s="754"/>
      <c r="E59" s="754"/>
    </row>
    <row r="60" spans="1:5" s="752" customFormat="1" x14ac:dyDescent="0.35">
      <c r="A60" s="753"/>
      <c r="C60" s="683"/>
      <c r="D60" s="754"/>
      <c r="E60" s="754"/>
    </row>
    <row r="61" spans="1:5" s="752" customFormat="1" x14ac:dyDescent="0.35">
      <c r="A61" s="753"/>
      <c r="C61" s="683"/>
      <c r="D61" s="754"/>
      <c r="E61" s="754"/>
    </row>
    <row r="62" spans="1:5" s="752" customFormat="1" x14ac:dyDescent="0.35">
      <c r="A62" s="753"/>
      <c r="C62" s="683"/>
      <c r="D62" s="754"/>
      <c r="E62" s="754"/>
    </row>
    <row r="63" spans="1:5" s="752" customFormat="1" x14ac:dyDescent="0.35">
      <c r="A63" s="753"/>
      <c r="C63" s="683"/>
      <c r="D63" s="754"/>
      <c r="E63" s="754"/>
    </row>
    <row r="64" spans="1:5" s="752" customFormat="1" x14ac:dyDescent="0.35">
      <c r="A64" s="753"/>
      <c r="C64" s="683"/>
      <c r="D64" s="754"/>
      <c r="E64" s="754"/>
    </row>
    <row r="65" spans="1:5" s="752" customFormat="1" x14ac:dyDescent="0.35">
      <c r="A65" s="753"/>
      <c r="C65" s="683"/>
      <c r="D65" s="754"/>
      <c r="E65" s="754"/>
    </row>
    <row r="66" spans="1:5" s="752" customFormat="1" x14ac:dyDescent="0.35">
      <c r="A66" s="753"/>
      <c r="C66" s="683"/>
      <c r="D66" s="754"/>
      <c r="E66" s="754"/>
    </row>
    <row r="67" spans="1:5" s="752" customFormat="1" x14ac:dyDescent="0.35">
      <c r="A67" s="753"/>
      <c r="C67" s="683"/>
      <c r="D67" s="754"/>
      <c r="E67" s="754"/>
    </row>
    <row r="68" spans="1:5" s="752" customFormat="1" x14ac:dyDescent="0.35">
      <c r="A68" s="753"/>
      <c r="C68" s="683"/>
      <c r="D68" s="754"/>
      <c r="E68" s="754"/>
    </row>
    <row r="69" spans="1:5" s="752" customFormat="1" x14ac:dyDescent="0.35">
      <c r="A69" s="753"/>
      <c r="C69" s="683"/>
      <c r="D69" s="754"/>
      <c r="E69" s="754"/>
    </row>
    <row r="70" spans="1:5" s="752" customFormat="1" x14ac:dyDescent="0.35">
      <c r="A70" s="753"/>
      <c r="C70" s="683"/>
      <c r="D70" s="754"/>
      <c r="E70" s="754"/>
    </row>
    <row r="71" spans="1:5" s="752" customFormat="1" x14ac:dyDescent="0.35">
      <c r="A71" s="753"/>
      <c r="C71" s="683"/>
      <c r="D71" s="754"/>
      <c r="E71" s="754"/>
    </row>
    <row r="72" spans="1:5" s="752" customFormat="1" x14ac:dyDescent="0.35">
      <c r="A72" s="753"/>
      <c r="C72" s="683"/>
      <c r="D72" s="754"/>
      <c r="E72" s="754"/>
    </row>
    <row r="73" spans="1:5" s="752" customFormat="1" x14ac:dyDescent="0.35">
      <c r="A73" s="753"/>
      <c r="C73" s="683"/>
      <c r="D73" s="754"/>
      <c r="E73" s="754"/>
    </row>
    <row r="74" spans="1:5" s="752" customFormat="1" x14ac:dyDescent="0.35">
      <c r="A74" s="753"/>
      <c r="C74" s="683"/>
      <c r="D74" s="754"/>
      <c r="E74" s="754"/>
    </row>
    <row r="75" spans="1:5" s="752" customFormat="1" x14ac:dyDescent="0.35">
      <c r="A75" s="753"/>
      <c r="C75" s="683"/>
      <c r="D75" s="754"/>
      <c r="E75" s="754"/>
    </row>
    <row r="76" spans="1:5" s="752" customFormat="1" x14ac:dyDescent="0.35">
      <c r="A76" s="753"/>
      <c r="C76" s="683"/>
      <c r="D76" s="754"/>
      <c r="E76" s="754"/>
    </row>
    <row r="77" spans="1:5" s="752" customFormat="1" x14ac:dyDescent="0.35">
      <c r="A77" s="753"/>
      <c r="C77" s="683"/>
      <c r="D77" s="754"/>
      <c r="E77" s="754"/>
    </row>
    <row r="78" spans="1:5" s="752" customFormat="1" x14ac:dyDescent="0.35">
      <c r="A78" s="753"/>
      <c r="C78" s="683"/>
      <c r="D78" s="754"/>
      <c r="E78" s="754"/>
    </row>
    <row r="79" spans="1:5" s="752" customFormat="1" x14ac:dyDescent="0.35">
      <c r="A79" s="753"/>
      <c r="C79" s="683"/>
      <c r="D79" s="754"/>
      <c r="E79" s="754"/>
    </row>
    <row r="80" spans="1:5" s="752" customFormat="1" x14ac:dyDescent="0.35">
      <c r="A80" s="753"/>
      <c r="C80" s="683"/>
      <c r="D80" s="754"/>
      <c r="E80" s="754"/>
    </row>
    <row r="81" spans="1:5" s="752" customFormat="1" x14ac:dyDescent="0.35">
      <c r="A81" s="753"/>
      <c r="C81" s="683"/>
      <c r="D81" s="754"/>
      <c r="E81" s="754"/>
    </row>
    <row r="82" spans="1:5" s="752" customFormat="1" x14ac:dyDescent="0.35">
      <c r="A82" s="753"/>
      <c r="C82" s="683"/>
      <c r="D82" s="754"/>
      <c r="E82" s="754"/>
    </row>
    <row r="83" spans="1:5" s="752" customFormat="1" x14ac:dyDescent="0.35">
      <c r="A83" s="753"/>
      <c r="C83" s="683"/>
      <c r="D83" s="754"/>
      <c r="E83" s="754"/>
    </row>
    <row r="84" spans="1:5" s="752" customFormat="1" x14ac:dyDescent="0.35">
      <c r="A84" s="753"/>
      <c r="C84" s="683"/>
      <c r="D84" s="754"/>
      <c r="E84" s="754"/>
    </row>
    <row r="85" spans="1:5" s="752" customFormat="1" x14ac:dyDescent="0.35">
      <c r="A85" s="753"/>
      <c r="C85" s="683"/>
      <c r="D85" s="754"/>
      <c r="E85" s="754"/>
    </row>
    <row r="86" spans="1:5" s="752" customFormat="1" x14ac:dyDescent="0.35">
      <c r="A86" s="753"/>
      <c r="C86" s="683"/>
      <c r="D86" s="754"/>
      <c r="E86" s="754"/>
    </row>
    <row r="87" spans="1:5" s="752" customFormat="1" x14ac:dyDescent="0.35">
      <c r="A87" s="753"/>
      <c r="C87" s="683"/>
      <c r="D87" s="754"/>
      <c r="E87" s="754"/>
    </row>
    <row r="88" spans="1:5" s="752" customFormat="1" x14ac:dyDescent="0.35">
      <c r="A88" s="753"/>
      <c r="C88" s="683"/>
      <c r="D88" s="754"/>
      <c r="E88" s="754"/>
    </row>
    <row r="89" spans="1:5" s="752" customFormat="1" x14ac:dyDescent="0.35">
      <c r="A89" s="753"/>
      <c r="C89" s="683"/>
      <c r="D89" s="754"/>
      <c r="E89" s="754"/>
    </row>
    <row r="90" spans="1:5" s="752" customFormat="1" x14ac:dyDescent="0.35">
      <c r="A90" s="753"/>
      <c r="C90" s="683"/>
      <c r="D90" s="754"/>
      <c r="E90" s="754"/>
    </row>
    <row r="91" spans="1:5" s="752" customFormat="1" x14ac:dyDescent="0.35">
      <c r="A91" s="753"/>
      <c r="C91" s="683"/>
      <c r="D91" s="754"/>
      <c r="E91" s="754"/>
    </row>
    <row r="92" spans="1:5" s="752" customFormat="1" x14ac:dyDescent="0.35">
      <c r="A92" s="753"/>
      <c r="C92" s="683"/>
      <c r="D92" s="754"/>
      <c r="E92" s="754"/>
    </row>
    <row r="93" spans="1:5" s="752" customFormat="1" x14ac:dyDescent="0.35">
      <c r="A93" s="753"/>
      <c r="C93" s="683"/>
      <c r="D93" s="754"/>
      <c r="E93" s="754"/>
    </row>
    <row r="94" spans="1:5" s="752" customFormat="1" x14ac:dyDescent="0.35">
      <c r="A94" s="753"/>
      <c r="C94" s="683"/>
      <c r="D94" s="754"/>
      <c r="E94" s="754"/>
    </row>
    <row r="95" spans="1:5" s="752" customFormat="1" x14ac:dyDescent="0.35">
      <c r="A95" s="753"/>
      <c r="C95" s="683"/>
      <c r="D95" s="754"/>
      <c r="E95" s="754"/>
    </row>
    <row r="96" spans="1:5" s="752" customFormat="1" x14ac:dyDescent="0.35">
      <c r="A96" s="753"/>
      <c r="C96" s="683"/>
      <c r="D96" s="754"/>
      <c r="E96" s="754"/>
    </row>
    <row r="97" spans="1:5" s="752" customFormat="1" x14ac:dyDescent="0.35">
      <c r="A97" s="753"/>
      <c r="C97" s="683"/>
      <c r="D97" s="754"/>
      <c r="E97" s="754"/>
    </row>
    <row r="98" spans="1:5" s="752" customFormat="1" x14ac:dyDescent="0.35">
      <c r="A98" s="753"/>
      <c r="C98" s="683"/>
      <c r="D98" s="754"/>
      <c r="E98" s="754"/>
    </row>
    <row r="99" spans="1:5" s="752" customFormat="1" x14ac:dyDescent="0.35">
      <c r="A99" s="753"/>
      <c r="C99" s="683"/>
      <c r="D99" s="754"/>
      <c r="E99" s="754"/>
    </row>
    <row r="100" spans="1:5" s="752" customFormat="1" x14ac:dyDescent="0.35">
      <c r="A100" s="753"/>
      <c r="C100" s="683"/>
      <c r="D100" s="754"/>
      <c r="E100" s="754"/>
    </row>
    <row r="101" spans="1:5" s="752" customFormat="1" x14ac:dyDescent="0.35">
      <c r="A101" s="753"/>
      <c r="C101" s="683"/>
      <c r="D101" s="754"/>
      <c r="E101" s="754"/>
    </row>
    <row r="102" spans="1:5" s="752" customFormat="1" x14ac:dyDescent="0.35">
      <c r="A102" s="753"/>
      <c r="C102" s="683"/>
      <c r="D102" s="754"/>
      <c r="E102" s="754"/>
    </row>
    <row r="103" spans="1:5" s="752" customFormat="1" x14ac:dyDescent="0.35">
      <c r="A103" s="753"/>
      <c r="C103" s="683"/>
      <c r="D103" s="754"/>
      <c r="E103" s="754"/>
    </row>
    <row r="104" spans="1:5" s="752" customFormat="1" x14ac:dyDescent="0.35">
      <c r="A104" s="753"/>
      <c r="C104" s="683"/>
      <c r="D104" s="754"/>
      <c r="E104" s="754"/>
    </row>
    <row r="105" spans="1:5" s="752" customFormat="1" x14ac:dyDescent="0.35">
      <c r="A105" s="753"/>
      <c r="C105" s="683"/>
      <c r="D105" s="754"/>
      <c r="E105" s="754"/>
    </row>
    <row r="106" spans="1:5" s="752" customFormat="1" x14ac:dyDescent="0.35">
      <c r="A106" s="753"/>
      <c r="C106" s="683"/>
      <c r="D106" s="754"/>
      <c r="E106" s="754"/>
    </row>
    <row r="107" spans="1:5" s="752" customFormat="1" x14ac:dyDescent="0.35">
      <c r="A107" s="753"/>
      <c r="C107" s="683"/>
      <c r="D107" s="754"/>
      <c r="E107" s="754"/>
    </row>
    <row r="108" spans="1:5" s="752" customFormat="1" x14ac:dyDescent="0.35">
      <c r="A108" s="753"/>
      <c r="C108" s="683"/>
      <c r="D108" s="754"/>
      <c r="E108" s="754"/>
    </row>
    <row r="109" spans="1:5" s="752" customFormat="1" x14ac:dyDescent="0.35">
      <c r="A109" s="753"/>
      <c r="C109" s="683"/>
      <c r="D109" s="754"/>
      <c r="E109" s="754"/>
    </row>
    <row r="110" spans="1:5" s="752" customFormat="1" x14ac:dyDescent="0.35">
      <c r="A110" s="753"/>
      <c r="C110" s="683"/>
      <c r="D110" s="754"/>
      <c r="E110" s="754"/>
    </row>
    <row r="111" spans="1:5" s="752" customFormat="1" x14ac:dyDescent="0.35">
      <c r="A111" s="753"/>
      <c r="C111" s="683"/>
      <c r="D111" s="754"/>
      <c r="E111" s="754"/>
    </row>
    <row r="112" spans="1:5" s="752" customFormat="1" x14ac:dyDescent="0.35">
      <c r="A112" s="753"/>
      <c r="C112" s="683"/>
      <c r="D112" s="754"/>
      <c r="E112" s="754"/>
    </row>
    <row r="113" spans="1:5" s="752" customFormat="1" x14ac:dyDescent="0.35">
      <c r="A113" s="753"/>
      <c r="C113" s="683"/>
      <c r="D113" s="754"/>
      <c r="E113" s="754"/>
    </row>
    <row r="114" spans="1:5" s="752" customFormat="1" x14ac:dyDescent="0.35">
      <c r="A114" s="753"/>
      <c r="C114" s="683"/>
      <c r="D114" s="754"/>
      <c r="E114" s="754"/>
    </row>
    <row r="115" spans="1:5" s="752" customFormat="1" x14ac:dyDescent="0.35">
      <c r="A115" s="753"/>
      <c r="C115" s="683"/>
      <c r="D115" s="754"/>
      <c r="E115" s="754"/>
    </row>
    <row r="116" spans="1:5" s="752" customFormat="1" x14ac:dyDescent="0.35">
      <c r="A116" s="753"/>
      <c r="C116" s="683"/>
      <c r="D116" s="754"/>
      <c r="E116" s="754"/>
    </row>
    <row r="117" spans="1:5" s="752" customFormat="1" x14ac:dyDescent="0.35">
      <c r="A117" s="753"/>
      <c r="C117" s="683"/>
      <c r="D117" s="754"/>
      <c r="E117" s="754"/>
    </row>
    <row r="118" spans="1:5" s="752" customFormat="1" x14ac:dyDescent="0.35">
      <c r="A118" s="753"/>
      <c r="C118" s="683"/>
      <c r="D118" s="754"/>
      <c r="E118" s="754"/>
    </row>
    <row r="119" spans="1:5" s="752" customFormat="1" x14ac:dyDescent="0.35">
      <c r="A119" s="753"/>
      <c r="C119" s="683"/>
      <c r="D119" s="754"/>
      <c r="E119" s="754"/>
    </row>
    <row r="120" spans="1:5" s="752" customFormat="1" x14ac:dyDescent="0.35">
      <c r="A120" s="753"/>
      <c r="C120" s="683"/>
      <c r="D120" s="754"/>
      <c r="E120" s="754"/>
    </row>
    <row r="121" spans="1:5" s="752" customFormat="1" x14ac:dyDescent="0.35">
      <c r="A121" s="753"/>
      <c r="C121" s="683"/>
      <c r="D121" s="754"/>
      <c r="E121" s="754"/>
    </row>
    <row r="122" spans="1:5" s="752" customFormat="1" x14ac:dyDescent="0.35">
      <c r="A122" s="753"/>
      <c r="C122" s="683"/>
      <c r="D122" s="754"/>
      <c r="E122" s="754"/>
    </row>
    <row r="123" spans="1:5" s="752" customFormat="1" x14ac:dyDescent="0.35">
      <c r="A123" s="753"/>
      <c r="C123" s="683"/>
      <c r="D123" s="754"/>
      <c r="E123" s="754"/>
    </row>
    <row r="124" spans="1:5" s="752" customFormat="1" x14ac:dyDescent="0.35">
      <c r="A124" s="753"/>
      <c r="C124" s="683"/>
      <c r="D124" s="754"/>
      <c r="E124" s="754"/>
    </row>
    <row r="125" spans="1:5" s="752" customFormat="1" x14ac:dyDescent="0.35">
      <c r="A125" s="753"/>
      <c r="C125" s="683"/>
      <c r="D125" s="754"/>
      <c r="E125" s="754"/>
    </row>
    <row r="126" spans="1:5" s="752" customFormat="1" x14ac:dyDescent="0.35">
      <c r="A126" s="753"/>
      <c r="C126" s="683"/>
      <c r="D126" s="754"/>
      <c r="E126" s="754"/>
    </row>
    <row r="127" spans="1:5" s="752" customFormat="1" x14ac:dyDescent="0.35">
      <c r="A127" s="753"/>
      <c r="C127" s="683"/>
      <c r="D127" s="754"/>
      <c r="E127" s="754"/>
    </row>
    <row r="128" spans="1:5" s="752" customFormat="1" x14ac:dyDescent="0.35">
      <c r="A128" s="753"/>
      <c r="C128" s="683"/>
      <c r="D128" s="754"/>
      <c r="E128" s="754"/>
    </row>
    <row r="129" spans="1:5" s="752" customFormat="1" x14ac:dyDescent="0.35">
      <c r="A129" s="753"/>
      <c r="C129" s="683"/>
      <c r="D129" s="754"/>
      <c r="E129" s="754"/>
    </row>
    <row r="130" spans="1:5" s="752" customFormat="1" x14ac:dyDescent="0.35">
      <c r="A130" s="753"/>
      <c r="C130" s="683"/>
      <c r="D130" s="754"/>
      <c r="E130" s="754"/>
    </row>
    <row r="131" spans="1:5" s="752" customFormat="1" x14ac:dyDescent="0.35">
      <c r="A131" s="753"/>
      <c r="C131" s="683"/>
      <c r="D131" s="754"/>
      <c r="E131" s="754"/>
    </row>
    <row r="132" spans="1:5" s="752" customFormat="1" x14ac:dyDescent="0.35">
      <c r="A132" s="753"/>
      <c r="C132" s="683"/>
      <c r="D132" s="754"/>
      <c r="E132" s="754"/>
    </row>
    <row r="133" spans="1:5" s="752" customFormat="1" x14ac:dyDescent="0.35">
      <c r="A133" s="753"/>
      <c r="C133" s="683"/>
      <c r="D133" s="754"/>
      <c r="E133" s="754"/>
    </row>
    <row r="134" spans="1:5" s="752" customFormat="1" x14ac:dyDescent="0.35">
      <c r="A134" s="753"/>
      <c r="C134" s="683"/>
      <c r="D134" s="754"/>
      <c r="E134" s="754"/>
    </row>
    <row r="135" spans="1:5" s="752" customFormat="1" x14ac:dyDescent="0.35">
      <c r="A135" s="753"/>
      <c r="C135" s="683"/>
      <c r="D135" s="754"/>
      <c r="E135" s="754"/>
    </row>
    <row r="136" spans="1:5" s="752" customFormat="1" x14ac:dyDescent="0.35">
      <c r="A136" s="753"/>
      <c r="C136" s="683"/>
      <c r="D136" s="754"/>
      <c r="E136" s="754"/>
    </row>
    <row r="137" spans="1:5" s="752" customFormat="1" x14ac:dyDescent="0.35">
      <c r="A137" s="753"/>
      <c r="C137" s="683"/>
      <c r="D137" s="754"/>
      <c r="E137" s="754"/>
    </row>
    <row r="138" spans="1:5" s="752" customFormat="1" x14ac:dyDescent="0.35">
      <c r="A138" s="753"/>
      <c r="C138" s="683"/>
      <c r="D138" s="754"/>
      <c r="E138" s="754"/>
    </row>
    <row r="139" spans="1:5" s="752" customFormat="1" x14ac:dyDescent="0.35">
      <c r="A139" s="753"/>
      <c r="C139" s="683"/>
      <c r="D139" s="754"/>
      <c r="E139" s="754"/>
    </row>
    <row r="140" spans="1:5" s="752" customFormat="1" x14ac:dyDescent="0.35">
      <c r="A140" s="753"/>
      <c r="C140" s="683"/>
      <c r="D140" s="754"/>
      <c r="E140" s="754"/>
    </row>
    <row r="141" spans="1:5" s="752" customFormat="1" x14ac:dyDescent="0.35">
      <c r="A141" s="753"/>
      <c r="C141" s="683"/>
      <c r="D141" s="754"/>
      <c r="E141" s="754"/>
    </row>
    <row r="142" spans="1:5" s="752" customFormat="1" x14ac:dyDescent="0.35">
      <c r="A142" s="753"/>
      <c r="C142" s="683"/>
      <c r="D142" s="754"/>
      <c r="E142" s="754"/>
    </row>
    <row r="143" spans="1:5" s="752" customFormat="1" x14ac:dyDescent="0.35">
      <c r="A143" s="753"/>
      <c r="C143" s="683"/>
      <c r="D143" s="754"/>
      <c r="E143" s="754"/>
    </row>
    <row r="144" spans="1:5" s="752" customFormat="1" x14ac:dyDescent="0.35">
      <c r="A144" s="753"/>
      <c r="C144" s="683"/>
      <c r="D144" s="754"/>
      <c r="E144" s="754"/>
    </row>
    <row r="145" spans="1:5" s="752" customFormat="1" x14ac:dyDescent="0.35">
      <c r="A145" s="753"/>
      <c r="C145" s="683"/>
      <c r="D145" s="754"/>
      <c r="E145" s="754"/>
    </row>
    <row r="146" spans="1:5" s="752" customFormat="1" x14ac:dyDescent="0.35">
      <c r="A146" s="753"/>
      <c r="C146" s="683"/>
      <c r="D146" s="754"/>
      <c r="E146" s="754"/>
    </row>
    <row r="147" spans="1:5" s="752" customFormat="1" x14ac:dyDescent="0.35">
      <c r="A147" s="753"/>
      <c r="C147" s="683"/>
      <c r="D147" s="754"/>
      <c r="E147" s="754"/>
    </row>
    <row r="148" spans="1:5" s="752" customFormat="1" x14ac:dyDescent="0.35">
      <c r="A148" s="753"/>
      <c r="C148" s="683"/>
      <c r="D148" s="754"/>
      <c r="E148" s="754"/>
    </row>
    <row r="149" spans="1:5" s="752" customFormat="1" x14ac:dyDescent="0.35">
      <c r="A149" s="753"/>
      <c r="C149" s="683"/>
      <c r="D149" s="754"/>
      <c r="E149" s="754"/>
    </row>
    <row r="150" spans="1:5" s="752" customFormat="1" x14ac:dyDescent="0.35">
      <c r="A150" s="753"/>
      <c r="C150" s="683"/>
      <c r="D150" s="754"/>
      <c r="E150" s="754"/>
    </row>
    <row r="151" spans="1:5" s="752" customFormat="1" x14ac:dyDescent="0.35">
      <c r="A151" s="753"/>
      <c r="C151" s="683"/>
      <c r="D151" s="754"/>
      <c r="E151" s="754"/>
    </row>
    <row r="152" spans="1:5" s="752" customFormat="1" x14ac:dyDescent="0.35">
      <c r="A152" s="753"/>
      <c r="C152" s="683"/>
      <c r="D152" s="754"/>
      <c r="E152" s="754"/>
    </row>
    <row r="153" spans="1:5" s="752" customFormat="1" x14ac:dyDescent="0.35">
      <c r="A153" s="753"/>
      <c r="C153" s="683"/>
      <c r="D153" s="754"/>
      <c r="E153" s="754"/>
    </row>
    <row r="154" spans="1:5" s="752" customFormat="1" x14ac:dyDescent="0.35">
      <c r="A154" s="753"/>
      <c r="C154" s="683"/>
      <c r="D154" s="754"/>
      <c r="E154" s="754"/>
    </row>
    <row r="155" spans="1:5" s="752" customFormat="1" x14ac:dyDescent="0.35">
      <c r="A155" s="753"/>
      <c r="C155" s="683"/>
      <c r="D155" s="754"/>
      <c r="E155" s="754"/>
    </row>
    <row r="156" spans="1:5" s="752" customFormat="1" x14ac:dyDescent="0.35">
      <c r="A156" s="753"/>
      <c r="C156" s="683"/>
      <c r="D156" s="754"/>
      <c r="E156" s="754"/>
    </row>
    <row r="157" spans="1:5" s="752" customFormat="1" x14ac:dyDescent="0.35">
      <c r="A157" s="753"/>
      <c r="C157" s="683"/>
      <c r="D157" s="754"/>
      <c r="E157" s="754"/>
    </row>
    <row r="158" spans="1:5" s="752" customFormat="1" x14ac:dyDescent="0.35">
      <c r="A158" s="753"/>
      <c r="C158" s="683"/>
      <c r="D158" s="754"/>
      <c r="E158" s="754"/>
    </row>
    <row r="159" spans="1:5" s="752" customFormat="1" x14ac:dyDescent="0.35">
      <c r="A159" s="753"/>
      <c r="C159" s="683"/>
      <c r="D159" s="754"/>
      <c r="E159" s="754"/>
    </row>
    <row r="160" spans="1:5" s="752" customFormat="1" x14ac:dyDescent="0.35">
      <c r="A160" s="753"/>
      <c r="C160" s="683"/>
      <c r="D160" s="754"/>
      <c r="E160" s="754"/>
    </row>
    <row r="161" spans="1:5" s="752" customFormat="1" x14ac:dyDescent="0.35">
      <c r="A161" s="753"/>
      <c r="C161" s="683"/>
      <c r="D161" s="754"/>
      <c r="E161" s="754"/>
    </row>
    <row r="162" spans="1:5" s="752" customFormat="1" x14ac:dyDescent="0.35">
      <c r="A162" s="753"/>
      <c r="C162" s="683"/>
      <c r="D162" s="754"/>
      <c r="E162" s="754"/>
    </row>
    <row r="163" spans="1:5" s="752" customFormat="1" x14ac:dyDescent="0.35">
      <c r="A163" s="753"/>
      <c r="C163" s="683"/>
      <c r="D163" s="754"/>
      <c r="E163" s="754"/>
    </row>
    <row r="164" spans="1:5" s="752" customFormat="1" x14ac:dyDescent="0.35">
      <c r="A164" s="753"/>
      <c r="C164" s="683"/>
      <c r="D164" s="754"/>
      <c r="E164" s="754"/>
    </row>
    <row r="165" spans="1:5" s="752" customFormat="1" x14ac:dyDescent="0.35">
      <c r="A165" s="753"/>
      <c r="C165" s="683"/>
      <c r="D165" s="754"/>
      <c r="E165" s="754"/>
    </row>
    <row r="166" spans="1:5" s="752" customFormat="1" x14ac:dyDescent="0.35">
      <c r="A166" s="753"/>
      <c r="C166" s="683"/>
      <c r="D166" s="754"/>
      <c r="E166" s="754"/>
    </row>
    <row r="167" spans="1:5" s="752" customFormat="1" x14ac:dyDescent="0.35">
      <c r="A167" s="753"/>
      <c r="C167" s="683"/>
      <c r="D167" s="754"/>
      <c r="E167" s="754"/>
    </row>
    <row r="168" spans="1:5" s="752" customFormat="1" x14ac:dyDescent="0.35">
      <c r="A168" s="753"/>
      <c r="C168" s="683"/>
      <c r="D168" s="754"/>
      <c r="E168" s="754"/>
    </row>
    <row r="169" spans="1:5" s="752" customFormat="1" x14ac:dyDescent="0.35">
      <c r="A169" s="753"/>
      <c r="C169" s="683"/>
      <c r="D169" s="754"/>
      <c r="E169" s="754"/>
    </row>
    <row r="170" spans="1:5" s="752" customFormat="1" x14ac:dyDescent="0.35">
      <c r="A170" s="753"/>
      <c r="C170" s="683"/>
      <c r="D170" s="754"/>
      <c r="E170" s="754"/>
    </row>
    <row r="171" spans="1:5" s="752" customFormat="1" x14ac:dyDescent="0.35">
      <c r="A171" s="753"/>
      <c r="C171" s="683"/>
      <c r="D171" s="754"/>
      <c r="E171" s="754"/>
    </row>
    <row r="172" spans="1:5" s="752" customFormat="1" x14ac:dyDescent="0.35">
      <c r="A172" s="753"/>
      <c r="C172" s="683"/>
      <c r="D172" s="754"/>
      <c r="E172" s="754"/>
    </row>
    <row r="173" spans="1:5" s="752" customFormat="1" x14ac:dyDescent="0.35">
      <c r="A173" s="753"/>
      <c r="C173" s="683"/>
      <c r="D173" s="754"/>
      <c r="E173" s="754"/>
    </row>
    <row r="174" spans="1:5" s="752" customFormat="1" x14ac:dyDescent="0.35">
      <c r="A174" s="753"/>
      <c r="C174" s="683"/>
      <c r="D174" s="754"/>
      <c r="E174" s="754"/>
    </row>
    <row r="175" spans="1:5" s="752" customFormat="1" x14ac:dyDescent="0.35">
      <c r="A175" s="753"/>
      <c r="C175" s="683"/>
      <c r="D175" s="754"/>
      <c r="E175" s="754"/>
    </row>
    <row r="176" spans="1:5" s="752" customFormat="1" x14ac:dyDescent="0.35">
      <c r="A176" s="753"/>
      <c r="C176" s="683"/>
      <c r="D176" s="754"/>
      <c r="E176" s="754"/>
    </row>
    <row r="177" spans="1:5" s="752" customFormat="1" x14ac:dyDescent="0.35">
      <c r="A177" s="753"/>
      <c r="C177" s="683"/>
      <c r="D177" s="754"/>
      <c r="E177" s="754"/>
    </row>
    <row r="178" spans="1:5" s="752" customFormat="1" x14ac:dyDescent="0.35">
      <c r="A178" s="753"/>
      <c r="C178" s="683"/>
      <c r="D178" s="754"/>
      <c r="E178" s="754"/>
    </row>
    <row r="179" spans="1:5" s="752" customFormat="1" x14ac:dyDescent="0.35">
      <c r="A179" s="753"/>
      <c r="C179" s="683"/>
      <c r="D179" s="754"/>
      <c r="E179" s="754"/>
    </row>
    <row r="180" spans="1:5" s="752" customFormat="1" x14ac:dyDescent="0.35">
      <c r="A180" s="753"/>
      <c r="C180" s="683"/>
      <c r="D180" s="754"/>
      <c r="E180" s="754"/>
    </row>
    <row r="181" spans="1:5" s="752" customFormat="1" x14ac:dyDescent="0.35">
      <c r="A181" s="753"/>
      <c r="C181" s="683"/>
      <c r="D181" s="754"/>
      <c r="E181" s="754"/>
    </row>
    <row r="182" spans="1:5" s="752" customFormat="1" x14ac:dyDescent="0.35">
      <c r="A182" s="753"/>
      <c r="C182" s="683"/>
      <c r="D182" s="754"/>
      <c r="E182" s="754"/>
    </row>
    <row r="183" spans="1:5" s="752" customFormat="1" x14ac:dyDescent="0.35">
      <c r="A183" s="753"/>
      <c r="C183" s="683"/>
      <c r="D183" s="754"/>
      <c r="E183" s="754"/>
    </row>
    <row r="184" spans="1:5" s="752" customFormat="1" x14ac:dyDescent="0.35">
      <c r="A184" s="753"/>
      <c r="C184" s="683"/>
      <c r="D184" s="754"/>
      <c r="E184" s="754"/>
    </row>
    <row r="185" spans="1:5" s="752" customFormat="1" x14ac:dyDescent="0.35">
      <c r="A185" s="753"/>
      <c r="C185" s="683"/>
      <c r="D185" s="754"/>
      <c r="E185" s="754"/>
    </row>
    <row r="186" spans="1:5" s="752" customFormat="1" x14ac:dyDescent="0.35">
      <c r="A186" s="753"/>
      <c r="C186" s="683"/>
      <c r="D186" s="754"/>
      <c r="E186" s="754"/>
    </row>
    <row r="187" spans="1:5" s="752" customFormat="1" x14ac:dyDescent="0.35">
      <c r="A187" s="753"/>
      <c r="C187" s="683"/>
      <c r="D187" s="754"/>
      <c r="E187" s="754"/>
    </row>
    <row r="188" spans="1:5" s="752" customFormat="1" x14ac:dyDescent="0.35">
      <c r="A188" s="753"/>
      <c r="C188" s="683"/>
      <c r="D188" s="754"/>
      <c r="E188" s="754"/>
    </row>
    <row r="189" spans="1:5" s="752" customFormat="1" x14ac:dyDescent="0.35">
      <c r="A189" s="753"/>
      <c r="C189" s="683"/>
      <c r="D189" s="754"/>
      <c r="E189" s="754"/>
    </row>
    <row r="190" spans="1:5" s="752" customFormat="1" x14ac:dyDescent="0.35">
      <c r="A190" s="753"/>
      <c r="C190" s="683"/>
      <c r="D190" s="754"/>
      <c r="E190" s="754"/>
    </row>
    <row r="191" spans="1:5" s="752" customFormat="1" x14ac:dyDescent="0.35">
      <c r="A191" s="753"/>
      <c r="C191" s="683"/>
      <c r="D191" s="754"/>
      <c r="E191" s="754"/>
    </row>
    <row r="192" spans="1:5" s="752" customFormat="1" x14ac:dyDescent="0.35">
      <c r="A192" s="753"/>
      <c r="C192" s="683"/>
      <c r="D192" s="754"/>
      <c r="E192" s="754"/>
    </row>
    <row r="193" spans="1:5" s="752" customFormat="1" x14ac:dyDescent="0.35">
      <c r="A193" s="753"/>
      <c r="C193" s="683"/>
      <c r="D193" s="754"/>
      <c r="E193" s="754"/>
    </row>
    <row r="194" spans="1:5" s="752" customFormat="1" x14ac:dyDescent="0.35">
      <c r="A194" s="753"/>
      <c r="C194" s="683"/>
      <c r="D194" s="754"/>
      <c r="E194" s="754"/>
    </row>
    <row r="195" spans="1:5" s="752" customFormat="1" x14ac:dyDescent="0.35">
      <c r="A195" s="753"/>
      <c r="C195" s="683"/>
      <c r="D195" s="754"/>
      <c r="E195" s="754"/>
    </row>
    <row r="196" spans="1:5" s="752" customFormat="1" x14ac:dyDescent="0.35">
      <c r="A196" s="753"/>
      <c r="C196" s="683"/>
      <c r="D196" s="754"/>
      <c r="E196" s="754"/>
    </row>
    <row r="197" spans="1:5" s="752" customFormat="1" x14ac:dyDescent="0.35">
      <c r="A197" s="753"/>
      <c r="C197" s="683"/>
      <c r="D197" s="754"/>
      <c r="E197" s="754"/>
    </row>
    <row r="198" spans="1:5" s="752" customFormat="1" x14ac:dyDescent="0.35">
      <c r="A198" s="753"/>
      <c r="C198" s="683"/>
      <c r="D198" s="754"/>
      <c r="E198" s="754"/>
    </row>
    <row r="199" spans="1:5" s="752" customFormat="1" x14ac:dyDescent="0.35">
      <c r="A199" s="753"/>
      <c r="C199" s="683"/>
      <c r="D199" s="754"/>
      <c r="E199" s="754"/>
    </row>
    <row r="200" spans="1:5" s="752" customFormat="1" x14ac:dyDescent="0.35">
      <c r="A200" s="753"/>
      <c r="C200" s="683"/>
      <c r="D200" s="754"/>
      <c r="E200" s="754"/>
    </row>
    <row r="201" spans="1:5" s="752" customFormat="1" x14ac:dyDescent="0.35">
      <c r="A201" s="753"/>
      <c r="C201" s="683"/>
      <c r="D201" s="754"/>
      <c r="E201" s="754"/>
    </row>
    <row r="202" spans="1:5" s="752" customFormat="1" x14ac:dyDescent="0.35">
      <c r="A202" s="753"/>
      <c r="C202" s="683"/>
      <c r="D202" s="754"/>
      <c r="E202" s="754"/>
    </row>
    <row r="203" spans="1:5" s="752" customFormat="1" x14ac:dyDescent="0.35">
      <c r="A203" s="753"/>
      <c r="C203" s="683"/>
      <c r="D203" s="754"/>
      <c r="E203" s="754"/>
    </row>
    <row r="204" spans="1:5" s="752" customFormat="1" x14ac:dyDescent="0.35">
      <c r="A204" s="753"/>
      <c r="C204" s="683"/>
      <c r="D204" s="754"/>
      <c r="E204" s="754"/>
    </row>
    <row r="205" spans="1:5" s="752" customFormat="1" x14ac:dyDescent="0.35">
      <c r="A205" s="753"/>
      <c r="C205" s="683"/>
      <c r="D205" s="754"/>
      <c r="E205" s="754"/>
    </row>
    <row r="206" spans="1:5" s="752" customFormat="1" x14ac:dyDescent="0.35">
      <c r="A206" s="753"/>
      <c r="C206" s="683"/>
      <c r="D206" s="754"/>
      <c r="E206" s="754"/>
    </row>
    <row r="207" spans="1:5" s="752" customFormat="1" x14ac:dyDescent="0.35">
      <c r="A207" s="753"/>
      <c r="C207" s="683"/>
      <c r="D207" s="754"/>
      <c r="E207" s="754"/>
    </row>
    <row r="208" spans="1:5" s="752" customFormat="1" x14ac:dyDescent="0.35">
      <c r="A208" s="753"/>
      <c r="C208" s="683"/>
      <c r="D208" s="754"/>
      <c r="E208" s="754"/>
    </row>
    <row r="209" spans="1:5" s="752" customFormat="1" x14ac:dyDescent="0.35">
      <c r="A209" s="753"/>
      <c r="C209" s="683"/>
      <c r="D209" s="754"/>
      <c r="E209" s="754"/>
    </row>
    <row r="210" spans="1:5" s="752" customFormat="1" x14ac:dyDescent="0.35">
      <c r="A210" s="753"/>
      <c r="C210" s="683"/>
      <c r="D210" s="754"/>
      <c r="E210" s="754"/>
    </row>
    <row r="211" spans="1:5" s="752" customFormat="1" x14ac:dyDescent="0.35">
      <c r="A211" s="753"/>
      <c r="C211" s="683"/>
      <c r="D211" s="754"/>
      <c r="E211" s="754"/>
    </row>
    <row r="212" spans="1:5" s="752" customFormat="1" x14ac:dyDescent="0.35">
      <c r="A212" s="753"/>
      <c r="C212" s="683"/>
      <c r="D212" s="754"/>
      <c r="E212" s="754"/>
    </row>
    <row r="213" spans="1:5" s="752" customFormat="1" x14ac:dyDescent="0.35">
      <c r="A213" s="753"/>
      <c r="C213" s="683"/>
      <c r="D213" s="754"/>
      <c r="E213" s="754"/>
    </row>
    <row r="214" spans="1:5" s="752" customFormat="1" x14ac:dyDescent="0.35">
      <c r="A214" s="753"/>
      <c r="C214" s="683"/>
      <c r="D214" s="754"/>
      <c r="E214" s="754"/>
    </row>
    <row r="215" spans="1:5" s="752" customFormat="1" x14ac:dyDescent="0.35">
      <c r="A215" s="753"/>
      <c r="C215" s="683"/>
      <c r="D215" s="754"/>
      <c r="E215" s="754"/>
    </row>
    <row r="216" spans="1:5" s="752" customFormat="1" x14ac:dyDescent="0.35">
      <c r="A216" s="753"/>
      <c r="C216" s="683"/>
      <c r="D216" s="754"/>
      <c r="E216" s="754"/>
    </row>
    <row r="217" spans="1:5" s="752" customFormat="1" x14ac:dyDescent="0.35">
      <c r="A217" s="753"/>
      <c r="C217" s="683"/>
      <c r="D217" s="754"/>
      <c r="E217" s="754"/>
    </row>
    <row r="218" spans="1:5" s="752" customFormat="1" x14ac:dyDescent="0.35">
      <c r="A218" s="753"/>
      <c r="C218" s="683"/>
      <c r="D218" s="754"/>
      <c r="E218" s="754"/>
    </row>
    <row r="219" spans="1:5" s="752" customFormat="1" x14ac:dyDescent="0.35">
      <c r="A219" s="753"/>
      <c r="C219" s="683"/>
      <c r="D219" s="754"/>
      <c r="E219" s="754"/>
    </row>
    <row r="220" spans="1:5" s="752" customFormat="1" x14ac:dyDescent="0.35">
      <c r="A220" s="753"/>
      <c r="C220" s="683"/>
      <c r="D220" s="754"/>
      <c r="E220" s="754"/>
    </row>
    <row r="221" spans="1:5" s="752" customFormat="1" x14ac:dyDescent="0.35">
      <c r="A221" s="753"/>
      <c r="C221" s="683"/>
      <c r="D221" s="754"/>
      <c r="E221" s="754"/>
    </row>
    <row r="222" spans="1:5" s="752" customFormat="1" x14ac:dyDescent="0.35">
      <c r="A222" s="753"/>
      <c r="C222" s="683"/>
      <c r="D222" s="754"/>
      <c r="E222" s="754"/>
    </row>
    <row r="223" spans="1:5" s="752" customFormat="1" x14ac:dyDescent="0.35">
      <c r="A223" s="753"/>
      <c r="C223" s="683"/>
      <c r="D223" s="754"/>
      <c r="E223" s="754"/>
    </row>
    <row r="224" spans="1:5" s="752" customFormat="1" x14ac:dyDescent="0.35">
      <c r="A224" s="753"/>
      <c r="C224" s="683"/>
      <c r="D224" s="754"/>
      <c r="E224" s="754"/>
    </row>
    <row r="225" spans="1:5" s="752" customFormat="1" x14ac:dyDescent="0.35">
      <c r="A225" s="753"/>
      <c r="C225" s="683"/>
      <c r="D225" s="754"/>
      <c r="E225" s="754"/>
    </row>
    <row r="226" spans="1:5" s="752" customFormat="1" x14ac:dyDescent="0.35">
      <c r="A226" s="753"/>
      <c r="C226" s="683"/>
      <c r="D226" s="754"/>
      <c r="E226" s="754"/>
    </row>
    <row r="227" spans="1:5" s="752" customFormat="1" x14ac:dyDescent="0.35">
      <c r="A227" s="753"/>
      <c r="C227" s="683"/>
      <c r="D227" s="754"/>
      <c r="E227" s="754"/>
    </row>
    <row r="228" spans="1:5" s="752" customFormat="1" x14ac:dyDescent="0.35">
      <c r="A228" s="753"/>
      <c r="C228" s="683"/>
      <c r="D228" s="754"/>
      <c r="E228" s="754"/>
    </row>
    <row r="229" spans="1:5" s="752" customFormat="1" x14ac:dyDescent="0.35">
      <c r="A229" s="753"/>
      <c r="C229" s="683"/>
      <c r="D229" s="754"/>
      <c r="E229" s="754"/>
    </row>
    <row r="230" spans="1:5" s="752" customFormat="1" x14ac:dyDescent="0.35">
      <c r="A230" s="753"/>
      <c r="C230" s="683"/>
      <c r="D230" s="754"/>
      <c r="E230" s="754"/>
    </row>
    <row r="231" spans="1:5" s="752" customFormat="1" x14ac:dyDescent="0.35">
      <c r="A231" s="753"/>
      <c r="C231" s="683"/>
      <c r="D231" s="754"/>
      <c r="E231" s="754"/>
    </row>
    <row r="232" spans="1:5" s="752" customFormat="1" x14ac:dyDescent="0.35">
      <c r="A232" s="753"/>
      <c r="C232" s="683"/>
      <c r="D232" s="754"/>
      <c r="E232" s="754"/>
    </row>
    <row r="233" spans="1:5" s="752" customFormat="1" x14ac:dyDescent="0.35">
      <c r="A233" s="753"/>
      <c r="C233" s="683"/>
      <c r="D233" s="754"/>
      <c r="E233" s="754"/>
    </row>
    <row r="234" spans="1:5" s="752" customFormat="1" x14ac:dyDescent="0.35">
      <c r="A234" s="753"/>
      <c r="C234" s="683"/>
      <c r="D234" s="754"/>
      <c r="E234" s="754"/>
    </row>
    <row r="235" spans="1:5" s="752" customFormat="1" x14ac:dyDescent="0.35">
      <c r="A235" s="753"/>
      <c r="C235" s="683"/>
      <c r="D235" s="754"/>
      <c r="E235" s="754"/>
    </row>
    <row r="236" spans="1:5" s="752" customFormat="1" x14ac:dyDescent="0.35">
      <c r="A236" s="753"/>
      <c r="C236" s="683"/>
      <c r="D236" s="754"/>
      <c r="E236" s="754"/>
    </row>
    <row r="237" spans="1:5" s="752" customFormat="1" x14ac:dyDescent="0.35">
      <c r="A237" s="753"/>
      <c r="C237" s="683"/>
      <c r="D237" s="754"/>
      <c r="E237" s="754"/>
    </row>
    <row r="238" spans="1:5" s="752" customFormat="1" x14ac:dyDescent="0.35">
      <c r="A238" s="753"/>
      <c r="C238" s="683"/>
      <c r="D238" s="754"/>
      <c r="E238" s="754"/>
    </row>
    <row r="239" spans="1:5" s="752" customFormat="1" x14ac:dyDescent="0.35">
      <c r="A239" s="753"/>
      <c r="C239" s="683"/>
      <c r="D239" s="754"/>
      <c r="E239" s="754"/>
    </row>
    <row r="240" spans="1:5" s="752" customFormat="1" x14ac:dyDescent="0.35">
      <c r="A240" s="753"/>
      <c r="C240" s="683"/>
      <c r="D240" s="754"/>
      <c r="E240" s="754"/>
    </row>
    <row r="241" spans="1:5" s="752" customFormat="1" x14ac:dyDescent="0.35">
      <c r="A241" s="753"/>
      <c r="C241" s="683"/>
      <c r="D241" s="754"/>
      <c r="E241" s="754"/>
    </row>
    <row r="242" spans="1:5" s="752" customFormat="1" x14ac:dyDescent="0.35">
      <c r="A242" s="753"/>
      <c r="C242" s="683"/>
      <c r="D242" s="754"/>
      <c r="E242" s="754"/>
    </row>
    <row r="243" spans="1:5" s="752" customFormat="1" x14ac:dyDescent="0.35">
      <c r="A243" s="753"/>
      <c r="C243" s="683"/>
      <c r="D243" s="754"/>
      <c r="E243" s="754"/>
    </row>
    <row r="244" spans="1:5" s="752" customFormat="1" x14ac:dyDescent="0.35">
      <c r="A244" s="753"/>
      <c r="C244" s="683"/>
      <c r="D244" s="754"/>
      <c r="E244" s="754"/>
    </row>
    <row r="245" spans="1:5" s="752" customFormat="1" x14ac:dyDescent="0.35">
      <c r="A245" s="753"/>
      <c r="C245" s="683"/>
      <c r="D245" s="754"/>
      <c r="E245" s="754"/>
    </row>
    <row r="246" spans="1:5" s="752" customFormat="1" x14ac:dyDescent="0.35">
      <c r="A246" s="753"/>
      <c r="C246" s="683"/>
      <c r="D246" s="754"/>
      <c r="E246" s="754"/>
    </row>
    <row r="247" spans="1:5" s="752" customFormat="1" x14ac:dyDescent="0.35">
      <c r="A247" s="753"/>
      <c r="C247" s="683"/>
      <c r="D247" s="754"/>
      <c r="E247" s="754"/>
    </row>
    <row r="248" spans="1:5" s="752" customFormat="1" x14ac:dyDescent="0.35">
      <c r="A248" s="753"/>
      <c r="C248" s="683"/>
      <c r="D248" s="754"/>
      <c r="E248" s="754"/>
    </row>
    <row r="249" spans="1:5" s="752" customFormat="1" x14ac:dyDescent="0.35">
      <c r="A249" s="753"/>
      <c r="C249" s="683"/>
      <c r="D249" s="754"/>
      <c r="E249" s="754"/>
    </row>
    <row r="250" spans="1:5" s="752" customFormat="1" x14ac:dyDescent="0.35">
      <c r="A250" s="753"/>
      <c r="C250" s="683"/>
      <c r="D250" s="754"/>
      <c r="E250" s="754"/>
    </row>
    <row r="251" spans="1:5" s="752" customFormat="1" x14ac:dyDescent="0.35">
      <c r="A251" s="753"/>
      <c r="C251" s="683"/>
      <c r="D251" s="754"/>
      <c r="E251" s="754"/>
    </row>
    <row r="252" spans="1:5" s="752" customFormat="1" x14ac:dyDescent="0.35">
      <c r="A252" s="753"/>
      <c r="C252" s="683"/>
      <c r="D252" s="754"/>
      <c r="E252" s="754"/>
    </row>
    <row r="253" spans="1:5" s="752" customFormat="1" x14ac:dyDescent="0.35">
      <c r="A253" s="753"/>
      <c r="C253" s="683"/>
      <c r="D253" s="754"/>
      <c r="E253" s="754"/>
    </row>
    <row r="254" spans="1:5" s="752" customFormat="1" x14ac:dyDescent="0.35">
      <c r="A254" s="753"/>
      <c r="C254" s="683"/>
      <c r="D254" s="754"/>
      <c r="E254" s="754"/>
    </row>
    <row r="255" spans="1:5" s="752" customFormat="1" x14ac:dyDescent="0.35">
      <c r="A255" s="753"/>
      <c r="C255" s="683"/>
      <c r="D255" s="754"/>
      <c r="E255" s="754"/>
    </row>
    <row r="256" spans="1:5" s="752" customFormat="1" x14ac:dyDescent="0.35">
      <c r="A256" s="753"/>
      <c r="C256" s="683"/>
      <c r="D256" s="754"/>
      <c r="E256" s="754"/>
    </row>
    <row r="257" spans="1:5" s="752" customFormat="1" x14ac:dyDescent="0.35">
      <c r="A257" s="753"/>
      <c r="C257" s="683"/>
      <c r="D257" s="754"/>
      <c r="E257" s="754"/>
    </row>
    <row r="258" spans="1:5" s="752" customFormat="1" x14ac:dyDescent="0.35">
      <c r="A258" s="753"/>
      <c r="C258" s="683"/>
      <c r="D258" s="754"/>
      <c r="E258" s="754"/>
    </row>
    <row r="259" spans="1:5" s="752" customFormat="1" x14ac:dyDescent="0.35">
      <c r="A259" s="753"/>
      <c r="C259" s="683"/>
      <c r="D259" s="754"/>
      <c r="E259" s="754"/>
    </row>
    <row r="260" spans="1:5" s="752" customFormat="1" x14ac:dyDescent="0.35">
      <c r="A260" s="753"/>
      <c r="C260" s="683"/>
      <c r="D260" s="754"/>
      <c r="E260" s="754"/>
    </row>
    <row r="261" spans="1:5" s="752" customFormat="1" x14ac:dyDescent="0.35">
      <c r="A261" s="753"/>
      <c r="C261" s="683"/>
      <c r="D261" s="754"/>
      <c r="E261" s="754"/>
    </row>
    <row r="262" spans="1:5" s="752" customFormat="1" x14ac:dyDescent="0.35">
      <c r="A262" s="753"/>
      <c r="C262" s="683"/>
      <c r="D262" s="754"/>
      <c r="E262" s="754"/>
    </row>
    <row r="263" spans="1:5" s="752" customFormat="1" x14ac:dyDescent="0.35">
      <c r="A263" s="753"/>
      <c r="C263" s="683"/>
      <c r="D263" s="754"/>
      <c r="E263" s="754"/>
    </row>
    <row r="264" spans="1:5" s="752" customFormat="1" x14ac:dyDescent="0.35">
      <c r="A264" s="753"/>
      <c r="C264" s="683"/>
      <c r="D264" s="754"/>
      <c r="E264" s="754"/>
    </row>
    <row r="265" spans="1:5" s="752" customFormat="1" x14ac:dyDescent="0.35">
      <c r="A265" s="753"/>
      <c r="C265" s="683"/>
      <c r="D265" s="754"/>
      <c r="E265" s="754"/>
    </row>
    <row r="266" spans="1:5" s="752" customFormat="1" x14ac:dyDescent="0.35">
      <c r="A266" s="753"/>
      <c r="C266" s="683"/>
      <c r="D266" s="754"/>
      <c r="E266" s="754"/>
    </row>
    <row r="267" spans="1:5" s="752" customFormat="1" x14ac:dyDescent="0.35">
      <c r="A267" s="753"/>
      <c r="C267" s="683"/>
      <c r="D267" s="754"/>
      <c r="E267" s="754"/>
    </row>
    <row r="268" spans="1:5" s="752" customFormat="1" x14ac:dyDescent="0.35">
      <c r="A268" s="753"/>
      <c r="C268" s="683"/>
      <c r="D268" s="754"/>
      <c r="E268" s="754"/>
    </row>
    <row r="269" spans="1:5" s="752" customFormat="1" x14ac:dyDescent="0.35">
      <c r="A269" s="753"/>
      <c r="C269" s="683"/>
      <c r="D269" s="754"/>
      <c r="E269" s="754"/>
    </row>
    <row r="270" spans="1:5" s="752" customFormat="1" x14ac:dyDescent="0.35">
      <c r="A270" s="753"/>
      <c r="C270" s="683"/>
      <c r="D270" s="754"/>
      <c r="E270" s="754"/>
    </row>
    <row r="271" spans="1:5" s="752" customFormat="1" x14ac:dyDescent="0.35">
      <c r="A271" s="753"/>
      <c r="C271" s="683"/>
      <c r="D271" s="754"/>
      <c r="E271" s="754"/>
    </row>
    <row r="272" spans="1:5" s="752" customFormat="1" x14ac:dyDescent="0.35">
      <c r="A272" s="753"/>
      <c r="C272" s="683"/>
      <c r="D272" s="754"/>
      <c r="E272" s="754"/>
    </row>
    <row r="273" spans="1:5" s="752" customFormat="1" x14ac:dyDescent="0.35">
      <c r="A273" s="753"/>
      <c r="C273" s="683"/>
      <c r="D273" s="754"/>
      <c r="E273" s="754"/>
    </row>
    <row r="274" spans="1:5" s="752" customFormat="1" x14ac:dyDescent="0.35">
      <c r="A274" s="753"/>
      <c r="C274" s="683"/>
      <c r="D274" s="754"/>
      <c r="E274" s="754"/>
    </row>
    <row r="275" spans="1:5" s="752" customFormat="1" x14ac:dyDescent="0.35">
      <c r="A275" s="753"/>
      <c r="C275" s="683"/>
      <c r="D275" s="754"/>
      <c r="E275" s="754"/>
    </row>
    <row r="276" spans="1:5" s="752" customFormat="1" x14ac:dyDescent="0.35">
      <c r="A276" s="753"/>
      <c r="C276" s="683"/>
      <c r="D276" s="754"/>
      <c r="E276" s="754"/>
    </row>
    <row r="277" spans="1:5" s="752" customFormat="1" x14ac:dyDescent="0.35">
      <c r="A277" s="753"/>
      <c r="C277" s="683"/>
      <c r="D277" s="754"/>
      <c r="E277" s="754"/>
    </row>
    <row r="278" spans="1:5" s="752" customFormat="1" x14ac:dyDescent="0.35">
      <c r="A278" s="753"/>
      <c r="C278" s="683"/>
      <c r="D278" s="754"/>
      <c r="E278" s="754"/>
    </row>
    <row r="279" spans="1:5" s="752" customFormat="1" x14ac:dyDescent="0.35">
      <c r="A279" s="753"/>
      <c r="C279" s="683"/>
      <c r="D279" s="754"/>
      <c r="E279" s="754"/>
    </row>
    <row r="280" spans="1:5" s="752" customFormat="1" x14ac:dyDescent="0.35">
      <c r="A280" s="753"/>
      <c r="C280" s="683"/>
      <c r="D280" s="754"/>
      <c r="E280" s="754"/>
    </row>
    <row r="281" spans="1:5" s="752" customFormat="1" x14ac:dyDescent="0.35">
      <c r="A281" s="753"/>
      <c r="C281" s="683"/>
      <c r="D281" s="754"/>
      <c r="E281" s="754"/>
    </row>
    <row r="282" spans="1:5" s="752" customFormat="1" x14ac:dyDescent="0.35">
      <c r="A282" s="753"/>
      <c r="C282" s="683"/>
      <c r="D282" s="754"/>
      <c r="E282" s="754"/>
    </row>
    <row r="283" spans="1:5" s="752" customFormat="1" x14ac:dyDescent="0.35">
      <c r="A283" s="753"/>
      <c r="C283" s="683"/>
      <c r="D283" s="754"/>
      <c r="E283" s="754"/>
    </row>
    <row r="284" spans="1:5" s="752" customFormat="1" x14ac:dyDescent="0.35">
      <c r="A284" s="753"/>
      <c r="C284" s="683"/>
      <c r="D284" s="754"/>
      <c r="E284" s="754"/>
    </row>
    <row r="285" spans="1:5" s="752" customFormat="1" x14ac:dyDescent="0.35">
      <c r="A285" s="753"/>
      <c r="C285" s="683"/>
      <c r="D285" s="754"/>
      <c r="E285" s="754"/>
    </row>
    <row r="286" spans="1:5" s="752" customFormat="1" x14ac:dyDescent="0.35">
      <c r="A286" s="753"/>
      <c r="C286" s="683"/>
      <c r="D286" s="754"/>
      <c r="E286" s="754"/>
    </row>
    <row r="287" spans="1:5" s="752" customFormat="1" x14ac:dyDescent="0.35">
      <c r="A287" s="753"/>
      <c r="C287" s="683"/>
      <c r="D287" s="754"/>
      <c r="E287" s="754"/>
    </row>
    <row r="288" spans="1:5" s="752" customFormat="1" x14ac:dyDescent="0.35">
      <c r="A288" s="753"/>
      <c r="C288" s="683"/>
      <c r="D288" s="754"/>
      <c r="E288" s="754"/>
    </row>
    <row r="289" spans="1:5" s="752" customFormat="1" x14ac:dyDescent="0.35">
      <c r="A289" s="753"/>
      <c r="C289" s="683"/>
      <c r="D289" s="754"/>
      <c r="E289" s="754"/>
    </row>
    <row r="290" spans="1:5" s="752" customFormat="1" x14ac:dyDescent="0.35">
      <c r="A290" s="753"/>
      <c r="C290" s="683"/>
      <c r="D290" s="754"/>
      <c r="E290" s="754"/>
    </row>
    <row r="291" spans="1:5" s="752" customFormat="1" x14ac:dyDescent="0.35">
      <c r="A291" s="753"/>
      <c r="C291" s="683"/>
      <c r="D291" s="754"/>
      <c r="E291" s="754"/>
    </row>
    <row r="292" spans="1:5" s="752" customFormat="1" x14ac:dyDescent="0.35">
      <c r="A292" s="753"/>
      <c r="C292" s="683"/>
      <c r="D292" s="754"/>
      <c r="E292" s="754"/>
    </row>
    <row r="293" spans="1:5" s="752" customFormat="1" x14ac:dyDescent="0.35">
      <c r="A293" s="753"/>
      <c r="C293" s="683"/>
      <c r="D293" s="754"/>
      <c r="E293" s="754"/>
    </row>
    <row r="294" spans="1:5" s="752" customFormat="1" x14ac:dyDescent="0.35">
      <c r="A294" s="753"/>
      <c r="C294" s="683"/>
      <c r="D294" s="754"/>
      <c r="E294" s="754"/>
    </row>
    <row r="295" spans="1:5" s="752" customFormat="1" x14ac:dyDescent="0.35">
      <c r="A295" s="753"/>
      <c r="C295" s="683"/>
      <c r="D295" s="754"/>
      <c r="E295" s="754"/>
    </row>
    <row r="296" spans="1:5" s="752" customFormat="1" x14ac:dyDescent="0.35">
      <c r="A296" s="753"/>
      <c r="C296" s="683"/>
      <c r="D296" s="754"/>
      <c r="E296" s="754"/>
    </row>
    <row r="297" spans="1:5" s="752" customFormat="1" x14ac:dyDescent="0.35">
      <c r="A297" s="753"/>
      <c r="C297" s="683"/>
      <c r="D297" s="754"/>
      <c r="E297" s="754"/>
    </row>
    <row r="298" spans="1:5" s="752" customFormat="1" x14ac:dyDescent="0.35">
      <c r="A298" s="753"/>
      <c r="C298" s="683"/>
      <c r="D298" s="754"/>
      <c r="E298" s="754"/>
    </row>
    <row r="299" spans="1:5" s="752" customFormat="1" x14ac:dyDescent="0.35">
      <c r="A299" s="753"/>
      <c r="C299" s="683"/>
      <c r="D299" s="754"/>
      <c r="E299" s="754"/>
    </row>
    <row r="300" spans="1:5" s="752" customFormat="1" x14ac:dyDescent="0.35">
      <c r="A300" s="753"/>
      <c r="C300" s="683"/>
      <c r="D300" s="754"/>
      <c r="E300" s="754"/>
    </row>
    <row r="301" spans="1:5" s="752" customFormat="1" x14ac:dyDescent="0.35">
      <c r="A301" s="753"/>
      <c r="C301" s="683"/>
      <c r="D301" s="754"/>
      <c r="E301" s="754"/>
    </row>
    <row r="302" spans="1:5" s="752" customFormat="1" x14ac:dyDescent="0.35">
      <c r="A302" s="753"/>
      <c r="C302" s="683"/>
      <c r="D302" s="754"/>
      <c r="E302" s="754"/>
    </row>
    <row r="303" spans="1:5" s="752" customFormat="1" x14ac:dyDescent="0.35">
      <c r="A303" s="753"/>
      <c r="C303" s="683"/>
      <c r="D303" s="754"/>
      <c r="E303" s="754"/>
    </row>
    <row r="304" spans="1:5" s="752" customFormat="1" x14ac:dyDescent="0.35">
      <c r="A304" s="753"/>
      <c r="C304" s="683"/>
      <c r="D304" s="754"/>
      <c r="E304" s="754"/>
    </row>
    <row r="305" spans="1:5" s="752" customFormat="1" x14ac:dyDescent="0.35">
      <c r="A305" s="753"/>
      <c r="C305" s="683"/>
      <c r="D305" s="754"/>
      <c r="E305" s="754"/>
    </row>
    <row r="306" spans="1:5" s="752" customFormat="1" x14ac:dyDescent="0.35">
      <c r="A306" s="753"/>
      <c r="C306" s="683"/>
      <c r="D306" s="754"/>
      <c r="E306" s="754"/>
    </row>
    <row r="307" spans="1:5" s="752" customFormat="1" x14ac:dyDescent="0.35">
      <c r="A307" s="753"/>
      <c r="C307" s="683"/>
      <c r="D307" s="754"/>
      <c r="E307" s="754"/>
    </row>
    <row r="308" spans="1:5" s="752" customFormat="1" x14ac:dyDescent="0.35">
      <c r="A308" s="753"/>
      <c r="C308" s="683"/>
      <c r="D308" s="754"/>
      <c r="E308" s="754"/>
    </row>
    <row r="309" spans="1:5" s="752" customFormat="1" x14ac:dyDescent="0.35">
      <c r="A309" s="753"/>
      <c r="C309" s="683"/>
      <c r="D309" s="754"/>
      <c r="E309" s="754"/>
    </row>
    <row r="310" spans="1:5" s="752" customFormat="1" x14ac:dyDescent="0.35">
      <c r="A310" s="753"/>
      <c r="C310" s="683"/>
      <c r="D310" s="754"/>
      <c r="E310" s="754"/>
    </row>
    <row r="311" spans="1:5" s="752" customFormat="1" x14ac:dyDescent="0.35">
      <c r="A311" s="753"/>
      <c r="C311" s="683"/>
      <c r="D311" s="754"/>
      <c r="E311" s="754"/>
    </row>
    <row r="312" spans="1:5" s="752" customFormat="1" x14ac:dyDescent="0.35">
      <c r="A312" s="753"/>
      <c r="C312" s="683"/>
      <c r="D312" s="754"/>
      <c r="E312" s="754"/>
    </row>
    <row r="313" spans="1:5" s="752" customFormat="1" x14ac:dyDescent="0.35">
      <c r="A313" s="753"/>
      <c r="C313" s="683"/>
      <c r="D313" s="754"/>
      <c r="E313" s="754"/>
    </row>
    <row r="314" spans="1:5" s="752" customFormat="1" x14ac:dyDescent="0.35">
      <c r="A314" s="753"/>
      <c r="C314" s="683"/>
      <c r="D314" s="754"/>
      <c r="E314" s="754"/>
    </row>
    <row r="315" spans="1:5" s="752" customFormat="1" x14ac:dyDescent="0.35">
      <c r="A315" s="753"/>
      <c r="C315" s="683"/>
      <c r="D315" s="754"/>
      <c r="E315" s="754"/>
    </row>
    <row r="316" spans="1:5" s="752" customFormat="1" x14ac:dyDescent="0.35">
      <c r="A316" s="753"/>
      <c r="C316" s="683"/>
      <c r="D316" s="754"/>
      <c r="E316" s="754"/>
    </row>
    <row r="317" spans="1:5" s="752" customFormat="1" x14ac:dyDescent="0.35">
      <c r="A317" s="753"/>
      <c r="C317" s="683"/>
      <c r="D317" s="754"/>
      <c r="E317" s="754"/>
    </row>
    <row r="318" spans="1:5" s="752" customFormat="1" x14ac:dyDescent="0.35">
      <c r="A318" s="753"/>
      <c r="C318" s="683"/>
      <c r="D318" s="754"/>
      <c r="E318" s="754"/>
    </row>
    <row r="319" spans="1:5" s="752" customFormat="1" x14ac:dyDescent="0.35">
      <c r="A319" s="753"/>
      <c r="C319" s="683"/>
      <c r="D319" s="754"/>
      <c r="E319" s="754"/>
    </row>
    <row r="320" spans="1:5" s="752" customFormat="1" x14ac:dyDescent="0.35">
      <c r="A320" s="753"/>
      <c r="C320" s="683"/>
      <c r="D320" s="754"/>
      <c r="E320" s="754"/>
    </row>
    <row r="321" spans="1:5" s="752" customFormat="1" x14ac:dyDescent="0.35">
      <c r="A321" s="753"/>
      <c r="C321" s="683"/>
      <c r="D321" s="754"/>
      <c r="E321" s="754"/>
    </row>
    <row r="322" spans="1:5" s="752" customFormat="1" x14ac:dyDescent="0.35">
      <c r="A322" s="753"/>
      <c r="C322" s="683"/>
      <c r="D322" s="754"/>
      <c r="E322" s="754"/>
    </row>
    <row r="323" spans="1:5" s="752" customFormat="1" x14ac:dyDescent="0.35">
      <c r="A323" s="753"/>
      <c r="C323" s="683"/>
      <c r="D323" s="754"/>
      <c r="E323" s="754"/>
    </row>
    <row r="324" spans="1:5" s="752" customFormat="1" x14ac:dyDescent="0.35">
      <c r="A324" s="753"/>
      <c r="C324" s="683"/>
      <c r="D324" s="754"/>
      <c r="E324" s="754"/>
    </row>
    <row r="325" spans="1:5" s="752" customFormat="1" x14ac:dyDescent="0.35">
      <c r="A325" s="753"/>
      <c r="C325" s="683"/>
      <c r="D325" s="754"/>
      <c r="E325" s="754"/>
    </row>
    <row r="326" spans="1:5" s="752" customFormat="1" x14ac:dyDescent="0.35">
      <c r="A326" s="753"/>
      <c r="C326" s="683"/>
      <c r="D326" s="754"/>
      <c r="E326" s="754"/>
    </row>
    <row r="327" spans="1:5" s="752" customFormat="1" x14ac:dyDescent="0.35">
      <c r="A327" s="753"/>
      <c r="C327" s="683"/>
      <c r="D327" s="754"/>
      <c r="E327" s="754"/>
    </row>
    <row r="328" spans="1:5" s="752" customFormat="1" x14ac:dyDescent="0.35">
      <c r="A328" s="753"/>
      <c r="C328" s="683"/>
      <c r="D328" s="754"/>
      <c r="E328" s="754"/>
    </row>
    <row r="329" spans="1:5" s="752" customFormat="1" x14ac:dyDescent="0.35">
      <c r="A329" s="753"/>
      <c r="C329" s="683"/>
      <c r="D329" s="754"/>
      <c r="E329" s="754"/>
    </row>
    <row r="330" spans="1:5" s="752" customFormat="1" x14ac:dyDescent="0.35">
      <c r="A330" s="753"/>
      <c r="C330" s="683"/>
      <c r="D330" s="754"/>
      <c r="E330" s="754"/>
    </row>
    <row r="331" spans="1:5" s="752" customFormat="1" x14ac:dyDescent="0.35">
      <c r="A331" s="753"/>
      <c r="C331" s="683"/>
      <c r="D331" s="754"/>
      <c r="E331" s="754"/>
    </row>
    <row r="332" spans="1:5" s="752" customFormat="1" x14ac:dyDescent="0.35">
      <c r="A332" s="753"/>
      <c r="C332" s="683"/>
      <c r="D332" s="754"/>
      <c r="E332" s="754"/>
    </row>
    <row r="333" spans="1:5" s="752" customFormat="1" x14ac:dyDescent="0.35">
      <c r="A333" s="753"/>
      <c r="C333" s="683"/>
      <c r="D333" s="754"/>
      <c r="E333" s="754"/>
    </row>
    <row r="334" spans="1:5" s="752" customFormat="1" x14ac:dyDescent="0.35">
      <c r="A334" s="753"/>
      <c r="C334" s="683"/>
      <c r="D334" s="754"/>
      <c r="E334" s="754"/>
    </row>
    <row r="335" spans="1:5" s="752" customFormat="1" x14ac:dyDescent="0.35">
      <c r="A335" s="753"/>
      <c r="C335" s="683"/>
      <c r="D335" s="754"/>
      <c r="E335" s="754"/>
    </row>
    <row r="336" spans="1:5" s="752" customFormat="1" x14ac:dyDescent="0.35">
      <c r="A336" s="753"/>
      <c r="C336" s="683"/>
      <c r="D336" s="754"/>
      <c r="E336" s="754"/>
    </row>
    <row r="337" spans="1:5" s="752" customFormat="1" x14ac:dyDescent="0.35">
      <c r="A337" s="753"/>
      <c r="C337" s="683"/>
      <c r="D337" s="754"/>
      <c r="E337" s="754"/>
    </row>
    <row r="338" spans="1:5" s="752" customFormat="1" x14ac:dyDescent="0.35">
      <c r="A338" s="753"/>
      <c r="C338" s="683"/>
      <c r="D338" s="754"/>
      <c r="E338" s="754"/>
    </row>
    <row r="339" spans="1:5" s="752" customFormat="1" x14ac:dyDescent="0.35">
      <c r="A339" s="753"/>
      <c r="C339" s="683"/>
      <c r="D339" s="754"/>
      <c r="E339" s="754"/>
    </row>
    <row r="340" spans="1:5" s="752" customFormat="1" x14ac:dyDescent="0.35">
      <c r="A340" s="753"/>
      <c r="C340" s="683"/>
      <c r="D340" s="754"/>
      <c r="E340" s="754"/>
    </row>
    <row r="341" spans="1:5" s="752" customFormat="1" x14ac:dyDescent="0.35">
      <c r="A341" s="753"/>
      <c r="C341" s="683"/>
      <c r="D341" s="754"/>
      <c r="E341" s="754"/>
    </row>
    <row r="342" spans="1:5" s="752" customFormat="1" x14ac:dyDescent="0.35">
      <c r="A342" s="753"/>
      <c r="C342" s="683"/>
      <c r="D342" s="754"/>
      <c r="E342" s="754"/>
    </row>
    <row r="343" spans="1:5" s="752" customFormat="1" x14ac:dyDescent="0.35">
      <c r="A343" s="753"/>
      <c r="C343" s="683"/>
      <c r="D343" s="754"/>
      <c r="E343" s="754"/>
    </row>
    <row r="344" spans="1:5" s="752" customFormat="1" x14ac:dyDescent="0.35">
      <c r="A344" s="753"/>
      <c r="C344" s="683"/>
      <c r="D344" s="754"/>
      <c r="E344" s="754"/>
    </row>
    <row r="345" spans="1:5" s="752" customFormat="1" x14ac:dyDescent="0.35">
      <c r="A345" s="753"/>
      <c r="C345" s="683"/>
      <c r="D345" s="754"/>
      <c r="E345" s="754"/>
    </row>
    <row r="346" spans="1:5" s="752" customFormat="1" x14ac:dyDescent="0.35">
      <c r="A346" s="753"/>
      <c r="C346" s="683"/>
      <c r="D346" s="754"/>
      <c r="E346" s="754"/>
    </row>
    <row r="347" spans="1:5" s="752" customFormat="1" x14ac:dyDescent="0.35">
      <c r="A347" s="753"/>
      <c r="C347" s="683"/>
      <c r="D347" s="754"/>
      <c r="E347" s="754"/>
    </row>
    <row r="348" spans="1:5" s="752" customFormat="1" x14ac:dyDescent="0.35">
      <c r="A348" s="753"/>
      <c r="C348" s="683"/>
      <c r="D348" s="754"/>
      <c r="E348" s="754"/>
    </row>
    <row r="349" spans="1:5" s="752" customFormat="1" x14ac:dyDescent="0.35">
      <c r="A349" s="753"/>
      <c r="C349" s="683"/>
      <c r="D349" s="754"/>
      <c r="E349" s="754"/>
    </row>
    <row r="350" spans="1:5" s="752" customFormat="1" x14ac:dyDescent="0.35">
      <c r="A350" s="753"/>
      <c r="C350" s="683"/>
      <c r="D350" s="754"/>
      <c r="E350" s="754"/>
    </row>
    <row r="351" spans="1:5" s="752" customFormat="1" x14ac:dyDescent="0.35">
      <c r="A351" s="753"/>
      <c r="C351" s="683"/>
      <c r="D351" s="754"/>
      <c r="E351" s="754"/>
    </row>
    <row r="352" spans="1:5" s="752" customFormat="1" x14ac:dyDescent="0.35">
      <c r="A352" s="753"/>
      <c r="C352" s="683"/>
      <c r="D352" s="754"/>
      <c r="E352" s="754"/>
    </row>
    <row r="353" spans="1:5" s="752" customFormat="1" x14ac:dyDescent="0.35">
      <c r="A353" s="753"/>
      <c r="C353" s="683"/>
      <c r="D353" s="754"/>
      <c r="E353" s="754"/>
    </row>
    <row r="354" spans="1:5" s="752" customFormat="1" x14ac:dyDescent="0.35">
      <c r="A354" s="753"/>
      <c r="C354" s="683"/>
      <c r="D354" s="754"/>
      <c r="E354" s="754"/>
    </row>
    <row r="355" spans="1:5" s="752" customFormat="1" x14ac:dyDescent="0.35">
      <c r="A355" s="753"/>
      <c r="C355" s="683"/>
      <c r="D355" s="754"/>
      <c r="E355" s="754"/>
    </row>
    <row r="356" spans="1:5" s="752" customFormat="1" x14ac:dyDescent="0.35">
      <c r="A356" s="753"/>
      <c r="C356" s="683"/>
      <c r="D356" s="754"/>
      <c r="E356" s="754"/>
    </row>
    <row r="357" spans="1:5" s="752" customFormat="1" x14ac:dyDescent="0.35">
      <c r="A357" s="753"/>
      <c r="C357" s="683"/>
      <c r="D357" s="754"/>
      <c r="E357" s="754"/>
    </row>
    <row r="358" spans="1:5" s="752" customFormat="1" x14ac:dyDescent="0.35">
      <c r="A358" s="753"/>
      <c r="C358" s="683"/>
      <c r="D358" s="754"/>
      <c r="E358" s="754"/>
    </row>
    <row r="359" spans="1:5" s="752" customFormat="1" x14ac:dyDescent="0.35">
      <c r="A359" s="753"/>
      <c r="C359" s="683"/>
      <c r="D359" s="754"/>
      <c r="E359" s="754"/>
    </row>
    <row r="360" spans="1:5" s="752" customFormat="1" x14ac:dyDescent="0.35">
      <c r="A360" s="753"/>
      <c r="C360" s="683"/>
      <c r="D360" s="754"/>
      <c r="E360" s="754"/>
    </row>
    <row r="361" spans="1:5" s="752" customFormat="1" x14ac:dyDescent="0.35">
      <c r="A361" s="753"/>
      <c r="C361" s="683"/>
      <c r="D361" s="754"/>
      <c r="E361" s="754"/>
    </row>
    <row r="362" spans="1:5" s="752" customFormat="1" x14ac:dyDescent="0.35">
      <c r="A362" s="753"/>
      <c r="C362" s="683"/>
      <c r="D362" s="754"/>
      <c r="E362" s="754"/>
    </row>
    <row r="363" spans="1:5" s="752" customFormat="1" x14ac:dyDescent="0.35">
      <c r="A363" s="753"/>
      <c r="C363" s="683"/>
      <c r="D363" s="754"/>
      <c r="E363" s="754"/>
    </row>
    <row r="364" spans="1:5" s="752" customFormat="1" x14ac:dyDescent="0.35">
      <c r="A364" s="753"/>
      <c r="C364" s="683"/>
      <c r="D364" s="754"/>
      <c r="E364" s="754"/>
    </row>
    <row r="365" spans="1:5" s="752" customFormat="1" x14ac:dyDescent="0.35">
      <c r="A365" s="753"/>
      <c r="C365" s="683"/>
      <c r="D365" s="754"/>
      <c r="E365" s="754"/>
    </row>
    <row r="366" spans="1:5" s="752" customFormat="1" x14ac:dyDescent="0.35">
      <c r="A366" s="753"/>
      <c r="C366" s="683"/>
      <c r="D366" s="754"/>
      <c r="E366" s="754"/>
    </row>
    <row r="367" spans="1:5" s="752" customFormat="1" x14ac:dyDescent="0.35">
      <c r="A367" s="753"/>
      <c r="C367" s="683"/>
      <c r="D367" s="754"/>
      <c r="E367" s="754"/>
    </row>
    <row r="368" spans="1:5" s="752" customFormat="1" x14ac:dyDescent="0.35">
      <c r="A368" s="753"/>
      <c r="C368" s="683"/>
      <c r="D368" s="754"/>
      <c r="E368" s="754"/>
    </row>
    <row r="369" spans="1:5" s="752" customFormat="1" x14ac:dyDescent="0.35">
      <c r="A369" s="753"/>
      <c r="C369" s="683"/>
      <c r="D369" s="754"/>
      <c r="E369" s="754"/>
    </row>
    <row r="370" spans="1:5" s="752" customFormat="1" x14ac:dyDescent="0.35">
      <c r="A370" s="753"/>
      <c r="C370" s="683"/>
      <c r="D370" s="754"/>
      <c r="E370" s="754"/>
    </row>
    <row r="371" spans="1:5" s="752" customFormat="1" x14ac:dyDescent="0.35">
      <c r="A371" s="753"/>
      <c r="C371" s="683"/>
      <c r="D371" s="754"/>
      <c r="E371" s="754"/>
    </row>
    <row r="372" spans="1:5" s="752" customFormat="1" x14ac:dyDescent="0.35">
      <c r="A372" s="753"/>
      <c r="C372" s="683"/>
      <c r="D372" s="754"/>
      <c r="E372" s="754"/>
    </row>
    <row r="373" spans="1:5" s="752" customFormat="1" x14ac:dyDescent="0.35">
      <c r="A373" s="753"/>
      <c r="C373" s="683"/>
      <c r="D373" s="754"/>
      <c r="E373" s="754"/>
    </row>
    <row r="374" spans="1:5" s="752" customFormat="1" x14ac:dyDescent="0.35">
      <c r="A374" s="753"/>
      <c r="C374" s="683"/>
      <c r="D374" s="754"/>
      <c r="E374" s="754"/>
    </row>
    <row r="375" spans="1:5" s="752" customFormat="1" x14ac:dyDescent="0.35">
      <c r="A375" s="753"/>
      <c r="C375" s="683"/>
      <c r="D375" s="754"/>
      <c r="E375" s="754"/>
    </row>
    <row r="376" spans="1:5" s="752" customFormat="1" x14ac:dyDescent="0.35">
      <c r="A376" s="753"/>
      <c r="C376" s="683"/>
      <c r="D376" s="754"/>
      <c r="E376" s="754"/>
    </row>
    <row r="377" spans="1:5" s="752" customFormat="1" x14ac:dyDescent="0.35">
      <c r="A377" s="753"/>
      <c r="C377" s="683"/>
      <c r="D377" s="754"/>
      <c r="E377" s="754"/>
    </row>
    <row r="378" spans="1:5" s="752" customFormat="1" x14ac:dyDescent="0.35">
      <c r="A378" s="753"/>
      <c r="C378" s="683"/>
      <c r="D378" s="754"/>
      <c r="E378" s="754"/>
    </row>
    <row r="379" spans="1:5" s="752" customFormat="1" x14ac:dyDescent="0.35">
      <c r="A379" s="753"/>
      <c r="C379" s="683"/>
      <c r="D379" s="754"/>
      <c r="E379" s="754"/>
    </row>
    <row r="380" spans="1:5" s="752" customFormat="1" x14ac:dyDescent="0.35">
      <c r="A380" s="753"/>
      <c r="C380" s="683"/>
      <c r="D380" s="754"/>
      <c r="E380" s="754"/>
    </row>
    <row r="381" spans="1:5" s="752" customFormat="1" x14ac:dyDescent="0.35">
      <c r="A381" s="753"/>
      <c r="C381" s="683"/>
      <c r="D381" s="754"/>
      <c r="E381" s="754"/>
    </row>
    <row r="382" spans="1:5" s="752" customFormat="1" x14ac:dyDescent="0.35">
      <c r="A382" s="753"/>
      <c r="C382" s="683"/>
      <c r="D382" s="754"/>
      <c r="E382" s="754"/>
    </row>
    <row r="383" spans="1:5" s="752" customFormat="1" x14ac:dyDescent="0.35">
      <c r="A383" s="753"/>
      <c r="C383" s="683"/>
      <c r="D383" s="754"/>
      <c r="E383" s="754"/>
    </row>
    <row r="384" spans="1:5" s="752" customFormat="1" x14ac:dyDescent="0.35">
      <c r="A384" s="753"/>
      <c r="C384" s="683"/>
      <c r="D384" s="754"/>
      <c r="E384" s="754"/>
    </row>
    <row r="385" spans="1:5" s="752" customFormat="1" x14ac:dyDescent="0.35">
      <c r="A385" s="753"/>
      <c r="C385" s="683"/>
      <c r="D385" s="754"/>
      <c r="E385" s="754"/>
    </row>
    <row r="386" spans="1:5" s="752" customFormat="1" x14ac:dyDescent="0.35">
      <c r="A386" s="753"/>
      <c r="C386" s="683"/>
      <c r="D386" s="754"/>
      <c r="E386" s="754"/>
    </row>
    <row r="387" spans="1:5" s="752" customFormat="1" x14ac:dyDescent="0.35">
      <c r="A387" s="753"/>
      <c r="C387" s="683"/>
      <c r="D387" s="754"/>
      <c r="E387" s="754"/>
    </row>
    <row r="388" spans="1:5" s="752" customFormat="1" x14ac:dyDescent="0.35">
      <c r="A388" s="753"/>
      <c r="C388" s="683"/>
      <c r="D388" s="754"/>
      <c r="E388" s="754"/>
    </row>
    <row r="389" spans="1:5" s="752" customFormat="1" x14ac:dyDescent="0.35">
      <c r="A389" s="753"/>
      <c r="C389" s="683"/>
      <c r="D389" s="754"/>
      <c r="E389" s="754"/>
    </row>
    <row r="390" spans="1:5" s="752" customFormat="1" x14ac:dyDescent="0.35">
      <c r="A390" s="753"/>
      <c r="C390" s="683"/>
      <c r="D390" s="754"/>
      <c r="E390" s="754"/>
    </row>
    <row r="391" spans="1:5" s="752" customFormat="1" x14ac:dyDescent="0.35">
      <c r="A391" s="753"/>
      <c r="C391" s="683"/>
      <c r="D391" s="754"/>
      <c r="E391" s="754"/>
    </row>
    <row r="392" spans="1:5" s="752" customFormat="1" x14ac:dyDescent="0.35">
      <c r="A392" s="753"/>
      <c r="C392" s="683"/>
      <c r="D392" s="754"/>
      <c r="E392" s="754"/>
    </row>
    <row r="393" spans="1:5" s="752" customFormat="1" x14ac:dyDescent="0.35">
      <c r="A393" s="753"/>
      <c r="C393" s="683"/>
      <c r="D393" s="754"/>
      <c r="E393" s="754"/>
    </row>
    <row r="394" spans="1:5" s="752" customFormat="1" x14ac:dyDescent="0.35">
      <c r="A394" s="753"/>
      <c r="C394" s="683"/>
      <c r="D394" s="754"/>
      <c r="E394" s="754"/>
    </row>
    <row r="395" spans="1:5" s="752" customFormat="1" x14ac:dyDescent="0.35">
      <c r="A395" s="753"/>
      <c r="C395" s="683"/>
      <c r="D395" s="754"/>
      <c r="E395" s="754"/>
    </row>
    <row r="396" spans="1:5" s="752" customFormat="1" x14ac:dyDescent="0.35">
      <c r="A396" s="753"/>
      <c r="C396" s="683"/>
      <c r="D396" s="754"/>
      <c r="E396" s="754"/>
    </row>
    <row r="397" spans="1:5" s="752" customFormat="1" x14ac:dyDescent="0.35">
      <c r="A397" s="753"/>
      <c r="C397" s="683"/>
      <c r="D397" s="754"/>
      <c r="E397" s="754"/>
    </row>
    <row r="398" spans="1:5" s="752" customFormat="1" x14ac:dyDescent="0.35">
      <c r="A398" s="753"/>
      <c r="C398" s="683"/>
      <c r="D398" s="754"/>
      <c r="E398" s="754"/>
    </row>
    <row r="399" spans="1:5" s="752" customFormat="1" x14ac:dyDescent="0.35">
      <c r="A399" s="753"/>
      <c r="C399" s="683"/>
      <c r="D399" s="754"/>
      <c r="E399" s="754"/>
    </row>
    <row r="400" spans="1:5" s="752" customFormat="1" x14ac:dyDescent="0.35">
      <c r="A400" s="753"/>
      <c r="C400" s="683"/>
      <c r="D400" s="754"/>
      <c r="E400" s="754"/>
    </row>
    <row r="401" spans="1:5" s="752" customFormat="1" x14ac:dyDescent="0.35">
      <c r="A401" s="753"/>
      <c r="C401" s="683"/>
      <c r="D401" s="754"/>
      <c r="E401" s="754"/>
    </row>
    <row r="402" spans="1:5" s="752" customFormat="1" x14ac:dyDescent="0.35">
      <c r="A402" s="753"/>
      <c r="C402" s="683"/>
      <c r="D402" s="754"/>
      <c r="E402" s="754"/>
    </row>
    <row r="403" spans="1:5" s="752" customFormat="1" x14ac:dyDescent="0.35">
      <c r="A403" s="753"/>
      <c r="C403" s="683"/>
      <c r="D403" s="754"/>
      <c r="E403" s="754"/>
    </row>
    <row r="404" spans="1:5" s="752" customFormat="1" x14ac:dyDescent="0.35">
      <c r="A404" s="753"/>
      <c r="C404" s="683"/>
      <c r="D404" s="754"/>
      <c r="E404" s="754"/>
    </row>
    <row r="405" spans="1:5" s="752" customFormat="1" x14ac:dyDescent="0.35">
      <c r="A405" s="753"/>
      <c r="C405" s="683"/>
      <c r="D405" s="754"/>
      <c r="E405" s="754"/>
    </row>
    <row r="406" spans="1:5" s="752" customFormat="1" x14ac:dyDescent="0.35">
      <c r="A406" s="753"/>
      <c r="C406" s="683"/>
      <c r="D406" s="754"/>
      <c r="E406" s="754"/>
    </row>
    <row r="407" spans="1:5" s="752" customFormat="1" x14ac:dyDescent="0.35">
      <c r="A407" s="753"/>
      <c r="C407" s="683"/>
      <c r="D407" s="754"/>
      <c r="E407" s="754"/>
    </row>
    <row r="408" spans="1:5" s="752" customFormat="1" x14ac:dyDescent="0.35">
      <c r="A408" s="753"/>
      <c r="C408" s="683"/>
      <c r="D408" s="754"/>
      <c r="E408" s="754"/>
    </row>
    <row r="409" spans="1:5" s="752" customFormat="1" x14ac:dyDescent="0.35">
      <c r="A409" s="753"/>
      <c r="C409" s="683"/>
      <c r="D409" s="754"/>
      <c r="E409" s="754"/>
    </row>
    <row r="410" spans="1:5" s="752" customFormat="1" x14ac:dyDescent="0.35">
      <c r="A410" s="753"/>
      <c r="C410" s="683"/>
      <c r="D410" s="754"/>
      <c r="E410" s="754"/>
    </row>
    <row r="411" spans="1:5" s="752" customFormat="1" x14ac:dyDescent="0.35">
      <c r="A411" s="753"/>
      <c r="C411" s="683"/>
      <c r="D411" s="754"/>
      <c r="E411" s="754"/>
    </row>
    <row r="412" spans="1:5" s="752" customFormat="1" x14ac:dyDescent="0.35">
      <c r="A412" s="753"/>
      <c r="C412" s="683"/>
      <c r="D412" s="754"/>
      <c r="E412" s="754"/>
    </row>
    <row r="413" spans="1:5" s="752" customFormat="1" x14ac:dyDescent="0.35">
      <c r="A413" s="753"/>
      <c r="C413" s="683"/>
      <c r="D413" s="754"/>
      <c r="E413" s="754"/>
    </row>
    <row r="414" spans="1:5" s="752" customFormat="1" x14ac:dyDescent="0.35">
      <c r="A414" s="753"/>
      <c r="C414" s="683"/>
      <c r="D414" s="754"/>
      <c r="E414" s="754"/>
    </row>
    <row r="415" spans="1:5" s="752" customFormat="1" x14ac:dyDescent="0.35">
      <c r="A415" s="753"/>
      <c r="C415" s="683"/>
      <c r="D415" s="754"/>
      <c r="E415" s="754"/>
    </row>
    <row r="416" spans="1:5" s="752" customFormat="1" x14ac:dyDescent="0.35">
      <c r="A416" s="753"/>
      <c r="C416" s="683"/>
      <c r="D416" s="754"/>
      <c r="E416" s="754"/>
    </row>
    <row r="417" spans="1:5" s="752" customFormat="1" x14ac:dyDescent="0.35">
      <c r="A417" s="753"/>
      <c r="C417" s="683"/>
      <c r="D417" s="754"/>
      <c r="E417" s="754"/>
    </row>
    <row r="418" spans="1:5" s="752" customFormat="1" x14ac:dyDescent="0.35">
      <c r="A418" s="753"/>
      <c r="C418" s="683"/>
      <c r="D418" s="754"/>
      <c r="E418" s="754"/>
    </row>
    <row r="419" spans="1:5" s="752" customFormat="1" x14ac:dyDescent="0.35">
      <c r="A419" s="753"/>
      <c r="C419" s="683"/>
      <c r="D419" s="754"/>
      <c r="E419" s="754"/>
    </row>
    <row r="420" spans="1:5" s="752" customFormat="1" x14ac:dyDescent="0.35">
      <c r="A420" s="753"/>
      <c r="C420" s="683"/>
      <c r="D420" s="754"/>
      <c r="E420" s="754"/>
    </row>
    <row r="421" spans="1:5" s="752" customFormat="1" x14ac:dyDescent="0.35">
      <c r="A421" s="753"/>
      <c r="C421" s="683"/>
      <c r="D421" s="754"/>
      <c r="E421" s="754"/>
    </row>
    <row r="422" spans="1:5" s="752" customFormat="1" x14ac:dyDescent="0.35">
      <c r="A422" s="753"/>
      <c r="C422" s="683"/>
      <c r="D422" s="754"/>
      <c r="E422" s="7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4"/>
  <sheetViews>
    <sheetView showGridLines="0" tabSelected="1" zoomScale="80" zoomScaleNormal="80" zoomScaleSheetLayoutView="80" workbookViewId="0">
      <selection activeCell="U15" sqref="U15"/>
    </sheetView>
  </sheetViews>
  <sheetFormatPr defaultRowHeight="14.5" x14ac:dyDescent="0.35"/>
  <cols>
    <col min="1" max="1" width="1.453125" customWidth="1"/>
    <col min="2" max="2" width="1.81640625" customWidth="1"/>
    <col min="5" max="5" width="10.1796875" customWidth="1"/>
    <col min="14" max="14" width="8.54296875" customWidth="1"/>
    <col min="15" max="15" width="1.54296875" customWidth="1"/>
    <col min="16" max="16" width="1.453125" customWidth="1"/>
    <col min="21" max="21" width="31" customWidth="1"/>
  </cols>
  <sheetData>
    <row r="2" spans="2:15" x14ac:dyDescent="0.35">
      <c r="B2" s="170"/>
      <c r="C2" s="308"/>
      <c r="D2" s="308"/>
      <c r="E2" s="308"/>
      <c r="F2" s="308"/>
      <c r="G2" s="308"/>
      <c r="H2" s="308"/>
      <c r="I2" s="308"/>
      <c r="J2" s="308"/>
      <c r="K2" s="308"/>
      <c r="L2" s="308"/>
      <c r="M2" s="308"/>
      <c r="N2" s="308"/>
      <c r="O2" s="155"/>
    </row>
    <row r="3" spans="2:15" x14ac:dyDescent="0.35">
      <c r="B3" s="158"/>
      <c r="O3" s="157"/>
    </row>
    <row r="4" spans="2:15" x14ac:dyDescent="0.35">
      <c r="B4" s="158"/>
      <c r="C4" s="171"/>
      <c r="D4" s="171"/>
      <c r="E4" s="171"/>
      <c r="F4" s="171"/>
      <c r="G4" s="171"/>
      <c r="H4" s="171"/>
      <c r="I4" s="171"/>
      <c r="J4" s="171"/>
      <c r="K4" s="171"/>
      <c r="L4" s="171"/>
      <c r="M4" s="171"/>
      <c r="N4" s="171"/>
      <c r="O4" s="157"/>
    </row>
    <row r="5" spans="2:15" ht="31" x14ac:dyDescent="0.7">
      <c r="B5" s="158"/>
      <c r="C5" s="172" t="s">
        <v>0</v>
      </c>
      <c r="D5" s="171"/>
      <c r="E5" s="171"/>
      <c r="F5" s="171"/>
      <c r="G5" s="171"/>
      <c r="H5" s="171"/>
      <c r="I5" s="171"/>
      <c r="J5" s="171"/>
      <c r="K5" s="171"/>
      <c r="L5" s="171"/>
      <c r="M5" s="171"/>
      <c r="N5" s="171"/>
      <c r="O5" s="157"/>
    </row>
    <row r="6" spans="2:15" x14ac:dyDescent="0.35">
      <c r="B6" s="158"/>
      <c r="C6" s="171"/>
      <c r="D6" s="171"/>
      <c r="E6" s="171"/>
      <c r="F6" s="171"/>
      <c r="G6" s="171"/>
      <c r="H6" s="171"/>
      <c r="I6" s="171"/>
      <c r="J6" s="171"/>
      <c r="K6" s="171"/>
      <c r="L6" s="171"/>
      <c r="M6" s="171"/>
      <c r="N6" s="171"/>
      <c r="O6" s="157"/>
    </row>
    <row r="7" spans="2:15" x14ac:dyDescent="0.35">
      <c r="B7" s="158"/>
      <c r="O7" s="157"/>
    </row>
    <row r="8" spans="2:15" ht="31" x14ac:dyDescent="0.7">
      <c r="B8" s="158"/>
      <c r="C8" s="626" t="s">
        <v>1</v>
      </c>
      <c r="O8" s="157"/>
    </row>
    <row r="9" spans="2:15" ht="89.5" customHeight="1" x14ac:dyDescent="0.35">
      <c r="B9" s="158"/>
      <c r="C9" s="840" t="s">
        <v>1039</v>
      </c>
      <c r="D9" s="840"/>
      <c r="E9" s="840"/>
      <c r="F9" s="840"/>
      <c r="G9" s="840"/>
      <c r="H9" s="840"/>
      <c r="I9" s="840"/>
      <c r="J9" s="840"/>
      <c r="K9" s="840"/>
      <c r="L9" s="840"/>
      <c r="M9" s="840"/>
      <c r="O9" s="157"/>
    </row>
    <row r="10" spans="2:15" ht="31" x14ac:dyDescent="0.35">
      <c r="B10" s="158"/>
      <c r="C10" s="318"/>
      <c r="O10" s="157"/>
    </row>
    <row r="11" spans="2:15" ht="31" x14ac:dyDescent="0.7">
      <c r="B11" s="158"/>
      <c r="C11" s="173" t="s">
        <v>1017</v>
      </c>
      <c r="D11" s="174"/>
      <c r="O11" s="157"/>
    </row>
    <row r="12" spans="2:15" ht="31" x14ac:dyDescent="0.7">
      <c r="B12" s="158"/>
      <c r="D12" s="174"/>
      <c r="O12" s="157"/>
    </row>
    <row r="13" spans="2:15" ht="31" x14ac:dyDescent="0.7">
      <c r="B13" s="158"/>
      <c r="C13" s="318" t="s">
        <v>1038</v>
      </c>
      <c r="D13" s="174"/>
      <c r="O13" s="157"/>
    </row>
    <row r="14" spans="2:15" ht="31" x14ac:dyDescent="0.7">
      <c r="B14" s="158"/>
      <c r="D14" s="174"/>
      <c r="O14" s="157"/>
    </row>
    <row r="15" spans="2:15" x14ac:dyDescent="0.35">
      <c r="B15" s="158"/>
      <c r="O15" s="157"/>
    </row>
    <row r="16" spans="2:15" x14ac:dyDescent="0.35">
      <c r="B16" s="158"/>
      <c r="C16" s="147" t="s">
        <v>2</v>
      </c>
      <c r="D16" s="194"/>
      <c r="E16" s="166"/>
      <c r="F16" s="230" t="s">
        <v>1010</v>
      </c>
      <c r="G16" s="194"/>
      <c r="H16" s="194"/>
      <c r="I16" s="194"/>
      <c r="J16" s="194"/>
      <c r="K16" s="194"/>
      <c r="L16" s="194"/>
      <c r="M16" s="166"/>
      <c r="O16" s="157"/>
    </row>
    <row r="17" spans="2:15" x14ac:dyDescent="0.35">
      <c r="B17" s="158"/>
      <c r="C17" s="147" t="s">
        <v>3</v>
      </c>
      <c r="D17" s="194"/>
      <c r="E17" s="166"/>
      <c r="F17" s="230" t="s">
        <v>1011</v>
      </c>
      <c r="G17" s="194"/>
      <c r="H17" s="194"/>
      <c r="I17" s="194"/>
      <c r="J17" s="194"/>
      <c r="K17" s="194"/>
      <c r="L17" s="194"/>
      <c r="M17" s="166"/>
      <c r="O17" s="157"/>
    </row>
    <row r="18" spans="2:15" x14ac:dyDescent="0.35">
      <c r="B18" s="158"/>
      <c r="C18" s="147" t="s">
        <v>4</v>
      </c>
      <c r="D18" s="194"/>
      <c r="E18" s="166"/>
      <c r="F18" s="230" t="s">
        <v>1012</v>
      </c>
      <c r="G18" s="194"/>
      <c r="H18" s="194"/>
      <c r="I18" s="194"/>
      <c r="J18" s="194"/>
      <c r="K18" s="194"/>
      <c r="L18" s="194"/>
      <c r="M18" s="166"/>
      <c r="O18" s="157"/>
    </row>
    <row r="19" spans="2:15" x14ac:dyDescent="0.35">
      <c r="B19" s="158"/>
      <c r="C19" s="147" t="s">
        <v>5</v>
      </c>
      <c r="D19" s="194"/>
      <c r="E19" s="166"/>
      <c r="F19" s="230" t="s">
        <v>766</v>
      </c>
      <c r="G19" s="194"/>
      <c r="H19" s="194"/>
      <c r="I19" s="194"/>
      <c r="J19" s="194"/>
      <c r="K19" s="194"/>
      <c r="L19" s="194"/>
      <c r="M19" s="166"/>
      <c r="O19" s="157"/>
    </row>
    <row r="20" spans="2:15" x14ac:dyDescent="0.35">
      <c r="B20" s="158"/>
      <c r="C20" s="230" t="s">
        <v>6</v>
      </c>
      <c r="D20" s="194"/>
      <c r="E20" s="166"/>
      <c r="F20" s="230" t="s">
        <v>1013</v>
      </c>
      <c r="G20" s="194"/>
      <c r="H20" s="194"/>
      <c r="I20" s="194"/>
      <c r="J20" s="194"/>
      <c r="K20" s="194"/>
      <c r="L20" s="194"/>
      <c r="M20" s="166"/>
      <c r="O20" s="157"/>
    </row>
    <row r="21" spans="2:15" x14ac:dyDescent="0.35">
      <c r="B21" s="158"/>
      <c r="C21" s="147" t="s">
        <v>7</v>
      </c>
      <c r="D21" s="194"/>
      <c r="E21" s="166"/>
      <c r="F21" s="230" t="s">
        <v>1014</v>
      </c>
      <c r="G21" s="194"/>
      <c r="H21" s="194"/>
      <c r="I21" s="194"/>
      <c r="J21" s="194"/>
      <c r="K21" s="194"/>
      <c r="L21" s="194"/>
      <c r="M21" s="166"/>
      <c r="O21" s="157"/>
    </row>
    <row r="22" spans="2:15" x14ac:dyDescent="0.35">
      <c r="B22" s="158"/>
      <c r="C22" s="147" t="s">
        <v>8</v>
      </c>
      <c r="D22" s="194"/>
      <c r="E22" s="166"/>
      <c r="F22" s="230" t="s">
        <v>1015</v>
      </c>
      <c r="G22" s="194"/>
      <c r="H22" s="194"/>
      <c r="I22" s="194"/>
      <c r="J22" s="194"/>
      <c r="K22" s="194"/>
      <c r="L22" s="194"/>
      <c r="M22" s="166"/>
      <c r="O22" s="157"/>
    </row>
    <row r="23" spans="2:15" x14ac:dyDescent="0.35">
      <c r="B23" s="158"/>
      <c r="C23" s="147" t="s">
        <v>9</v>
      </c>
      <c r="D23" s="194"/>
      <c r="E23" s="166"/>
      <c r="F23" s="230" t="s">
        <v>1016</v>
      </c>
      <c r="G23" s="194"/>
      <c r="H23" s="194"/>
      <c r="I23" s="194"/>
      <c r="J23" s="194"/>
      <c r="K23" s="194"/>
      <c r="L23" s="194"/>
      <c r="M23" s="166"/>
      <c r="O23" s="157"/>
    </row>
    <row r="24" spans="2:15" x14ac:dyDescent="0.35">
      <c r="B24" s="159"/>
      <c r="C24" s="160"/>
      <c r="D24" s="160"/>
      <c r="E24" s="160"/>
      <c r="F24" s="160"/>
      <c r="G24" s="160"/>
      <c r="H24" s="160"/>
      <c r="I24" s="160"/>
      <c r="J24" s="160"/>
      <c r="K24" s="160"/>
      <c r="L24" s="160"/>
      <c r="M24" s="160"/>
      <c r="N24" s="160"/>
      <c r="O24" s="161"/>
    </row>
  </sheetData>
  <sheetProtection algorithmName="SHA-512" hashValue="qa6i6l3sCpudBsD7758rfyyTK/EF8jTuVWzp1W6/8Tl/frUd4r1Q4lzucMoo4vIYQQV/tgOWCQ5fFRrMTNMLrw==" saltValue="u4cctBRhJkYsrUABbO6Z4Q==" spinCount="100000" sheet="1" objects="1" scenarios="1"/>
  <mergeCells count="1">
    <mergeCell ref="C9:M9"/>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topLeftCell="A11" zoomScale="80" zoomScaleNormal="80" workbookViewId="0"/>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357" t="s">
        <v>10</v>
      </c>
      <c r="C2" s="355"/>
      <c r="D2" s="355"/>
      <c r="E2" s="355"/>
      <c r="F2" s="355"/>
      <c r="G2" s="355"/>
      <c r="H2" s="355"/>
      <c r="I2" s="355"/>
      <c r="J2" s="355"/>
      <c r="K2" s="355"/>
      <c r="L2" s="355"/>
      <c r="M2" s="355"/>
      <c r="N2" s="355"/>
      <c r="O2" s="355"/>
      <c r="P2" s="356"/>
    </row>
    <row r="5" spans="2:17" x14ac:dyDescent="0.35">
      <c r="B5" s="220" t="s">
        <v>11</v>
      </c>
      <c r="C5" s="368"/>
      <c r="D5" s="368"/>
      <c r="E5" s="368"/>
      <c r="F5" s="368"/>
      <c r="G5" s="368"/>
      <c r="H5" s="368"/>
      <c r="I5" s="368"/>
      <c r="J5" s="368"/>
      <c r="K5" s="368"/>
      <c r="L5" s="368"/>
      <c r="M5" s="368"/>
      <c r="N5" s="368"/>
      <c r="O5" s="368"/>
      <c r="P5" s="221"/>
    </row>
    <row r="6" spans="2:17" x14ac:dyDescent="0.35">
      <c r="B6" s="225" t="s">
        <v>12</v>
      </c>
      <c r="C6" s="218"/>
      <c r="D6" s="218"/>
      <c r="E6" s="218"/>
      <c r="F6" s="218"/>
      <c r="G6" s="218"/>
      <c r="H6" s="218"/>
      <c r="I6" s="218"/>
      <c r="J6" s="218"/>
      <c r="K6" s="218"/>
      <c r="L6" s="218"/>
      <c r="M6" s="218"/>
      <c r="N6" s="218"/>
      <c r="O6" s="218"/>
      <c r="P6" s="226"/>
    </row>
    <row r="7" spans="2:17" x14ac:dyDescent="0.35">
      <c r="B7" s="223" t="s">
        <v>13</v>
      </c>
      <c r="C7" s="222"/>
      <c r="D7" s="222"/>
      <c r="E7" s="222"/>
      <c r="F7" s="222"/>
      <c r="G7" s="222"/>
      <c r="H7" s="222"/>
      <c r="I7" s="222"/>
      <c r="J7" s="222"/>
      <c r="K7" s="222"/>
      <c r="L7" s="222"/>
      <c r="M7" s="222"/>
      <c r="N7" s="222"/>
      <c r="O7" s="222"/>
      <c r="P7" s="224"/>
    </row>
    <row r="9" spans="2:17" x14ac:dyDescent="0.35">
      <c r="N9" s="405"/>
      <c r="O9" s="405"/>
      <c r="P9" s="405"/>
    </row>
    <row r="10" spans="2:17" x14ac:dyDescent="0.35">
      <c r="B10" s="220"/>
      <c r="C10" s="368"/>
      <c r="D10" s="368"/>
      <c r="E10" s="368"/>
      <c r="F10" s="368"/>
      <c r="G10" s="368"/>
      <c r="H10" s="221"/>
      <c r="J10" s="220"/>
      <c r="K10" s="368"/>
      <c r="L10" s="368"/>
      <c r="M10" s="368"/>
      <c r="N10" s="218"/>
      <c r="O10" s="218"/>
      <c r="P10" s="218"/>
      <c r="Q10" s="158"/>
    </row>
    <row r="11" spans="2:17" ht="46.5" x14ac:dyDescent="0.35">
      <c r="B11" s="225"/>
      <c r="C11" s="342" t="s">
        <v>14</v>
      </c>
      <c r="D11" s="408"/>
      <c r="E11" s="342" t="s">
        <v>15</v>
      </c>
      <c r="F11" s="408"/>
      <c r="G11" s="404" t="s">
        <v>16</v>
      </c>
      <c r="H11" s="409"/>
      <c r="I11" s="343"/>
      <c r="J11" s="412"/>
      <c r="K11" s="344" t="s">
        <v>17</v>
      </c>
      <c r="L11" s="412"/>
      <c r="M11" s="344" t="s">
        <v>18</v>
      </c>
      <c r="N11" s="408"/>
      <c r="O11" s="344" t="s">
        <v>19</v>
      </c>
      <c r="P11" s="408"/>
      <c r="Q11" s="158"/>
    </row>
    <row r="12" spans="2:17" x14ac:dyDescent="0.35">
      <c r="B12" s="225"/>
      <c r="C12" s="218"/>
      <c r="D12" s="218"/>
      <c r="E12" s="218"/>
      <c r="F12" s="218"/>
      <c r="G12" s="218"/>
      <c r="H12" s="226"/>
      <c r="J12" s="225"/>
      <c r="K12" s="218"/>
      <c r="L12" s="218"/>
      <c r="M12" s="218"/>
      <c r="N12" s="218"/>
      <c r="O12" s="218"/>
      <c r="P12" s="218"/>
      <c r="Q12" s="158"/>
    </row>
    <row r="13" spans="2:17" ht="40" customHeight="1" x14ac:dyDescent="0.35">
      <c r="B13" s="225"/>
      <c r="C13" s="406"/>
      <c r="D13" s="194"/>
      <c r="E13" s="463" t="s">
        <v>20</v>
      </c>
      <c r="F13" s="194"/>
      <c r="G13" s="407"/>
      <c r="H13" s="226"/>
      <c r="J13" s="225"/>
      <c r="K13" s="406"/>
      <c r="L13" s="194"/>
      <c r="M13" s="464" t="s">
        <v>21</v>
      </c>
      <c r="N13" s="194"/>
      <c r="O13" s="407"/>
      <c r="P13" s="218"/>
      <c r="Q13" s="158"/>
    </row>
    <row r="14" spans="2:17" x14ac:dyDescent="0.35">
      <c r="B14" s="225"/>
      <c r="C14" s="218"/>
      <c r="D14" s="218"/>
      <c r="E14" s="218"/>
      <c r="F14" s="218"/>
      <c r="G14" s="218"/>
      <c r="H14" s="226"/>
      <c r="J14" s="225"/>
      <c r="K14" s="218"/>
      <c r="L14" s="218"/>
      <c r="M14" s="218"/>
      <c r="N14" s="218"/>
      <c r="O14" s="218"/>
      <c r="P14" s="218"/>
      <c r="Q14" s="158"/>
    </row>
    <row r="15" spans="2:17" ht="213.75" customHeight="1" x14ac:dyDescent="0.35">
      <c r="B15" s="225"/>
      <c r="C15" s="339" t="s">
        <v>22</v>
      </c>
      <c r="D15" s="410"/>
      <c r="E15" s="340" t="s">
        <v>23</v>
      </c>
      <c r="F15" s="410"/>
      <c r="G15" s="338" t="s">
        <v>24</v>
      </c>
      <c r="H15" s="411"/>
      <c r="I15" s="236"/>
      <c r="J15" s="413"/>
      <c r="K15" s="341" t="s">
        <v>25</v>
      </c>
      <c r="L15" s="413"/>
      <c r="M15" s="371" t="s">
        <v>26</v>
      </c>
      <c r="N15" s="410"/>
      <c r="O15" s="371" t="s">
        <v>27</v>
      </c>
      <c r="P15" s="410"/>
      <c r="Q15" s="158"/>
    </row>
    <row r="16" spans="2:17" x14ac:dyDescent="0.35">
      <c r="B16" s="223"/>
      <c r="C16" s="222"/>
      <c r="D16" s="222"/>
      <c r="E16" s="222"/>
      <c r="F16" s="222"/>
      <c r="G16" s="222"/>
      <c r="H16" s="224"/>
      <c r="J16" s="223"/>
      <c r="K16" s="222"/>
      <c r="L16" s="414"/>
      <c r="M16" s="414"/>
      <c r="N16" s="414"/>
      <c r="O16" s="414"/>
      <c r="P16" s="414"/>
      <c r="Q16" s="158"/>
    </row>
    <row r="19" spans="2:16" x14ac:dyDescent="0.35">
      <c r="B19" s="220"/>
      <c r="C19" s="368"/>
      <c r="D19" s="368"/>
      <c r="E19" s="368"/>
      <c r="F19" s="368"/>
      <c r="G19" s="368"/>
      <c r="H19" s="368"/>
      <c r="I19" s="368"/>
      <c r="J19" s="368"/>
      <c r="K19" s="368"/>
      <c r="L19" s="368"/>
      <c r="M19" s="368"/>
      <c r="N19" s="368"/>
      <c r="O19" s="368"/>
      <c r="P19" s="221"/>
    </row>
    <row r="20" spans="2:16" x14ac:dyDescent="0.35">
      <c r="B20" s="225" t="s">
        <v>28</v>
      </c>
      <c r="C20" s="218"/>
      <c r="D20" s="218"/>
      <c r="E20" s="218"/>
      <c r="F20" s="218"/>
      <c r="G20" s="218"/>
      <c r="H20" s="218"/>
      <c r="I20" s="218"/>
      <c r="J20" s="218"/>
      <c r="K20" s="218"/>
      <c r="L20" s="218"/>
      <c r="M20" s="218"/>
      <c r="N20" s="218"/>
      <c r="O20" s="218"/>
      <c r="P20" s="226"/>
    </row>
    <row r="21" spans="2:16" x14ac:dyDescent="0.35">
      <c r="B21" s="415" t="s">
        <v>29</v>
      </c>
      <c r="C21" s="218"/>
      <c r="D21" s="218"/>
      <c r="E21" s="218"/>
      <c r="F21" s="218"/>
      <c r="G21" s="218"/>
      <c r="H21" s="218"/>
      <c r="I21" s="218"/>
      <c r="J21" s="218"/>
      <c r="K21" s="218"/>
      <c r="L21" s="218"/>
      <c r="M21" s="218"/>
      <c r="N21" s="218"/>
      <c r="O21" s="218"/>
      <c r="P21" s="226"/>
    </row>
    <row r="22" spans="2:16" x14ac:dyDescent="0.35">
      <c r="B22" s="416" t="s">
        <v>30</v>
      </c>
      <c r="C22" s="218"/>
      <c r="D22" s="218"/>
      <c r="E22" s="218"/>
      <c r="F22" s="218"/>
      <c r="G22" s="218"/>
      <c r="H22" s="218"/>
      <c r="I22" s="218"/>
      <c r="J22" s="218"/>
      <c r="K22" s="218"/>
      <c r="L22" s="218"/>
      <c r="M22" s="218"/>
      <c r="N22" s="218"/>
      <c r="O22" s="218"/>
      <c r="P22" s="226"/>
    </row>
    <row r="23" spans="2:16" x14ac:dyDescent="0.35">
      <c r="B23" s="417" t="s">
        <v>31</v>
      </c>
      <c r="C23" s="218"/>
      <c r="D23" s="218"/>
      <c r="E23" s="218"/>
      <c r="F23" s="218"/>
      <c r="G23" s="218"/>
      <c r="H23" s="218"/>
      <c r="I23" s="218"/>
      <c r="J23" s="218"/>
      <c r="K23" s="218"/>
      <c r="L23" s="218"/>
      <c r="M23" s="218"/>
      <c r="N23" s="218"/>
      <c r="O23" s="218"/>
      <c r="P23" s="226"/>
    </row>
    <row r="24" spans="2:16" x14ac:dyDescent="0.35">
      <c r="B24" s="416" t="s">
        <v>32</v>
      </c>
      <c r="C24" s="218"/>
      <c r="D24" s="218"/>
      <c r="E24" s="218"/>
      <c r="F24" s="218"/>
      <c r="G24" s="218"/>
      <c r="H24" s="218"/>
      <c r="I24" s="218"/>
      <c r="J24" s="218"/>
      <c r="K24" s="218"/>
      <c r="L24" s="218"/>
      <c r="M24" s="218"/>
      <c r="N24" s="218"/>
      <c r="O24" s="218"/>
      <c r="P24" s="226"/>
    </row>
    <row r="25" spans="2:16" x14ac:dyDescent="0.35">
      <c r="B25" s="416" t="s">
        <v>33</v>
      </c>
      <c r="C25" s="218"/>
      <c r="D25" s="218"/>
      <c r="E25" s="218"/>
      <c r="F25" s="218"/>
      <c r="G25" s="218"/>
      <c r="H25" s="218"/>
      <c r="I25" s="218"/>
      <c r="J25" s="218"/>
      <c r="K25" s="218"/>
      <c r="L25" s="218"/>
      <c r="M25" s="218"/>
      <c r="N25" s="218"/>
      <c r="O25" s="218"/>
      <c r="P25" s="226"/>
    </row>
    <row r="26" spans="2:16" x14ac:dyDescent="0.35">
      <c r="B26" s="225"/>
      <c r="C26" s="218"/>
      <c r="D26" s="218"/>
      <c r="E26" s="218"/>
      <c r="F26" s="218"/>
      <c r="G26" s="218"/>
      <c r="H26" s="218"/>
      <c r="I26" s="218"/>
      <c r="J26" s="218"/>
      <c r="K26" s="218"/>
      <c r="L26" s="218"/>
      <c r="M26" s="218"/>
      <c r="N26" s="218"/>
      <c r="O26" s="218"/>
      <c r="P26" s="226"/>
    </row>
    <row r="27" spans="2:16" x14ac:dyDescent="0.35">
      <c r="B27" s="418" t="s">
        <v>1008</v>
      </c>
      <c r="C27" s="218"/>
      <c r="D27" s="218"/>
      <c r="E27" s="218"/>
      <c r="F27" s="218"/>
      <c r="G27" s="218"/>
      <c r="H27" s="218"/>
      <c r="I27" s="218"/>
      <c r="J27" s="218"/>
      <c r="K27" s="218"/>
      <c r="L27" s="218"/>
      <c r="M27" s="218"/>
      <c r="N27" s="218"/>
      <c r="O27" s="218"/>
      <c r="P27" s="226"/>
    </row>
    <row r="28" spans="2:16" x14ac:dyDescent="0.35">
      <c r="B28" s="223"/>
      <c r="C28" s="222"/>
      <c r="D28" s="222"/>
      <c r="E28" s="222"/>
      <c r="F28" s="222"/>
      <c r="G28" s="222"/>
      <c r="H28" s="222"/>
      <c r="I28" s="222"/>
      <c r="J28" s="222"/>
      <c r="K28" s="222"/>
      <c r="L28" s="222"/>
      <c r="M28" s="222"/>
      <c r="N28" s="222"/>
      <c r="O28" s="222"/>
      <c r="P28" s="224"/>
    </row>
  </sheetData>
  <sheetProtection algorithmName="SHA-512" hashValue="XtfqndREAAadzVX80xxTLkqKSBmFV5s0MFTCZ2TnpdnlH6T3i19j0rdI4lUk++PkGygMWe5I1kTAbgUaqNK16Q==" saltValue="V4oGmrgMHaRox0MD+FaL7Q=="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05"/>
  <sheetViews>
    <sheetView showGridLines="0" zoomScale="80" zoomScaleNormal="80" workbookViewId="0">
      <selection activeCell="A54" sqref="A54"/>
    </sheetView>
  </sheetViews>
  <sheetFormatPr defaultRowHeight="14.5" x14ac:dyDescent="0.35"/>
  <cols>
    <col min="1" max="1" width="2.453125" customWidth="1"/>
    <col min="2" max="2" width="5.81640625" customWidth="1"/>
    <col min="3" max="3" width="50.54296875" customWidth="1"/>
    <col min="4" max="4" width="20.81640625" customWidth="1"/>
    <col min="5" max="5" width="18" customWidth="1"/>
    <col min="6" max="6" width="13.1796875" customWidth="1"/>
    <col min="7" max="11" width="13.453125" customWidth="1"/>
    <col min="12" max="12" width="16.453125" customWidth="1"/>
    <col min="13" max="18" width="13.453125" customWidth="1"/>
    <col min="19" max="19" width="3.453125" customWidth="1"/>
  </cols>
  <sheetData>
    <row r="1" spans="2:24" ht="30" customHeight="1" x14ac:dyDescent="0.35">
      <c r="B1" s="487" t="s">
        <v>1040</v>
      </c>
    </row>
    <row r="2" spans="2:24" ht="30" customHeight="1" x14ac:dyDescent="0.35">
      <c r="B2" s="153" t="s">
        <v>655</v>
      </c>
      <c r="C2" s="153"/>
      <c r="D2" s="152"/>
      <c r="E2" s="169"/>
      <c r="F2" s="152"/>
      <c r="G2" s="152"/>
      <c r="H2" s="152"/>
      <c r="I2" s="152"/>
      <c r="J2" s="152"/>
      <c r="K2" s="152"/>
      <c r="L2" s="152"/>
      <c r="M2" s="152"/>
      <c r="N2" s="152"/>
      <c r="O2" s="152"/>
      <c r="P2" s="152"/>
      <c r="Q2" s="152"/>
      <c r="R2" s="152"/>
      <c r="S2" s="152"/>
      <c r="T2" s="152"/>
      <c r="U2" s="152"/>
      <c r="V2" s="152"/>
      <c r="W2" s="152"/>
      <c r="X2" s="152"/>
    </row>
    <row r="4" spans="2:24" x14ac:dyDescent="0.35">
      <c r="B4" s="154" t="s">
        <v>656</v>
      </c>
      <c r="C4" s="308"/>
      <c r="D4" s="308"/>
      <c r="E4" s="308"/>
      <c r="F4" s="308"/>
      <c r="G4" s="308"/>
      <c r="H4" s="308"/>
      <c r="I4" s="308"/>
      <c r="J4" s="308"/>
      <c r="K4" s="308"/>
      <c r="L4" s="308"/>
      <c r="M4" s="308"/>
      <c r="N4" s="308"/>
      <c r="O4" s="308"/>
      <c r="P4" s="308"/>
      <c r="Q4" s="308"/>
      <c r="R4" s="308"/>
      <c r="S4" s="155"/>
    </row>
    <row r="5" spans="2:24" x14ac:dyDescent="0.35">
      <c r="B5" s="158"/>
      <c r="C5" t="s">
        <v>657</v>
      </c>
      <c r="S5" s="157"/>
    </row>
    <row r="6" spans="2:24" x14ac:dyDescent="0.35">
      <c r="B6" s="158"/>
      <c r="C6" t="s">
        <v>658</v>
      </c>
      <c r="S6" s="157"/>
    </row>
    <row r="7" spans="2:24" x14ac:dyDescent="0.35">
      <c r="B7" s="158"/>
      <c r="C7" t="s">
        <v>659</v>
      </c>
      <c r="S7" s="157"/>
    </row>
    <row r="8" spans="2:24" x14ac:dyDescent="0.35">
      <c r="B8" s="159"/>
      <c r="C8" s="160"/>
      <c r="D8" s="160"/>
      <c r="E8" s="160"/>
      <c r="F8" s="160"/>
      <c r="G8" s="160"/>
      <c r="H8" s="160"/>
      <c r="I8" s="160"/>
      <c r="J8" s="160"/>
      <c r="K8" s="160"/>
      <c r="L8" s="160"/>
      <c r="M8" s="160"/>
      <c r="N8" s="160"/>
      <c r="O8" s="160"/>
      <c r="P8" s="160"/>
      <c r="Q8" s="160"/>
      <c r="R8" s="160"/>
      <c r="S8" s="157"/>
    </row>
    <row r="9" spans="2:24" x14ac:dyDescent="0.35">
      <c r="S9" s="194"/>
    </row>
    <row r="10" spans="2:24" x14ac:dyDescent="0.35">
      <c r="B10" s="154" t="s">
        <v>660</v>
      </c>
      <c r="C10" s="308"/>
      <c r="D10" s="308"/>
      <c r="E10" s="308"/>
      <c r="F10" s="308"/>
      <c r="G10" s="308"/>
      <c r="H10" s="308"/>
      <c r="I10" s="308"/>
      <c r="J10" s="308"/>
      <c r="K10" s="308"/>
      <c r="L10" s="308"/>
      <c r="M10" s="308"/>
      <c r="N10" s="308"/>
      <c r="O10" s="308"/>
      <c r="P10" s="308"/>
      <c r="Q10" s="308"/>
      <c r="R10" s="308"/>
      <c r="S10" s="157"/>
    </row>
    <row r="11" spans="2:24" x14ac:dyDescent="0.35">
      <c r="B11" s="156"/>
      <c r="C11" t="s">
        <v>661</v>
      </c>
      <c r="E11" s="148" t="s">
        <v>55</v>
      </c>
      <c r="S11" s="157"/>
    </row>
    <row r="12" spans="2:24" x14ac:dyDescent="0.35">
      <c r="B12" s="156"/>
      <c r="C12" t="s">
        <v>75</v>
      </c>
      <c r="E12" s="148" t="s">
        <v>96</v>
      </c>
      <c r="G12" s="126">
        <f>'Population selection'!F14</f>
        <v>45219492</v>
      </c>
      <c r="H12" t="str">
        <f>C25&amp;" population based on selection on left using mid-2022 ONS data"</f>
        <v>Adult population population based on selection on left using mid-2022 ONS data</v>
      </c>
      <c r="S12" s="157"/>
    </row>
    <row r="13" spans="2:24" x14ac:dyDescent="0.35">
      <c r="B13" s="156"/>
      <c r="E13" s="551"/>
      <c r="G13" s="555">
        <f>2.05533586601874%</f>
        <v>2.0553358660187402E-2</v>
      </c>
      <c r="H13" t="s">
        <v>662</v>
      </c>
      <c r="S13" s="157"/>
    </row>
    <row r="14" spans="2:24" x14ac:dyDescent="0.35">
      <c r="B14" s="156"/>
      <c r="C14" s="146"/>
      <c r="G14" s="126">
        <f>(100%+G13)*G12</f>
        <v>46148904.437507473</v>
      </c>
      <c r="H14" t="s">
        <v>663</v>
      </c>
      <c r="S14" s="157"/>
    </row>
    <row r="15" spans="2:24" x14ac:dyDescent="0.35">
      <c r="B15" s="158"/>
      <c r="C15" t="s">
        <v>664</v>
      </c>
      <c r="E15" s="556" t="s">
        <v>53</v>
      </c>
      <c r="F15" s="168" t="str">
        <f>IF(E15="yes","","If no, enter current locality population below")</f>
        <v/>
      </c>
      <c r="S15" s="157"/>
    </row>
    <row r="16" spans="2:24" x14ac:dyDescent="0.35">
      <c r="B16" s="158"/>
      <c r="F16" s="168" t="str">
        <f>IF(AND(NOT(ISBLANK(E17)),E15="yes"),"error - change cell above to 'no'","")</f>
        <v/>
      </c>
      <c r="S16" s="157"/>
    </row>
    <row r="17" spans="2:24" x14ac:dyDescent="0.35">
      <c r="B17" s="158"/>
      <c r="C17" t="str">
        <f>"Manually entered current locality population "&amp;IF(E15="no","","(n/a)")</f>
        <v>Manually entered current locality population (n/a)</v>
      </c>
      <c r="E17" s="557"/>
      <c r="F17" s="627" t="str">
        <f>IF(E15="yes","Leave blue cell on left blank if NICE estimate is used","")</f>
        <v>Leave blue cell on left blank if NICE estimate is used</v>
      </c>
      <c r="S17" s="157"/>
    </row>
    <row r="18" spans="2:24" x14ac:dyDescent="0.35">
      <c r="B18" s="158"/>
      <c r="F18" s="168" t="str">
        <f>IF(AND(ISBLANK(E17),E15="no"),"error - enter current locality population above","")</f>
        <v/>
      </c>
      <c r="S18" s="157"/>
    </row>
    <row r="19" spans="2:24" x14ac:dyDescent="0.35">
      <c r="B19" s="158"/>
      <c r="C19" t="s">
        <v>665</v>
      </c>
      <c r="D19" s="150"/>
      <c r="E19" s="555">
        <v>9.6418074639288403E-3</v>
      </c>
      <c r="F19" t="str">
        <f>IF(E19=0.00964180746392884,"Enter local value or delete the NICE assumption if required","Local value")</f>
        <v>Enter local value or delete the NICE assumption if required</v>
      </c>
      <c r="S19" s="157"/>
    </row>
    <row r="20" spans="2:24" x14ac:dyDescent="0.35">
      <c r="B20" s="158"/>
      <c r="C20" t="s">
        <v>666</v>
      </c>
      <c r="D20" s="150"/>
      <c r="E20" s="555">
        <v>0</v>
      </c>
      <c r="F20" t="str">
        <f>IF(E20=0,"Enter local value or delete the NICE assumption if required","Local value")</f>
        <v>Enter local value or delete the NICE assumption if required</v>
      </c>
      <c r="S20" s="157"/>
    </row>
    <row r="21" spans="2:24" x14ac:dyDescent="0.35">
      <c r="B21" s="159"/>
      <c r="C21" s="160"/>
      <c r="D21" s="160"/>
      <c r="E21" s="160"/>
      <c r="F21" s="160"/>
      <c r="G21" s="160"/>
      <c r="H21" s="160"/>
      <c r="I21" s="160"/>
      <c r="J21" s="160"/>
      <c r="K21" s="160"/>
      <c r="L21" s="160"/>
      <c r="M21" s="160"/>
      <c r="N21" s="160"/>
      <c r="O21" s="160"/>
      <c r="P21" s="160"/>
      <c r="Q21" s="160"/>
      <c r="R21" s="160"/>
      <c r="S21" s="161"/>
    </row>
    <row r="23" spans="2:24" x14ac:dyDescent="0.35">
      <c r="B23" s="154" t="s">
        <v>667</v>
      </c>
      <c r="C23" s="308"/>
      <c r="D23" s="308"/>
      <c r="E23" s="308"/>
      <c r="F23" s="308"/>
      <c r="G23" s="836"/>
      <c r="H23" s="308"/>
      <c r="I23" s="308"/>
      <c r="J23" s="308"/>
      <c r="K23" s="308"/>
      <c r="L23" s="308"/>
      <c r="M23" s="308"/>
      <c r="N23" s="308"/>
      <c r="O23" s="308"/>
      <c r="P23" s="308"/>
      <c r="Q23" s="308"/>
      <c r="R23" s="308"/>
      <c r="S23" s="308"/>
      <c r="T23" s="308"/>
      <c r="U23" s="308"/>
      <c r="V23" s="308"/>
      <c r="W23" s="308"/>
      <c r="X23" s="155"/>
    </row>
    <row r="24" spans="2:24" ht="90.75" customHeight="1" x14ac:dyDescent="0.35">
      <c r="B24" s="156"/>
      <c r="F24" s="232" t="s">
        <v>668</v>
      </c>
      <c r="G24" s="163" t="s">
        <v>669</v>
      </c>
      <c r="H24" s="220" t="s">
        <v>670</v>
      </c>
      <c r="I24" s="368"/>
      <c r="J24" s="368"/>
      <c r="K24" s="368"/>
      <c r="L24" s="368"/>
      <c r="M24" s="368"/>
      <c r="N24" s="368"/>
      <c r="O24" s="368"/>
      <c r="P24" s="368"/>
      <c r="Q24" s="368"/>
      <c r="R24" s="368"/>
      <c r="S24" s="368"/>
      <c r="T24" s="368"/>
      <c r="U24" s="368"/>
      <c r="V24" s="368"/>
      <c r="W24" s="368"/>
      <c r="X24" s="221"/>
    </row>
    <row r="25" spans="2:24" x14ac:dyDescent="0.35">
      <c r="B25" s="156"/>
      <c r="C25" s="231" t="s">
        <v>671</v>
      </c>
      <c r="D25" s="234"/>
      <c r="E25" s="166"/>
      <c r="F25" s="126">
        <f>IF(ISBLANK(E17),G14,'Population selection'!F16)</f>
        <v>46148904.437507473</v>
      </c>
      <c r="G25" s="233"/>
      <c r="H25" s="230" t="s">
        <v>672</v>
      </c>
      <c r="I25" s="194"/>
      <c r="J25" s="194"/>
      <c r="K25" s="194"/>
      <c r="L25" s="194"/>
      <c r="M25" s="194"/>
      <c r="N25" s="194"/>
      <c r="O25" s="194"/>
      <c r="P25" s="194"/>
      <c r="Q25" s="194"/>
      <c r="R25" s="194"/>
      <c r="S25" s="194"/>
      <c r="T25" s="194"/>
      <c r="U25" s="194"/>
      <c r="V25" s="194"/>
      <c r="W25" s="194"/>
      <c r="X25" s="166"/>
    </row>
    <row r="26" spans="2:24" x14ac:dyDescent="0.35">
      <c r="B26" s="156"/>
      <c r="C26" s="552" t="s">
        <v>673</v>
      </c>
      <c r="D26" s="235"/>
      <c r="E26" s="166"/>
      <c r="F26" s="205"/>
      <c r="G26" s="126">
        <f>K41</f>
        <v>48417016.421111427</v>
      </c>
      <c r="H26" s="230" t="s">
        <v>672</v>
      </c>
      <c r="I26" s="160"/>
      <c r="J26" s="160"/>
      <c r="K26" s="160"/>
      <c r="L26" s="160"/>
      <c r="M26" s="160"/>
      <c r="N26" s="160"/>
      <c r="O26" s="160"/>
      <c r="P26" s="160"/>
      <c r="Q26" s="160"/>
      <c r="R26" s="160"/>
      <c r="S26" s="160"/>
      <c r="T26" s="160"/>
      <c r="U26" s="160"/>
      <c r="V26" s="160"/>
      <c r="W26" s="160"/>
      <c r="X26" s="161"/>
    </row>
    <row r="27" spans="2:24" x14ac:dyDescent="0.35">
      <c r="B27" s="158"/>
      <c r="C27" s="230" t="s">
        <v>969</v>
      </c>
      <c r="D27" s="166"/>
      <c r="E27" s="769">
        <v>9.0370510207566355E-4</v>
      </c>
      <c r="F27" s="558">
        <f>F25*E27</f>
        <v>41705.000395377734</v>
      </c>
      <c r="G27" s="558">
        <f>G26*E27</f>
        <v>43754.704767039584</v>
      </c>
      <c r="H27" s="329" t="s">
        <v>973</v>
      </c>
      <c r="I27" s="194"/>
      <c r="J27" s="194"/>
      <c r="K27" s="194"/>
      <c r="L27" s="194"/>
      <c r="M27" t="s">
        <v>1007</v>
      </c>
      <c r="N27" s="194"/>
      <c r="O27" s="194"/>
      <c r="P27" s="194"/>
      <c r="Q27" s="194"/>
      <c r="R27" s="194"/>
      <c r="S27" s="194"/>
      <c r="T27" s="194"/>
      <c r="U27" s="194"/>
      <c r="V27" s="194"/>
      <c r="W27" s="194"/>
      <c r="X27" s="166"/>
    </row>
    <row r="28" spans="2:24" x14ac:dyDescent="0.35">
      <c r="B28" s="158"/>
      <c r="C28" s="230" t="s">
        <v>970</v>
      </c>
      <c r="D28" s="166"/>
      <c r="E28" s="555">
        <v>7.7640570000000006E-2</v>
      </c>
      <c r="F28" s="558">
        <f>F27*E28</f>
        <v>3238.0000025473528</v>
      </c>
      <c r="G28" s="558">
        <f>G27*E28</f>
        <v>3397.1402182946708</v>
      </c>
      <c r="H28" s="329" t="s">
        <v>973</v>
      </c>
      <c r="I28" s="235"/>
      <c r="J28" s="235"/>
      <c r="K28" s="235"/>
      <c r="L28" s="235"/>
      <c r="M28" s="235"/>
      <c r="N28" s="235"/>
      <c r="O28" s="235"/>
      <c r="P28" s="235"/>
      <c r="Q28" s="235"/>
      <c r="R28" s="235"/>
      <c r="S28" s="235"/>
      <c r="T28" s="235"/>
      <c r="U28" s="235"/>
      <c r="V28" s="235"/>
      <c r="W28" s="235"/>
      <c r="X28" s="768"/>
    </row>
    <row r="29" spans="2:24" ht="14.5" customHeight="1" x14ac:dyDescent="0.35">
      <c r="B29" s="158"/>
      <c r="C29" s="230" t="s">
        <v>971</v>
      </c>
      <c r="D29" s="166"/>
      <c r="E29" s="555">
        <v>0.71</v>
      </c>
      <c r="F29" s="558">
        <f>F28*E29</f>
        <v>2298.9800018086203</v>
      </c>
      <c r="G29" s="558">
        <f>G28*E29</f>
        <v>2411.9695549892162</v>
      </c>
      <c r="H29" s="845" t="s">
        <v>974</v>
      </c>
      <c r="I29" s="846"/>
      <c r="J29" s="846"/>
      <c r="K29" s="846"/>
      <c r="L29" s="846"/>
      <c r="M29" s="846"/>
      <c r="N29" s="846"/>
      <c r="O29" s="235"/>
      <c r="P29" s="235"/>
      <c r="Q29" s="235"/>
      <c r="R29" s="235"/>
      <c r="S29" s="235"/>
      <c r="T29" s="235"/>
      <c r="U29" s="235"/>
      <c r="V29" s="235"/>
      <c r="W29" s="235"/>
      <c r="X29" s="768"/>
    </row>
    <row r="30" spans="2:24" ht="29" customHeight="1" x14ac:dyDescent="0.35">
      <c r="B30" s="158"/>
      <c r="C30" s="230" t="s">
        <v>972</v>
      </c>
      <c r="D30" s="166"/>
      <c r="E30" s="555">
        <v>0.75</v>
      </c>
      <c r="F30" s="558">
        <f>F29*E30</f>
        <v>1724.2350013564651</v>
      </c>
      <c r="G30" s="558">
        <f>G29*E30</f>
        <v>1808.9771662419121</v>
      </c>
      <c r="H30" s="841" t="s">
        <v>1006</v>
      </c>
      <c r="I30" s="842"/>
      <c r="J30" s="842"/>
      <c r="K30" s="842"/>
      <c r="L30" s="843" t="s">
        <v>1004</v>
      </c>
      <c r="M30" s="843"/>
      <c r="N30" s="843"/>
      <c r="O30" s="843"/>
      <c r="P30" s="843"/>
      <c r="Q30" s="843" t="s">
        <v>1005</v>
      </c>
      <c r="R30" s="843"/>
      <c r="S30" s="843"/>
      <c r="T30" s="843"/>
      <c r="U30" s="843"/>
      <c r="V30" s="843"/>
      <c r="W30" s="843"/>
      <c r="X30" s="844"/>
    </row>
    <row r="31" spans="2:24" x14ac:dyDescent="0.35">
      <c r="B31" s="158"/>
      <c r="C31" s="165"/>
      <c r="D31" s="155"/>
      <c r="E31" s="320"/>
      <c r="F31" s="126"/>
      <c r="G31" s="126"/>
      <c r="H31" s="197"/>
      <c r="I31" s="194"/>
      <c r="J31" s="194"/>
      <c r="K31" s="194"/>
      <c r="L31" s="194"/>
      <c r="M31" s="194"/>
      <c r="N31" s="194"/>
      <c r="O31" s="194"/>
      <c r="P31" s="194"/>
      <c r="Q31" s="194"/>
      <c r="R31" s="194"/>
      <c r="S31" s="194"/>
      <c r="T31" s="194"/>
      <c r="U31" s="194"/>
      <c r="V31" s="194"/>
      <c r="W31" s="194"/>
      <c r="X31" s="166"/>
    </row>
    <row r="32" spans="2:24" x14ac:dyDescent="0.35">
      <c r="B32" s="158"/>
      <c r="C32" s="219" t="s">
        <v>674</v>
      </c>
      <c r="D32" s="194"/>
      <c r="E32" s="319">
        <v>1</v>
      </c>
      <c r="F32" s="179">
        <f>F30*E32</f>
        <v>1724.2350013564651</v>
      </c>
      <c r="G32" s="179">
        <f>G30*E32</f>
        <v>1808.9771662419121</v>
      </c>
      <c r="H32" s="197"/>
      <c r="I32" s="194"/>
      <c r="J32" s="194"/>
      <c r="K32" s="194"/>
      <c r="L32" s="194"/>
      <c r="M32" s="194"/>
      <c r="N32" s="194"/>
      <c r="O32" s="194"/>
      <c r="P32" s="194"/>
      <c r="Q32" s="194"/>
      <c r="R32" s="194"/>
      <c r="S32" s="194"/>
      <c r="T32" s="194"/>
      <c r="U32" s="194"/>
      <c r="V32" s="194"/>
      <c r="W32" s="194"/>
      <c r="X32" s="166"/>
    </row>
    <row r="33" spans="2:24" x14ac:dyDescent="0.35">
      <c r="B33" s="158"/>
      <c r="C33" s="334"/>
      <c r="E33" s="335"/>
      <c r="F33" s="336"/>
      <c r="G33" s="336"/>
      <c r="H33" s="188"/>
      <c r="X33" s="157"/>
    </row>
    <row r="34" spans="2:24" x14ac:dyDescent="0.35">
      <c r="B34" s="158"/>
      <c r="C34" t="s">
        <v>675</v>
      </c>
      <c r="F34" s="556" t="s">
        <v>53</v>
      </c>
      <c r="G34" s="336"/>
      <c r="H34" s="188"/>
      <c r="X34" s="157"/>
    </row>
    <row r="35" spans="2:24" x14ac:dyDescent="0.35">
      <c r="B35" s="158"/>
      <c r="C35" s="334"/>
      <c r="E35" s="335"/>
      <c r="F35" s="336"/>
      <c r="G35" s="336"/>
      <c r="H35" s="188"/>
      <c r="X35" s="157"/>
    </row>
    <row r="36" spans="2:24" x14ac:dyDescent="0.35">
      <c r="B36" s="158"/>
      <c r="C36" t="str">
        <f>"Manually entered current eligible population "&amp;IF(F34="no","","(n/a)")</f>
        <v>Manually entered current eligible population (n/a)</v>
      </c>
      <c r="F36" s="559"/>
      <c r="G36" s="624" t="str">
        <f>IF(F34="yes","Leave blue cell on left blank if NICE estimate is used","local value")</f>
        <v>Leave blue cell on left blank if NICE estimate is used</v>
      </c>
      <c r="X36" s="157"/>
    </row>
    <row r="37" spans="2:24" x14ac:dyDescent="0.35">
      <c r="B37" s="158"/>
      <c r="G37" s="497" t="str">
        <f>IF(AND(F34="yes",F36&gt;0),"error, set the drop down above to be 'no'","")</f>
        <v/>
      </c>
      <c r="X37" s="157"/>
    </row>
    <row r="38" spans="2:24" ht="43.5" x14ac:dyDescent="0.35">
      <c r="B38" s="158"/>
      <c r="C38" s="160"/>
      <c r="F38" s="228" t="s">
        <v>668</v>
      </c>
      <c r="G38" s="163" t="s">
        <v>676</v>
      </c>
      <c r="H38" s="163" t="s">
        <v>677</v>
      </c>
      <c r="I38" s="229" t="s">
        <v>678</v>
      </c>
      <c r="J38" s="163" t="s">
        <v>679</v>
      </c>
      <c r="K38" s="163" t="s">
        <v>680</v>
      </c>
      <c r="L38" s="498"/>
      <c r="M38" s="498"/>
      <c r="N38" s="498"/>
      <c r="O38" s="498"/>
      <c r="P38" s="498"/>
      <c r="Q38" s="498"/>
      <c r="X38" s="157"/>
    </row>
    <row r="39" spans="2:24" x14ac:dyDescent="0.35">
      <c r="B39" s="158"/>
      <c r="C39" s="230" t="s">
        <v>681</v>
      </c>
      <c r="D39" s="194"/>
      <c r="E39" s="166"/>
      <c r="F39" s="205"/>
      <c r="G39" s="326">
        <f>IF(E19&lt;&gt;"",E19+100%,100%)</f>
        <v>1.0096418074639288</v>
      </c>
      <c r="H39" s="326">
        <f>IF($E$19&lt;&gt;"",G39*(100%+$E$19),100%)</f>
        <v>1.0193765793790293</v>
      </c>
      <c r="I39" s="326">
        <f>IF($E$19&lt;&gt;"",H39*(100%+$E$19),100%)</f>
        <v>1.0292052120906403</v>
      </c>
      <c r="J39" s="326">
        <f>IF($E$19&lt;&gt;"",I39*(100%+$E$19),100%)</f>
        <v>1.0391286105864903</v>
      </c>
      <c r="K39" s="326">
        <f>IF($E$19&lt;&gt;"",J39*(100%+$E$19),100%)</f>
        <v>1.0491476885800251</v>
      </c>
      <c r="L39" t="s">
        <v>682</v>
      </c>
      <c r="M39" s="490"/>
      <c r="N39" s="490"/>
      <c r="O39" s="490"/>
      <c r="P39" s="490"/>
      <c r="Q39" s="490"/>
      <c r="X39" s="157"/>
    </row>
    <row r="40" spans="2:24" x14ac:dyDescent="0.35">
      <c r="B40" s="158"/>
      <c r="C40" s="230" t="s">
        <v>683</v>
      </c>
      <c r="D40" s="194"/>
      <c r="E40" s="166"/>
      <c r="F40" s="205"/>
      <c r="G40" s="326">
        <f>IF(E20&lt;&gt;"",E20+100%,100%)</f>
        <v>1</v>
      </c>
      <c r="H40" s="326">
        <f>IF($E$20&lt;&gt;"",G40*(100%+$E$20),100%)</f>
        <v>1</v>
      </c>
      <c r="I40" s="326">
        <f>IF($E$20&lt;&gt;"",H40*(100%+$E$20),100%)</f>
        <v>1</v>
      </c>
      <c r="J40" s="326">
        <f>IF($E$20&lt;&gt;"",I40*(100%+$E$20),100%)</f>
        <v>1</v>
      </c>
      <c r="K40" s="326">
        <f>IF($E$20&lt;&gt;"",J40*(100%+$E$20),100%)</f>
        <v>1</v>
      </c>
      <c r="L40" t="s">
        <v>682</v>
      </c>
      <c r="M40" s="490"/>
      <c r="N40" s="490"/>
      <c r="O40" s="490"/>
      <c r="P40" s="490"/>
      <c r="Q40" s="490"/>
      <c r="X40" s="157"/>
    </row>
    <row r="41" spans="2:24" x14ac:dyDescent="0.35">
      <c r="B41" s="158"/>
      <c r="C41" s="366" t="str">
        <f>IF('Inputs and eligible population'!E17=0,"Baseline population (inflated by growth(s))","Manually entered locality population (inflated by growth(s))")</f>
        <v>Baseline population (inflated by growth(s))</v>
      </c>
      <c r="D41" s="194"/>
      <c r="E41" s="166"/>
      <c r="F41" s="126">
        <f>IF(ISBLANK(E17),G14,'Population selection'!F16)</f>
        <v>46148904.437507473</v>
      </c>
      <c r="G41" s="126">
        <f>F41*G39</f>
        <v>46593863.28876517</v>
      </c>
      <c r="H41" s="126">
        <f>F41*H39</f>
        <v>47043112.347596072</v>
      </c>
      <c r="I41" s="126">
        <f>F41*I39</f>
        <v>47496692.979355574</v>
      </c>
      <c r="J41" s="126">
        <f>F41*J39</f>
        <v>47954646.948235855</v>
      </c>
      <c r="K41" s="126">
        <f>F41*K39</f>
        <v>48417016.421111427</v>
      </c>
      <c r="M41" s="279"/>
      <c r="N41" s="279"/>
      <c r="O41" s="279"/>
      <c r="P41" s="279"/>
      <c r="Q41" s="279"/>
      <c r="X41" s="157"/>
    </row>
    <row r="42" spans="2:24" x14ac:dyDescent="0.35">
      <c r="B42" s="158"/>
      <c r="C42" s="219" t="str">
        <f>IF(ISBLANK(F36),"Eligible population, NICE estimate","Eligible population, local estimate")</f>
        <v>Eligible population, NICE estimate</v>
      </c>
      <c r="D42" s="194"/>
      <c r="E42" s="166"/>
      <c r="F42" s="179">
        <f>IF(ISBLANK(F36),F32,F36)</f>
        <v>1724.2350013564651</v>
      </c>
      <c r="G42" s="179">
        <f>$F$42*G39*G40</f>
        <v>1740.8597432621111</v>
      </c>
      <c r="H42" s="179">
        <f>$F$42*H39*H40</f>
        <v>1757.6447777283493</v>
      </c>
      <c r="I42" s="179">
        <f>$F$42*I39*I40</f>
        <v>1774.5916502651862</v>
      </c>
      <c r="J42" s="179">
        <f>$F$42*J39*J40</f>
        <v>1791.7019212841387</v>
      </c>
      <c r="K42" s="179">
        <f>$F$42*K39*K40</f>
        <v>1808.9771662419116</v>
      </c>
      <c r="L42" s="168" t="str">
        <f>IF(F34="no","local estimate used","")</f>
        <v/>
      </c>
      <c r="M42" s="336"/>
      <c r="N42" s="336"/>
      <c r="O42" s="336"/>
      <c r="P42" s="336"/>
      <c r="Q42" s="336"/>
      <c r="X42" s="157"/>
    </row>
    <row r="43" spans="2:24" x14ac:dyDescent="0.35">
      <c r="B43" s="159"/>
      <c r="C43" s="160"/>
      <c r="D43" s="160"/>
      <c r="E43" s="160"/>
      <c r="F43" s="160"/>
      <c r="G43" s="160"/>
      <c r="H43" s="160"/>
      <c r="I43" s="160"/>
      <c r="J43" s="160"/>
      <c r="K43" s="160"/>
      <c r="L43" s="160"/>
      <c r="M43" s="160"/>
      <c r="N43" s="160"/>
      <c r="O43" s="160"/>
      <c r="P43" s="160"/>
      <c r="Q43" s="160"/>
      <c r="R43" s="160"/>
      <c r="S43" s="160"/>
      <c r="T43" s="160"/>
      <c r="U43" s="160"/>
      <c r="V43" s="160"/>
      <c r="W43" s="160"/>
      <c r="X43" s="161"/>
    </row>
    <row r="46" spans="2:24" x14ac:dyDescent="0.35">
      <c r="B46" s="154" t="s">
        <v>684</v>
      </c>
      <c r="C46" s="308"/>
      <c r="D46" s="308"/>
      <c r="E46" s="308"/>
      <c r="F46" s="308"/>
      <c r="G46" s="308"/>
      <c r="H46" s="308"/>
      <c r="I46" s="308"/>
      <c r="J46" s="308"/>
      <c r="K46" s="308"/>
      <c r="L46" s="308"/>
      <c r="M46" s="308"/>
      <c r="N46" s="308"/>
      <c r="O46" s="308"/>
      <c r="P46" s="308"/>
      <c r="Q46" s="308"/>
      <c r="R46" s="308"/>
      <c r="S46" s="155"/>
    </row>
    <row r="47" spans="2:24" x14ac:dyDescent="0.35">
      <c r="B47" s="158"/>
      <c r="D47" s="208" t="s">
        <v>685</v>
      </c>
      <c r="E47" s="208" t="s">
        <v>686</v>
      </c>
      <c r="F47" s="208" t="s">
        <v>687</v>
      </c>
      <c r="G47" s="208" t="s">
        <v>688</v>
      </c>
      <c r="H47" s="208" t="s">
        <v>689</v>
      </c>
      <c r="I47" s="208" t="s">
        <v>690</v>
      </c>
      <c r="J47" s="208" t="s">
        <v>691</v>
      </c>
      <c r="K47" s="208" t="s">
        <v>692</v>
      </c>
      <c r="L47" s="493"/>
      <c r="M47" s="493"/>
      <c r="N47" s="493"/>
      <c r="O47" s="493"/>
      <c r="P47" s="493"/>
      <c r="Q47" s="493"/>
      <c r="S47" s="157"/>
    </row>
    <row r="48" spans="2:24" x14ac:dyDescent="0.35">
      <c r="B48" s="158"/>
      <c r="C48" s="322" t="s">
        <v>1030</v>
      </c>
      <c r="D48" s="560">
        <v>21</v>
      </c>
      <c r="E48" s="561">
        <v>1</v>
      </c>
      <c r="F48" s="590">
        <v>4</v>
      </c>
      <c r="G48" s="822"/>
      <c r="H48" s="822"/>
      <c r="I48" s="822"/>
      <c r="J48" s="822"/>
      <c r="K48" s="321">
        <f>SUM(F48:J48)</f>
        <v>4</v>
      </c>
      <c r="S48" s="157"/>
    </row>
    <row r="49" spans="2:19" x14ac:dyDescent="0.35">
      <c r="B49" s="158"/>
      <c r="C49" s="322" t="s">
        <v>1029</v>
      </c>
      <c r="D49" s="560">
        <v>28</v>
      </c>
      <c r="E49" s="561">
        <v>1</v>
      </c>
      <c r="F49" s="590">
        <v>3</v>
      </c>
      <c r="G49" s="822"/>
      <c r="H49" s="822"/>
      <c r="I49" s="822"/>
      <c r="J49" s="822"/>
      <c r="K49" s="321">
        <f>SUM(F49:J49)</f>
        <v>3</v>
      </c>
      <c r="S49" s="157"/>
    </row>
    <row r="50" spans="2:19" x14ac:dyDescent="0.35">
      <c r="B50" s="158"/>
      <c r="C50" s="322" t="s">
        <v>1031</v>
      </c>
      <c r="D50" s="563">
        <v>21</v>
      </c>
      <c r="E50" s="564">
        <v>1</v>
      </c>
      <c r="F50" s="591">
        <v>4</v>
      </c>
      <c r="G50" s="822"/>
      <c r="H50" s="822"/>
      <c r="I50" s="822"/>
      <c r="J50" s="822"/>
      <c r="K50" s="321">
        <f>SUM(F50:J50)</f>
        <v>4</v>
      </c>
      <c r="L50" s="491"/>
      <c r="M50" s="491"/>
      <c r="N50" s="491"/>
      <c r="O50" s="491"/>
      <c r="P50" s="491"/>
      <c r="Q50" s="491"/>
      <c r="S50" s="157"/>
    </row>
    <row r="51" spans="2:19" x14ac:dyDescent="0.35">
      <c r="B51" s="158"/>
      <c r="C51" s="322" t="s">
        <v>1033</v>
      </c>
      <c r="D51" s="563">
        <v>21</v>
      </c>
      <c r="E51" s="564">
        <v>1</v>
      </c>
      <c r="F51" s="591">
        <v>3</v>
      </c>
      <c r="G51" s="822"/>
      <c r="H51" s="822"/>
      <c r="I51" s="822"/>
      <c r="J51" s="822"/>
      <c r="K51" s="321">
        <f>SUM(F51:J51)</f>
        <v>3</v>
      </c>
      <c r="S51" s="157"/>
    </row>
    <row r="52" spans="2:19" x14ac:dyDescent="0.35">
      <c r="B52" s="158"/>
      <c r="D52" s="150"/>
      <c r="E52" s="150"/>
      <c r="F52" s="150"/>
      <c r="G52" s="150"/>
      <c r="S52" s="157"/>
    </row>
    <row r="53" spans="2:19" ht="32.15" customHeight="1" x14ac:dyDescent="0.35">
      <c r="B53" s="158"/>
      <c r="C53" s="205" t="s">
        <v>693</v>
      </c>
      <c r="D53" s="210" t="s">
        <v>694</v>
      </c>
      <c r="E53" s="206"/>
      <c r="F53" s="206"/>
      <c r="G53" s="206"/>
      <c r="H53" s="207"/>
      <c r="I53" s="208" t="s">
        <v>695</v>
      </c>
      <c r="J53" s="163" t="s">
        <v>696</v>
      </c>
      <c r="K53" s="208" t="s">
        <v>697</v>
      </c>
      <c r="S53" s="157"/>
    </row>
    <row r="54" spans="2:19" x14ac:dyDescent="0.35">
      <c r="B54" s="158"/>
      <c r="C54" s="322" t="s">
        <v>975</v>
      </c>
      <c r="D54" s="197" t="s">
        <v>982</v>
      </c>
      <c r="E54" s="198"/>
      <c r="F54" s="198"/>
      <c r="G54" s="198"/>
      <c r="H54" s="194"/>
      <c r="I54" s="565"/>
      <c r="J54" s="566">
        <v>0.2</v>
      </c>
      <c r="K54" s="829" t="s">
        <v>1023</v>
      </c>
      <c r="S54" s="157"/>
    </row>
    <row r="55" spans="2:19" x14ac:dyDescent="0.35">
      <c r="B55" s="158"/>
      <c r="C55" s="322" t="s">
        <v>976</v>
      </c>
      <c r="D55" s="197" t="s">
        <v>1021</v>
      </c>
      <c r="E55" s="198"/>
      <c r="F55" s="198"/>
      <c r="G55" s="198"/>
      <c r="H55" s="194"/>
      <c r="I55" s="565"/>
      <c r="J55" s="566">
        <v>0.2</v>
      </c>
      <c r="K55" s="829" t="s">
        <v>1023</v>
      </c>
      <c r="L55" s="492"/>
      <c r="M55" s="492"/>
      <c r="N55" s="492"/>
      <c r="O55" s="492"/>
      <c r="P55" s="492"/>
      <c r="Q55" s="492"/>
      <c r="S55" s="157"/>
    </row>
    <row r="56" spans="2:19" x14ac:dyDescent="0.35">
      <c r="B56" s="158"/>
      <c r="C56" s="192"/>
      <c r="D56" s="150"/>
      <c r="E56" s="150"/>
      <c r="F56" s="150"/>
      <c r="G56" s="150"/>
      <c r="S56" s="157"/>
    </row>
    <row r="57" spans="2:19" x14ac:dyDescent="0.35">
      <c r="B57" s="158"/>
      <c r="D57" s="150"/>
      <c r="E57" s="150"/>
      <c r="F57" s="150"/>
      <c r="G57" s="150"/>
      <c r="S57" s="157"/>
    </row>
    <row r="58" spans="2:19" x14ac:dyDescent="0.35">
      <c r="B58" s="158"/>
      <c r="C58" s="196" t="s">
        <v>698</v>
      </c>
      <c r="D58" s="567">
        <v>78.400000000000006</v>
      </c>
      <c r="E58" s="676" t="s">
        <v>934</v>
      </c>
      <c r="F58" s="198"/>
      <c r="G58" s="198"/>
      <c r="H58" s="166"/>
      <c r="S58" s="157"/>
    </row>
    <row r="59" spans="2:19" ht="16.5" x14ac:dyDescent="0.35">
      <c r="B59" s="158"/>
      <c r="C59" s="196" t="s">
        <v>699</v>
      </c>
      <c r="D59" s="562">
        <v>1.79</v>
      </c>
      <c r="E59" s="677" t="s">
        <v>935</v>
      </c>
      <c r="F59" s="198"/>
      <c r="G59" s="198"/>
      <c r="H59" s="166"/>
      <c r="S59" s="157"/>
    </row>
    <row r="60" spans="2:19" x14ac:dyDescent="0.35">
      <c r="B60" s="158"/>
      <c r="S60" s="157"/>
    </row>
    <row r="61" spans="2:19" x14ac:dyDescent="0.35">
      <c r="B61" s="158"/>
      <c r="C61" s="146" t="s">
        <v>700</v>
      </c>
      <c r="S61" s="157"/>
    </row>
    <row r="62" spans="2:19" x14ac:dyDescent="0.35">
      <c r="B62" s="158"/>
      <c r="D62" s="337" t="s">
        <v>701</v>
      </c>
      <c r="E62" s="209" t="s">
        <v>702</v>
      </c>
      <c r="F62" s="209" t="s">
        <v>703</v>
      </c>
      <c r="G62" s="209" t="s">
        <v>704</v>
      </c>
      <c r="H62" s="209" t="s">
        <v>705</v>
      </c>
      <c r="I62" s="208" t="s">
        <v>706</v>
      </c>
      <c r="J62" s="208" t="s">
        <v>707</v>
      </c>
      <c r="L62" s="208" t="s">
        <v>702</v>
      </c>
      <c r="M62" s="499" t="s">
        <v>703</v>
      </c>
      <c r="N62" s="209" t="s">
        <v>704</v>
      </c>
      <c r="O62" s="209" t="s">
        <v>705</v>
      </c>
      <c r="P62" s="208" t="s">
        <v>706</v>
      </c>
      <c r="Q62" s="208" t="s">
        <v>707</v>
      </c>
      <c r="S62" s="157"/>
    </row>
    <row r="63" spans="2:19" x14ac:dyDescent="0.35">
      <c r="B63" s="158"/>
      <c r="D63" s="322" t="s">
        <v>975</v>
      </c>
      <c r="E63" s="568">
        <v>0</v>
      </c>
      <c r="F63" s="569">
        <v>0.1</v>
      </c>
      <c r="G63" s="569">
        <v>0.2</v>
      </c>
      <c r="H63" s="569">
        <v>0.3</v>
      </c>
      <c r="I63" s="569">
        <v>0.3</v>
      </c>
      <c r="J63" s="569">
        <v>0.3</v>
      </c>
      <c r="L63" s="500">
        <f t="shared" ref="L63:Q63" si="0">F42*E63</f>
        <v>0</v>
      </c>
      <c r="M63" s="494">
        <f t="shared" si="0"/>
        <v>174.08597432621113</v>
      </c>
      <c r="N63" s="494">
        <f t="shared" si="0"/>
        <v>351.52895554566987</v>
      </c>
      <c r="O63" s="494">
        <f t="shared" si="0"/>
        <v>532.37749507955584</v>
      </c>
      <c r="P63" s="494">
        <f t="shared" si="0"/>
        <v>537.51057638524162</v>
      </c>
      <c r="Q63" s="494">
        <f t="shared" si="0"/>
        <v>542.69314987257349</v>
      </c>
      <c r="S63" s="157"/>
    </row>
    <row r="64" spans="2:19" x14ac:dyDescent="0.35">
      <c r="B64" s="158"/>
      <c r="D64" s="322" t="s">
        <v>976</v>
      </c>
      <c r="E64" s="569">
        <f t="shared" ref="E64:J64" si="1">100%-E63</f>
        <v>1</v>
      </c>
      <c r="F64" s="569">
        <f t="shared" si="1"/>
        <v>0.9</v>
      </c>
      <c r="G64" s="569">
        <f t="shared" si="1"/>
        <v>0.8</v>
      </c>
      <c r="H64" s="569">
        <f t="shared" si="1"/>
        <v>0.7</v>
      </c>
      <c r="I64" s="569">
        <f t="shared" si="1"/>
        <v>0.7</v>
      </c>
      <c r="J64" s="569">
        <f t="shared" si="1"/>
        <v>0.7</v>
      </c>
      <c r="L64" s="494">
        <f t="shared" ref="L64:Q64" si="2">F42*E64</f>
        <v>1724.2350013564651</v>
      </c>
      <c r="M64" s="494">
        <f t="shared" si="2"/>
        <v>1566.7737689359001</v>
      </c>
      <c r="N64" s="494">
        <f t="shared" si="2"/>
        <v>1406.1158221826795</v>
      </c>
      <c r="O64" s="494">
        <f t="shared" si="2"/>
        <v>1242.2141551856303</v>
      </c>
      <c r="P64" s="494">
        <f t="shared" si="2"/>
        <v>1254.1913448988971</v>
      </c>
      <c r="Q64" s="494">
        <f t="shared" si="2"/>
        <v>1266.2840163693381</v>
      </c>
      <c r="S64" s="157"/>
    </row>
    <row r="65" spans="2:19" x14ac:dyDescent="0.35">
      <c r="B65" s="158"/>
      <c r="E65" s="149">
        <f t="shared" ref="E65:J65" si="3">SUM(E63:E64)</f>
        <v>1</v>
      </c>
      <c r="F65" s="149">
        <f t="shared" si="3"/>
        <v>1</v>
      </c>
      <c r="G65" s="149">
        <f t="shared" si="3"/>
        <v>1</v>
      </c>
      <c r="H65" s="149">
        <f t="shared" si="3"/>
        <v>1</v>
      </c>
      <c r="I65" s="149">
        <f t="shared" si="3"/>
        <v>1</v>
      </c>
      <c r="J65" s="149">
        <f t="shared" si="3"/>
        <v>1</v>
      </c>
      <c r="L65" s="327">
        <f t="shared" ref="L65:Q65" si="4">SUM(L63:L64)</f>
        <v>1724.2350013564651</v>
      </c>
      <c r="M65" s="327">
        <f t="shared" si="4"/>
        <v>1740.8597432621111</v>
      </c>
      <c r="N65" s="327">
        <f t="shared" si="4"/>
        <v>1757.6447777283493</v>
      </c>
      <c r="O65" s="327">
        <f t="shared" si="4"/>
        <v>1774.5916502651862</v>
      </c>
      <c r="P65" s="327">
        <f t="shared" si="4"/>
        <v>1791.7019212841387</v>
      </c>
      <c r="Q65" s="327">
        <f t="shared" si="4"/>
        <v>1808.9771662419116</v>
      </c>
      <c r="S65" s="157"/>
    </row>
    <row r="66" spans="2:19" x14ac:dyDescent="0.35">
      <c r="B66" s="158"/>
      <c r="E66" s="331"/>
      <c r="F66" s="331"/>
      <c r="G66" s="331"/>
      <c r="H66" s="331"/>
      <c r="I66" s="331"/>
      <c r="J66" s="331"/>
      <c r="S66" s="157"/>
    </row>
    <row r="67" spans="2:19" x14ac:dyDescent="0.35">
      <c r="B67" s="158"/>
      <c r="C67" t="s">
        <v>1037</v>
      </c>
      <c r="E67" s="485"/>
      <c r="F67" s="485"/>
      <c r="G67" s="485"/>
      <c r="H67" s="485"/>
      <c r="I67" s="485"/>
      <c r="J67" s="485"/>
      <c r="S67" s="157"/>
    </row>
    <row r="68" spans="2:19" x14ac:dyDescent="0.35">
      <c r="B68" s="159"/>
      <c r="C68" s="160"/>
      <c r="D68" s="160"/>
      <c r="E68" s="160"/>
      <c r="F68" s="160"/>
      <c r="G68" s="160"/>
      <c r="H68" s="160"/>
      <c r="I68" s="160"/>
      <c r="J68" s="160"/>
      <c r="K68" s="160"/>
      <c r="L68" s="160"/>
      <c r="M68" s="160"/>
      <c r="N68" s="160"/>
      <c r="O68" s="160"/>
      <c r="P68" s="160"/>
      <c r="Q68" s="160"/>
      <c r="R68" s="160"/>
      <c r="S68" s="161"/>
    </row>
    <row r="69" spans="2:19" x14ac:dyDescent="0.35">
      <c r="D69" s="194"/>
      <c r="K69" s="194"/>
    </row>
    <row r="70" spans="2:19" x14ac:dyDescent="0.35">
      <c r="B70" s="154" t="s">
        <v>708</v>
      </c>
      <c r="C70" s="308"/>
      <c r="E70" s="308"/>
      <c r="F70" s="308"/>
      <c r="G70" s="308"/>
      <c r="H70" s="308"/>
      <c r="I70" s="308"/>
      <c r="J70" s="308"/>
      <c r="L70" s="308"/>
      <c r="M70" s="308"/>
      <c r="N70" s="308"/>
      <c r="O70" s="308"/>
      <c r="P70" s="308"/>
      <c r="Q70" s="308"/>
      <c r="R70" s="308"/>
      <c r="S70" s="155"/>
    </row>
    <row r="71" spans="2:19" x14ac:dyDescent="0.35">
      <c r="B71" s="158" t="s">
        <v>709</v>
      </c>
      <c r="S71" s="157"/>
    </row>
    <row r="72" spans="2:19" x14ac:dyDescent="0.35">
      <c r="B72" s="158" t="s">
        <v>710</v>
      </c>
      <c r="S72" s="157"/>
    </row>
    <row r="73" spans="2:19" x14ac:dyDescent="0.35">
      <c r="B73" s="158"/>
      <c r="C73" s="328"/>
      <c r="D73" s="211"/>
      <c r="E73" s="211"/>
      <c r="F73" s="211"/>
      <c r="J73" s="146" t="s">
        <v>711</v>
      </c>
      <c r="S73" s="157"/>
    </row>
    <row r="74" spans="2:19" ht="43" customHeight="1" x14ac:dyDescent="0.35">
      <c r="B74" s="158"/>
      <c r="C74" s="374" t="s">
        <v>712</v>
      </c>
      <c r="D74" s="374" t="s">
        <v>713</v>
      </c>
      <c r="E74" s="374" t="s">
        <v>714</v>
      </c>
      <c r="F74" s="243" t="s">
        <v>1018</v>
      </c>
      <c r="G74" s="243" t="s">
        <v>1019</v>
      </c>
      <c r="H74" s="243"/>
      <c r="J74" s="374" t="s">
        <v>715</v>
      </c>
      <c r="K74" s="374" t="s">
        <v>716</v>
      </c>
      <c r="S74" s="157"/>
    </row>
    <row r="75" spans="2:19" ht="43.5" x14ac:dyDescent="0.35">
      <c r="B75" s="158"/>
      <c r="C75" s="372" t="s">
        <v>719</v>
      </c>
      <c r="D75" s="163" t="s">
        <v>720</v>
      </c>
      <c r="E75" s="163" t="s">
        <v>717</v>
      </c>
      <c r="F75" s="571">
        <v>60</v>
      </c>
      <c r="G75" s="571">
        <v>30</v>
      </c>
      <c r="H75" s="570"/>
      <c r="J75" s="574" t="s">
        <v>721</v>
      </c>
      <c r="K75" s="575">
        <f>VLOOKUP(J75,payscales!B:K,10,0)</f>
        <v>42.15</v>
      </c>
      <c r="S75" s="157"/>
    </row>
    <row r="76" spans="2:19" ht="43.5" x14ac:dyDescent="0.35">
      <c r="B76" s="158"/>
      <c r="C76" s="372" t="s">
        <v>719</v>
      </c>
      <c r="D76" s="163" t="s">
        <v>722</v>
      </c>
      <c r="E76" s="163" t="s">
        <v>717</v>
      </c>
      <c r="F76" s="571">
        <v>30</v>
      </c>
      <c r="G76" s="564">
        <v>30</v>
      </c>
      <c r="H76" s="562"/>
      <c r="I76" t="s">
        <v>998</v>
      </c>
      <c r="J76" s="574" t="s">
        <v>721</v>
      </c>
      <c r="K76" s="575">
        <f>VLOOKUP(J76,payscales!B:K,10,0)</f>
        <v>42.15</v>
      </c>
      <c r="S76" s="157"/>
    </row>
    <row r="77" spans="2:19" ht="29" x14ac:dyDescent="0.35">
      <c r="B77" s="158"/>
      <c r="C77" s="372" t="s">
        <v>719</v>
      </c>
      <c r="D77" s="163" t="s">
        <v>723</v>
      </c>
      <c r="E77" s="163" t="s">
        <v>717</v>
      </c>
      <c r="F77" s="571">
        <v>30</v>
      </c>
      <c r="G77" s="564">
        <v>30</v>
      </c>
      <c r="H77" s="562"/>
      <c r="I77" t="s">
        <v>998</v>
      </c>
      <c r="J77" s="574" t="s">
        <v>721</v>
      </c>
      <c r="K77" s="575">
        <f>VLOOKUP(J77,payscales!B:K,10,0)</f>
        <v>42.15</v>
      </c>
      <c r="S77" s="157"/>
    </row>
    <row r="78" spans="2:19" ht="29" x14ac:dyDescent="0.35">
      <c r="B78" s="158"/>
      <c r="C78" s="373" t="s">
        <v>724</v>
      </c>
      <c r="D78" s="163" t="s">
        <v>725</v>
      </c>
      <c r="E78" s="163" t="s">
        <v>717</v>
      </c>
      <c r="F78" s="572">
        <v>15</v>
      </c>
      <c r="G78" s="573">
        <v>15</v>
      </c>
      <c r="H78" s="562"/>
      <c r="I78" t="s">
        <v>998</v>
      </c>
      <c r="J78" s="574" t="s">
        <v>726</v>
      </c>
      <c r="K78" s="575">
        <f>VLOOKUP(J78,payscales!B:K,10,0)</f>
        <v>46.77</v>
      </c>
      <c r="S78" s="157"/>
    </row>
    <row r="79" spans="2:19" x14ac:dyDescent="0.35">
      <c r="B79" s="158"/>
      <c r="C79" s="328"/>
      <c r="D79" s="211"/>
      <c r="E79" s="211"/>
      <c r="F79" s="211"/>
      <c r="S79" s="157"/>
    </row>
    <row r="80" spans="2:19" x14ac:dyDescent="0.35">
      <c r="B80" s="158"/>
      <c r="C80" s="195" t="s">
        <v>729</v>
      </c>
      <c r="D80" s="150"/>
      <c r="S80" s="157"/>
    </row>
    <row r="81" spans="2:19" x14ac:dyDescent="0.35">
      <c r="B81" s="158"/>
      <c r="C81" t="s">
        <v>1028</v>
      </c>
      <c r="D81" s="150"/>
      <c r="S81" s="157"/>
    </row>
    <row r="82" spans="2:19" x14ac:dyDescent="0.35">
      <c r="B82" s="158"/>
      <c r="C82" s="329" t="s">
        <v>996</v>
      </c>
      <c r="D82" s="150"/>
      <c r="S82" s="157"/>
    </row>
    <row r="83" spans="2:19" x14ac:dyDescent="0.35">
      <c r="B83" s="158"/>
      <c r="C83" t="s">
        <v>1032</v>
      </c>
      <c r="D83" s="150"/>
      <c r="S83" s="157"/>
    </row>
    <row r="84" spans="2:19" x14ac:dyDescent="0.35">
      <c r="B84" s="158"/>
      <c r="C84" s="808" t="s">
        <v>1036</v>
      </c>
      <c r="D84" s="150"/>
      <c r="S84" s="157"/>
    </row>
    <row r="85" spans="2:19" x14ac:dyDescent="0.35">
      <c r="B85" s="158"/>
      <c r="C85" s="329" t="s">
        <v>997</v>
      </c>
      <c r="D85" s="150"/>
      <c r="S85" s="157"/>
    </row>
    <row r="86" spans="2:19" x14ac:dyDescent="0.35">
      <c r="B86" s="158"/>
      <c r="C86" s="188" t="s">
        <v>730</v>
      </c>
      <c r="D86" s="150"/>
      <c r="S86" s="157"/>
    </row>
    <row r="87" spans="2:19" x14ac:dyDescent="0.35">
      <c r="B87" s="158"/>
      <c r="C87" t="s">
        <v>731</v>
      </c>
      <c r="D87" s="150"/>
      <c r="H87" s="330"/>
      <c r="S87" s="157"/>
    </row>
    <row r="88" spans="2:19" x14ac:dyDescent="0.35">
      <c r="B88" s="158"/>
      <c r="C88" s="211" t="s">
        <v>732</v>
      </c>
      <c r="D88" s="150"/>
      <c r="S88" s="157"/>
    </row>
    <row r="89" spans="2:19" x14ac:dyDescent="0.35">
      <c r="B89" s="158"/>
      <c r="C89" s="211" t="s">
        <v>1020</v>
      </c>
      <c r="D89" s="150"/>
      <c r="S89" s="157"/>
    </row>
    <row r="90" spans="2:19" x14ac:dyDescent="0.35">
      <c r="B90" s="159"/>
      <c r="C90" s="160"/>
      <c r="D90" s="162"/>
      <c r="E90" s="162"/>
      <c r="F90" s="162"/>
      <c r="G90" s="162"/>
      <c r="H90" s="160"/>
      <c r="I90" s="160"/>
      <c r="J90" s="160"/>
      <c r="K90" s="160"/>
      <c r="L90" s="160"/>
      <c r="M90" s="160"/>
      <c r="N90" s="160"/>
      <c r="O90" s="160"/>
      <c r="P90" s="160"/>
      <c r="Q90" s="160"/>
      <c r="R90" s="160"/>
      <c r="S90" s="161"/>
    </row>
    <row r="91" spans="2:19" x14ac:dyDescent="0.35">
      <c r="D91" s="150"/>
      <c r="E91" s="150"/>
      <c r="F91" s="150"/>
      <c r="G91" s="150"/>
    </row>
    <row r="92" spans="2:19" x14ac:dyDescent="0.35">
      <c r="B92" s="369" t="s">
        <v>733</v>
      </c>
      <c r="C92" s="368"/>
      <c r="D92" s="368"/>
      <c r="E92" s="368"/>
      <c r="F92" s="368"/>
      <c r="G92" s="368"/>
      <c r="H92" s="368"/>
      <c r="I92" s="368"/>
      <c r="J92" s="368"/>
      <c r="K92" s="368"/>
      <c r="L92" s="368"/>
      <c r="M92" s="368"/>
      <c r="N92" s="368"/>
      <c r="O92" s="368"/>
      <c r="P92" s="368"/>
      <c r="Q92" s="368"/>
      <c r="R92" s="368"/>
      <c r="S92" s="221"/>
    </row>
    <row r="93" spans="2:19" x14ac:dyDescent="0.35">
      <c r="B93" s="225"/>
      <c r="C93" s="218"/>
      <c r="D93" s="218"/>
      <c r="E93" s="218"/>
      <c r="F93" s="218"/>
      <c r="G93" s="218"/>
      <c r="H93" s="218"/>
      <c r="I93" s="218"/>
      <c r="J93" s="218"/>
      <c r="K93" s="218"/>
      <c r="L93" s="218"/>
      <c r="M93" s="218"/>
      <c r="N93" s="218"/>
      <c r="O93" s="218"/>
      <c r="P93" s="218"/>
      <c r="Q93" s="218"/>
      <c r="R93" s="218"/>
      <c r="S93" s="226"/>
    </row>
    <row r="94" spans="2:19" x14ac:dyDescent="0.35">
      <c r="B94" s="225"/>
      <c r="C94" s="629" t="s">
        <v>734</v>
      </c>
      <c r="D94" s="218"/>
      <c r="E94" s="218"/>
      <c r="F94" s="218"/>
      <c r="G94" s="218"/>
      <c r="H94" s="218"/>
      <c r="I94" s="218"/>
      <c r="J94" s="218"/>
      <c r="K94" s="218"/>
      <c r="L94" s="218"/>
      <c r="M94" s="218"/>
      <c r="N94" s="218"/>
      <c r="O94" s="218"/>
      <c r="P94" s="218"/>
      <c r="Q94" s="218"/>
      <c r="R94" s="218"/>
      <c r="S94" s="226"/>
    </row>
    <row r="95" spans="2:19" x14ac:dyDescent="0.35">
      <c r="B95" s="225"/>
      <c r="C95" s="625" t="s">
        <v>735</v>
      </c>
      <c r="D95" s="218"/>
      <c r="E95" s="218"/>
      <c r="F95" s="218"/>
      <c r="G95" s="218"/>
      <c r="H95" s="218"/>
      <c r="I95" s="218"/>
      <c r="J95" s="218"/>
      <c r="K95" s="218"/>
      <c r="L95" s="218"/>
      <c r="M95" s="218"/>
      <c r="N95" s="218"/>
      <c r="O95" s="218"/>
      <c r="P95" s="218"/>
      <c r="Q95" s="218"/>
      <c r="R95" s="218"/>
      <c r="S95" s="226"/>
    </row>
    <row r="96" spans="2:19" x14ac:dyDescent="0.35">
      <c r="B96" s="225"/>
      <c r="C96" s="625" t="s">
        <v>736</v>
      </c>
      <c r="D96" s="218"/>
      <c r="E96" s="218"/>
      <c r="F96" s="218"/>
      <c r="G96" s="218"/>
      <c r="H96" s="218"/>
      <c r="I96" s="218"/>
      <c r="J96" s="218"/>
      <c r="K96" s="218"/>
      <c r="L96" s="218"/>
      <c r="M96" s="218"/>
      <c r="N96" s="218"/>
      <c r="O96" s="218"/>
      <c r="P96" s="218"/>
      <c r="Q96" s="218"/>
      <c r="R96" s="218"/>
      <c r="S96" s="226"/>
    </row>
    <row r="97" spans="2:19" x14ac:dyDescent="0.35">
      <c r="B97" s="225"/>
      <c r="C97" s="410" t="s">
        <v>737</v>
      </c>
      <c r="D97" s="218"/>
      <c r="E97" s="218"/>
      <c r="F97" s="218"/>
      <c r="G97" s="218"/>
      <c r="H97" s="218"/>
      <c r="I97" s="218"/>
      <c r="J97" s="218"/>
      <c r="K97" s="218"/>
      <c r="L97" s="218"/>
      <c r="M97" s="218"/>
      <c r="N97" s="218"/>
      <c r="O97" s="218"/>
      <c r="P97" s="218"/>
      <c r="Q97" s="218"/>
      <c r="R97" s="218"/>
      <c r="S97" s="226"/>
    </row>
    <row r="98" spans="2:19" x14ac:dyDescent="0.35">
      <c r="B98" s="225"/>
      <c r="C98" s="410" t="s">
        <v>738</v>
      </c>
      <c r="D98" s="218"/>
      <c r="E98" s="218"/>
      <c r="F98" s="218"/>
      <c r="G98" s="218"/>
      <c r="H98" s="218"/>
      <c r="I98" s="218"/>
      <c r="J98" s="218"/>
      <c r="K98" s="218"/>
      <c r="L98" s="218"/>
      <c r="M98" s="218"/>
      <c r="N98" s="218"/>
      <c r="O98" s="218"/>
      <c r="P98" s="218"/>
      <c r="Q98" s="218"/>
      <c r="R98" s="218"/>
      <c r="S98" s="226"/>
    </row>
    <row r="99" spans="2:19" x14ac:dyDescent="0.35">
      <c r="B99" s="225"/>
      <c r="C99" s="410"/>
      <c r="D99" s="218"/>
      <c r="E99" s="218"/>
      <c r="F99" s="218"/>
      <c r="G99" s="218"/>
      <c r="H99" s="218"/>
      <c r="I99" s="218"/>
      <c r="J99" s="218"/>
      <c r="K99" s="218"/>
      <c r="L99" s="218"/>
      <c r="M99" s="218"/>
      <c r="N99" s="218"/>
      <c r="O99" s="218"/>
      <c r="P99" s="218"/>
      <c r="Q99" s="218"/>
      <c r="R99" s="218"/>
      <c r="S99" s="226"/>
    </row>
    <row r="100" spans="2:19" x14ac:dyDescent="0.35">
      <c r="B100" s="225"/>
      <c r="C100" s="628" t="s">
        <v>739</v>
      </c>
      <c r="D100" s="218"/>
      <c r="E100" s="218"/>
      <c r="F100" s="218"/>
      <c r="G100" s="218"/>
      <c r="H100" s="218"/>
      <c r="I100" s="218"/>
      <c r="J100" s="218"/>
      <c r="K100" s="218"/>
      <c r="L100" s="218"/>
      <c r="M100" s="218"/>
      <c r="N100" s="218"/>
      <c r="O100" s="218"/>
      <c r="P100" s="218"/>
      <c r="Q100" s="218"/>
      <c r="R100" s="218"/>
      <c r="S100" s="226"/>
    </row>
    <row r="101" spans="2:19" x14ac:dyDescent="0.35">
      <c r="B101" s="225"/>
      <c r="C101" s="625" t="s">
        <v>740</v>
      </c>
      <c r="D101" s="218"/>
      <c r="E101" s="218"/>
      <c r="F101" s="218"/>
      <c r="G101" s="218"/>
      <c r="H101" s="218"/>
      <c r="I101" s="218"/>
      <c r="J101" s="218"/>
      <c r="K101" s="218"/>
      <c r="L101" s="218"/>
      <c r="M101" s="218"/>
      <c r="N101" s="218"/>
      <c r="O101" s="218"/>
      <c r="P101" s="218"/>
      <c r="Q101" s="218"/>
      <c r="R101" s="218"/>
      <c r="S101" s="226"/>
    </row>
    <row r="102" spans="2:19" x14ac:dyDescent="0.35">
      <c r="B102" s="225"/>
      <c r="C102" s="410" t="s">
        <v>741</v>
      </c>
      <c r="D102" s="218"/>
      <c r="E102" s="218"/>
      <c r="F102" s="218"/>
      <c r="G102" s="218"/>
      <c r="H102" s="218"/>
      <c r="I102" s="218"/>
      <c r="J102" s="218"/>
      <c r="K102" s="218"/>
      <c r="L102" s="218"/>
      <c r="M102" s="218"/>
      <c r="N102" s="218"/>
      <c r="O102" s="218"/>
      <c r="P102" s="218"/>
      <c r="Q102" s="218"/>
      <c r="R102" s="218"/>
      <c r="S102" s="226"/>
    </row>
    <row r="103" spans="2:19" x14ac:dyDescent="0.35">
      <c r="B103" s="225"/>
      <c r="C103" s="410" t="s">
        <v>742</v>
      </c>
      <c r="D103" s="218"/>
      <c r="E103" s="218"/>
      <c r="F103" s="218"/>
      <c r="G103" s="218"/>
      <c r="H103" s="218"/>
      <c r="I103" s="218"/>
      <c r="J103" s="218"/>
      <c r="K103" s="218"/>
      <c r="L103" s="218"/>
      <c r="M103" s="218"/>
      <c r="N103" s="218"/>
      <c r="O103" s="218"/>
      <c r="P103" s="218"/>
      <c r="Q103" s="218"/>
      <c r="R103" s="218"/>
      <c r="S103" s="226"/>
    </row>
    <row r="104" spans="2:19" x14ac:dyDescent="0.35">
      <c r="B104" s="225"/>
      <c r="C104" s="410" t="s">
        <v>743</v>
      </c>
      <c r="D104" s="218"/>
      <c r="E104" s="218"/>
      <c r="F104" s="218"/>
      <c r="G104" s="218"/>
      <c r="H104" s="218"/>
      <c r="I104" s="218"/>
      <c r="J104" s="218"/>
      <c r="K104" s="218"/>
      <c r="L104" s="218"/>
      <c r="M104" s="218"/>
      <c r="N104" s="218"/>
      <c r="O104" s="218"/>
      <c r="P104" s="218"/>
      <c r="Q104" s="218"/>
      <c r="R104" s="218"/>
      <c r="S104" s="226"/>
    </row>
    <row r="105" spans="2:19" x14ac:dyDescent="0.35">
      <c r="B105" s="223"/>
      <c r="C105" s="227"/>
      <c r="D105" s="222"/>
      <c r="E105" s="222"/>
      <c r="F105" s="222"/>
      <c r="G105" s="222"/>
      <c r="H105" s="222"/>
      <c r="I105" s="222"/>
      <c r="J105" s="222"/>
      <c r="K105" s="222"/>
      <c r="L105" s="222"/>
      <c r="M105" s="222"/>
      <c r="N105" s="222"/>
      <c r="O105" s="222"/>
      <c r="P105" s="222"/>
      <c r="Q105" s="222"/>
      <c r="R105" s="222"/>
      <c r="S105" s="224"/>
    </row>
  </sheetData>
  <sheetProtection algorithmName="SHA-512" hashValue="gDKfDc/9sa5c5REOw7vQLcQNbwycSlAo6PLmF0gewpKmKL/Bqh3HGDdR69oKcN3I6CI677asu/sTZxM9/lq+Gw==" saltValue="X2JDTj9d3m0ymGDqeHSOOQ==" spinCount="100000" sheet="1" objects="1" scenarios="1"/>
  <protectedRanges>
    <protectedRange sqref="J75:K78" name="Range15"/>
    <protectedRange sqref="F75:H78" name="Range14"/>
    <protectedRange sqref="L63:Q64" name="Range13"/>
    <protectedRange sqref="E63:J64" name="Range12"/>
    <protectedRange sqref="D58:D59" name="Range11"/>
    <protectedRange sqref="E11:E13 E15 E17 E19:E20 E28:G30 F31:G31 D58:D59 F27:G27 F34 G32:G35 E32:F33 E35:F35 G37 L63:Q64 G73:H73 F36 I54:J55 D48:J51 H79 F75:H78 E63:J64" name="Range1"/>
    <protectedRange sqref="E27" name="Range1_2"/>
    <protectedRange sqref="E27" name="Range12_1"/>
    <protectedRange sqref="E11:E20" name="Range4"/>
    <protectedRange sqref="G13" name="Range5"/>
    <protectedRange sqref="E27:G30" name="Range6"/>
    <protectedRange sqref="E32" name="Range7"/>
    <protectedRange sqref="F34:F36" name="Range8"/>
    <protectedRange sqref="D48:F51" name="Range9"/>
    <protectedRange sqref="I54:J55" name="Range10"/>
  </protectedRanges>
  <mergeCells count="4">
    <mergeCell ref="H30:K30"/>
    <mergeCell ref="L30:P30"/>
    <mergeCell ref="Q30:X30"/>
    <mergeCell ref="H29:N29"/>
  </mergeCells>
  <phoneticPr fontId="43" type="noConversion"/>
  <conditionalFormatting sqref="G12:G14">
    <cfRule type="cellIs" dxfId="0" priority="1" operator="equal">
      <formula>0</formula>
    </cfRule>
  </conditionalFormatting>
  <dataValidations disablePrompts="1" count="1">
    <dataValidation type="list" allowBlank="1" showInputMessage="1" showErrorMessage="1" sqref="E11" xr:uid="{A1309421-97D1-407A-BD55-015169719BCD}">
      <formula1>ORGTYPE</formula1>
    </dataValidation>
  </dataValidations>
  <hyperlinks>
    <hyperlink ref="C95" r:id="rId1" display="Office for National Statistics Population Estimates, England and Wales: mid-2022" xr:uid="{E5307553-7A6C-4E4A-A884-E27CF8AE4772}"/>
    <hyperlink ref="C96" r:id="rId2" xr:uid="{7973B0A5-0DDC-4D6E-A615-7910C6E2CF4A}"/>
    <hyperlink ref="C101" r:id="rId3" xr:uid="{EDC70E40-643A-4353-80EE-8CAA529E12F0}"/>
    <hyperlink ref="E58" r:id="rId4" xr:uid="{0E08A779-33C3-4F7D-BF78-6B0A0AFD427A}"/>
    <hyperlink ref="E59" r:id="rId5" xr:uid="{88E04311-B8B3-498E-97F1-580B0F7B7CAC}"/>
    <hyperlink ref="H27" r:id="rId6" display="https://digital.nhs.uk/data-and-information/publications/statistical/cancer-registration-statistics/england-2022" xr:uid="{5B845C14-61C3-4B04-9F2A-BA336713DA28}"/>
    <hyperlink ref="C82" r:id="rId7" display="https://www.ema.europa.eu/en/documents/product-information/imfinzi-epar-product-information_en.pdf" xr:uid="{F6AE0F5F-E286-4796-AA19-043187EBBDA4}"/>
    <hyperlink ref="C85" r:id="rId8" location="gref" display="https://www.medicines.org.uk/emc/product/8442/smpc - gref" xr:uid="{8FF20E08-530D-46C5-95C2-FCFD7F5FE2C1}"/>
    <hyperlink ref="L30" r:id="rId9" location=":~:text=By%20nature%2C%20and%20by%20predisposition%2C%20this%20highly%20aggressive,do%20not%20fit%20in%20a%20single%20radiation%20field." display="https://www.ncbi.nlm.nih.gov/pmc/articles/PMC9330463/ - :~:text=By%20nature%2C%20and%20by%20predisposition%2C%20this%20highly%20aggressive,do%20not%20fit%20in%20a%20single%20radiation%20field." xr:uid="{AA4D2E69-3C50-41F8-8E13-5AAF09D71297}"/>
    <hyperlink ref="Q30" r:id="rId10" display="https://www.sciencedirect.com/science/article/abs/pii/S0304383522002038" xr:uid="{0B92A42A-BE99-43E5-AEAC-FBFEAE9F3E48}"/>
    <hyperlink ref="H28" r:id="rId11" display="https://digital.nhs.uk/data-and-information/publications/statistical/cancer-registration-statistics/england-2022" xr:uid="{ED141A83-5033-431A-ACB2-16422CCFB9BB}"/>
  </hyperlinks>
  <pageMargins left="0.7" right="0.7" top="0.75" bottom="0.75" header="0.3" footer="0.3"/>
  <pageSetup paperSize="9" scale="49" orientation="portrait" verticalDpi="0" r:id="rId12"/>
  <rowBreaks count="1" manualBreakCount="1">
    <brk id="60" max="12" man="1"/>
  </rowBreaks>
  <legacyDrawing r:id="rId13"/>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J75:J78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72"/>
  <sheetViews>
    <sheetView showGridLines="0" zoomScale="80" zoomScaleNormal="80" workbookViewId="0">
      <selection activeCell="B19" sqref="B19"/>
    </sheetView>
  </sheetViews>
  <sheetFormatPr defaultColWidth="9.1796875" defaultRowHeight="12.5" x14ac:dyDescent="0.25"/>
  <cols>
    <col min="1" max="1" width="3.54296875" style="3" customWidth="1"/>
    <col min="2" max="2" width="30.1796875" style="3" customWidth="1"/>
    <col min="3" max="3" width="29.81640625" style="3" bestFit="1" customWidth="1"/>
    <col min="4" max="4" width="11.81640625" style="3" customWidth="1"/>
    <col min="5" max="5" width="11.453125" style="3" customWidth="1"/>
    <col min="6" max="6" width="10.81640625" style="3" customWidth="1"/>
    <col min="7" max="7" width="10.453125" style="3" bestFit="1" customWidth="1"/>
    <col min="8" max="8" width="11.1796875" style="3" customWidth="1"/>
    <col min="9" max="9" width="10.81640625" style="3" customWidth="1"/>
    <col min="10" max="10" width="11.453125" style="3" customWidth="1"/>
    <col min="11" max="12" width="10.54296875" style="3" customWidth="1"/>
    <col min="13" max="13" width="12.54296875" style="3" customWidth="1"/>
    <col min="14" max="15" width="12.453125" style="3" customWidth="1"/>
    <col min="16" max="16" width="21.1796875" style="3" customWidth="1"/>
    <col min="17" max="19" width="12.1796875" style="3" customWidth="1"/>
    <col min="20" max="20" width="3.453125" style="3" customWidth="1"/>
    <col min="21" max="21" width="9.453125" style="3" customWidth="1"/>
    <col min="22" max="16384" width="9.1796875" style="3"/>
  </cols>
  <sheetData>
    <row r="1" spans="1:23" ht="30" customHeight="1" x14ac:dyDescent="0.25">
      <c r="A1" s="190"/>
      <c r="B1" s="850" t="str">
        <f>'Inputs and eligible population'!B1</f>
        <v>Durvalumab with etoposide and either carboplatin or cisplatin for untreated extensive-stage small-cell lung cancer</v>
      </c>
      <c r="C1" s="850"/>
      <c r="D1" s="850"/>
      <c r="E1" s="850"/>
      <c r="F1" s="850"/>
      <c r="G1" s="850"/>
      <c r="H1" s="850"/>
      <c r="I1" s="850"/>
      <c r="J1" s="850"/>
      <c r="K1" s="129"/>
      <c r="L1" s="129"/>
      <c r="M1" s="129"/>
      <c r="N1" s="151"/>
      <c r="O1" s="151"/>
      <c r="P1" s="151"/>
      <c r="Q1" s="190"/>
      <c r="R1" s="190"/>
      <c r="S1" s="190"/>
      <c r="T1" s="190"/>
    </row>
    <row r="2" spans="1:23" ht="26.25" customHeight="1" x14ac:dyDescent="0.5">
      <c r="A2" s="190"/>
      <c r="B2" s="143" t="s">
        <v>41</v>
      </c>
      <c r="C2" s="144" t="s">
        <v>744</v>
      </c>
      <c r="D2" s="129" t="s">
        <v>744</v>
      </c>
      <c r="E2" s="129" t="s">
        <v>744</v>
      </c>
      <c r="F2" s="129" t="s">
        <v>744</v>
      </c>
      <c r="G2" s="129" t="s">
        <v>744</v>
      </c>
      <c r="H2" s="129" t="s">
        <v>744</v>
      </c>
      <c r="I2" s="129" t="s">
        <v>744</v>
      </c>
      <c r="J2" s="129" t="s">
        <v>744</v>
      </c>
      <c r="K2" s="130" t="s">
        <v>744</v>
      </c>
      <c r="L2" s="130"/>
      <c r="M2" s="130"/>
      <c r="N2" s="130"/>
      <c r="O2" s="130"/>
      <c r="P2" s="130"/>
      <c r="Q2" s="190"/>
      <c r="R2" s="190"/>
      <c r="S2" s="190"/>
      <c r="T2" s="190"/>
    </row>
    <row r="3" spans="1:23" ht="14.5" customHeight="1" x14ac:dyDescent="0.5">
      <c r="A3" s="190"/>
      <c r="B3" s="127"/>
      <c r="C3" s="145"/>
      <c r="D3" s="129"/>
      <c r="E3" s="129"/>
      <c r="F3" s="129"/>
      <c r="G3" s="129" t="s">
        <v>744</v>
      </c>
      <c r="H3" s="129" t="s">
        <v>744</v>
      </c>
      <c r="I3" s="129" t="s">
        <v>744</v>
      </c>
      <c r="J3" s="129" t="s">
        <v>744</v>
      </c>
      <c r="K3" s="130" t="s">
        <v>744</v>
      </c>
      <c r="L3" s="130"/>
      <c r="M3" s="130"/>
      <c r="N3" s="130"/>
      <c r="O3" s="130"/>
      <c r="P3" s="130"/>
      <c r="Q3" s="190"/>
      <c r="R3" s="190"/>
      <c r="S3" s="190"/>
      <c r="T3" s="190"/>
    </row>
    <row r="4" spans="1:23" ht="14.5" customHeight="1" x14ac:dyDescent="0.5">
      <c r="A4" s="190"/>
      <c r="B4" t="s">
        <v>745</v>
      </c>
      <c r="C4" s="145"/>
      <c r="D4" s="129"/>
      <c r="E4" s="129"/>
      <c r="F4" s="129"/>
      <c r="G4" s="129" t="s">
        <v>744</v>
      </c>
      <c r="H4" s="129" t="s">
        <v>744</v>
      </c>
      <c r="I4" s="129" t="s">
        <v>744</v>
      </c>
      <c r="J4" s="129" t="s">
        <v>744</v>
      </c>
      <c r="K4" s="130" t="s">
        <v>744</v>
      </c>
      <c r="L4" s="129"/>
      <c r="M4" s="130"/>
      <c r="N4" s="130"/>
      <c r="O4" s="130"/>
      <c r="P4" s="130"/>
      <c r="Q4" s="130"/>
      <c r="R4" s="130"/>
      <c r="S4" s="130"/>
      <c r="T4" s="130"/>
    </row>
    <row r="5" spans="1:23" ht="29.5" customHeight="1" x14ac:dyDescent="0.5">
      <c r="A5" s="190"/>
      <c r="B5" t="s">
        <v>658</v>
      </c>
      <c r="C5" s="145"/>
      <c r="D5" s="129"/>
      <c r="E5" s="129"/>
      <c r="F5" s="129"/>
      <c r="G5" s="129"/>
      <c r="H5" s="129" t="s">
        <v>744</v>
      </c>
      <c r="I5" s="851"/>
      <c r="J5" s="851"/>
      <c r="K5" s="851"/>
      <c r="L5" s="851"/>
      <c r="M5" s="851"/>
      <c r="N5" s="851"/>
      <c r="O5" s="851"/>
      <c r="P5" s="851"/>
      <c r="Q5" s="851"/>
      <c r="R5" s="851"/>
      <c r="S5" s="130"/>
      <c r="T5" s="130"/>
    </row>
    <row r="6" spans="1:23" ht="14.5" customHeight="1" thickBot="1" x14ac:dyDescent="0.55000000000000004">
      <c r="A6" s="190"/>
      <c r="B6"/>
      <c r="C6" s="145"/>
      <c r="D6" s="129"/>
      <c r="E6" s="129"/>
      <c r="F6" s="129"/>
      <c r="G6" s="129"/>
      <c r="H6" s="129"/>
      <c r="I6" s="129"/>
      <c r="J6" s="129"/>
      <c r="K6" s="130"/>
      <c r="L6" s="129"/>
      <c r="M6" s="130"/>
      <c r="N6" s="130"/>
      <c r="O6" s="130"/>
      <c r="P6" s="130"/>
      <c r="Q6" s="130"/>
      <c r="R6" s="130"/>
      <c r="S6" s="130"/>
      <c r="T6" s="130"/>
    </row>
    <row r="7" spans="1:23" s="239" customFormat="1" ht="14.5" x14ac:dyDescent="0.35">
      <c r="A7" s="241"/>
      <c r="B7" s="237" t="s">
        <v>746</v>
      </c>
      <c r="C7" s="241"/>
      <c r="D7" s="594" t="s">
        <v>747</v>
      </c>
      <c r="E7" s="595"/>
      <c r="F7" s="595"/>
      <c r="G7" s="595"/>
      <c r="H7" s="596"/>
      <c r="I7" s="594" t="s">
        <v>748</v>
      </c>
      <c r="J7" s="595"/>
      <c r="K7" s="595"/>
      <c r="L7" s="595"/>
      <c r="M7" s="595"/>
      <c r="N7" s="595"/>
      <c r="O7" s="595"/>
      <c r="P7" s="595"/>
      <c r="Q7" s="595"/>
      <c r="R7" s="595"/>
      <c r="S7" s="596"/>
      <c r="T7" s="241"/>
      <c r="W7" s="3"/>
    </row>
    <row r="8" spans="1:23" s="239" customFormat="1" ht="49" customHeight="1" x14ac:dyDescent="0.35">
      <c r="A8" s="241"/>
      <c r="B8" s="240" t="s">
        <v>749</v>
      </c>
      <c r="C8" s="242" t="s">
        <v>750</v>
      </c>
      <c r="D8" s="597" t="s">
        <v>751</v>
      </c>
      <c r="E8" s="243" t="s">
        <v>752</v>
      </c>
      <c r="F8" s="243" t="s">
        <v>980</v>
      </c>
      <c r="G8" s="243" t="s">
        <v>753</v>
      </c>
      <c r="H8" s="598" t="s">
        <v>754</v>
      </c>
      <c r="I8" s="608" t="s">
        <v>755</v>
      </c>
      <c r="J8" s="240" t="s">
        <v>756</v>
      </c>
      <c r="K8" s="243" t="s">
        <v>757</v>
      </c>
      <c r="L8" s="243" t="s">
        <v>758</v>
      </c>
      <c r="M8" s="243" t="s">
        <v>759</v>
      </c>
      <c r="N8" s="243" t="s">
        <v>760</v>
      </c>
      <c r="O8" s="605" t="s">
        <v>761</v>
      </c>
      <c r="P8" s="605" t="s">
        <v>762</v>
      </c>
      <c r="Q8" s="242" t="s">
        <v>763</v>
      </c>
      <c r="R8" s="240" t="s">
        <v>764</v>
      </c>
      <c r="S8" s="598" t="s">
        <v>765</v>
      </c>
      <c r="T8" s="241"/>
      <c r="W8" s="3"/>
    </row>
    <row r="9" spans="1:23" s="239" customFormat="1" ht="29" x14ac:dyDescent="0.35">
      <c r="A9" s="241"/>
      <c r="B9" s="770" t="s">
        <v>1034</v>
      </c>
      <c r="C9" s="592" t="s">
        <v>975</v>
      </c>
      <c r="D9" s="599" t="s">
        <v>766</v>
      </c>
      <c r="E9" s="577" t="s">
        <v>767</v>
      </c>
      <c r="F9" s="578">
        <v>500</v>
      </c>
      <c r="G9" s="578">
        <v>1</v>
      </c>
      <c r="H9" s="600">
        <f>G9*F9</f>
        <v>500</v>
      </c>
      <c r="I9" s="609">
        <v>1500</v>
      </c>
      <c r="J9" s="579" t="s">
        <v>768</v>
      </c>
      <c r="K9" s="579" t="s">
        <v>768</v>
      </c>
      <c r="L9" s="578">
        <f>I9</f>
        <v>1500</v>
      </c>
      <c r="M9" s="576">
        <v>1</v>
      </c>
      <c r="N9" s="582">
        <f>'Inputs and eligible population'!K48</f>
        <v>4</v>
      </c>
      <c r="O9" s="834">
        <f>N9*M9*L9</f>
        <v>6000</v>
      </c>
      <c r="P9" s="576">
        <f>O9/H9</f>
        <v>12</v>
      </c>
      <c r="Q9" s="580">
        <f>'Inputs and eligible population'!I54</f>
        <v>0</v>
      </c>
      <c r="R9" s="581">
        <f>'Inputs and eligible population'!J54</f>
        <v>0.2</v>
      </c>
      <c r="S9" s="610">
        <f>P9*Q9*(100%+R9)</f>
        <v>0</v>
      </c>
      <c r="T9" s="241"/>
      <c r="W9" s="3"/>
    </row>
    <row r="10" spans="1:23" s="239" customFormat="1" ht="29" x14ac:dyDescent="0.35">
      <c r="A10" s="241"/>
      <c r="B10" s="770" t="s">
        <v>978</v>
      </c>
      <c r="C10" s="592" t="s">
        <v>975</v>
      </c>
      <c r="D10" s="599" t="s">
        <v>766</v>
      </c>
      <c r="E10" s="577" t="s">
        <v>767</v>
      </c>
      <c r="F10" s="578">
        <v>500</v>
      </c>
      <c r="G10" s="578">
        <v>1</v>
      </c>
      <c r="H10" s="600">
        <f>G10*F10</f>
        <v>500</v>
      </c>
      <c r="I10" s="609">
        <v>1500</v>
      </c>
      <c r="J10" s="579" t="s">
        <v>768</v>
      </c>
      <c r="K10" s="579" t="s">
        <v>768</v>
      </c>
      <c r="L10" s="578">
        <f>I10</f>
        <v>1500</v>
      </c>
      <c r="M10" s="576">
        <v>1</v>
      </c>
      <c r="N10" s="582">
        <f>'Inputs and eligible population'!K49</f>
        <v>3</v>
      </c>
      <c r="O10" s="834">
        <f>N10*M10*L10</f>
        <v>4500</v>
      </c>
      <c r="P10" s="576">
        <f>O10/H10</f>
        <v>9</v>
      </c>
      <c r="Q10" s="580">
        <f>'Inputs and eligible population'!I54</f>
        <v>0</v>
      </c>
      <c r="R10" s="581">
        <f>'Inputs and eligible population'!J55</f>
        <v>0.2</v>
      </c>
      <c r="S10" s="610">
        <f>P10*Q10*(100%+R10)</f>
        <v>0</v>
      </c>
      <c r="T10" s="241"/>
      <c r="W10" s="3"/>
    </row>
    <row r="11" spans="1:23" s="239" customFormat="1" ht="15" thickBot="1" x14ac:dyDescent="0.4">
      <c r="A11" s="241"/>
      <c r="B11" s="576"/>
      <c r="C11" s="592" t="s">
        <v>769</v>
      </c>
      <c r="D11" s="601"/>
      <c r="E11" s="602"/>
      <c r="F11" s="603"/>
      <c r="G11" s="603"/>
      <c r="H11" s="604"/>
      <c r="I11" s="611"/>
      <c r="J11" s="612"/>
      <c r="K11" s="612"/>
      <c r="L11" s="603"/>
      <c r="M11" s="613"/>
      <c r="N11" s="614"/>
      <c r="O11" s="623"/>
      <c r="P11" s="615"/>
      <c r="Q11" s="616"/>
      <c r="R11" s="617"/>
      <c r="S11" s="618"/>
      <c r="T11" s="241"/>
      <c r="W11" s="3"/>
    </row>
    <row r="12" spans="1:23" s="239" customFormat="1" ht="14.5" x14ac:dyDescent="0.35">
      <c r="A12" s="241"/>
      <c r="B12" s="589"/>
      <c r="C12" s="244" t="s">
        <v>770</v>
      </c>
      <c r="D12" s="593"/>
      <c r="E12" s="593"/>
      <c r="F12" s="593"/>
      <c r="G12" s="593"/>
      <c r="H12" s="593"/>
      <c r="I12" s="593"/>
      <c r="J12" s="593"/>
      <c r="K12" s="593"/>
      <c r="L12" s="593"/>
      <c r="M12" s="593"/>
      <c r="N12" s="831"/>
      <c r="O12" s="619"/>
      <c r="P12" s="593"/>
      <c r="Q12" s="593"/>
      <c r="R12" s="606"/>
      <c r="S12" s="607">
        <f>SUM(S9:S11)</f>
        <v>0</v>
      </c>
      <c r="T12" s="241"/>
      <c r="W12" s="3"/>
    </row>
    <row r="13" spans="1:23" s="239" customFormat="1" ht="15" thickBot="1" x14ac:dyDescent="0.4">
      <c r="A13" s="241"/>
      <c r="B13" s="237"/>
      <c r="C13" s="241"/>
      <c r="D13" s="241"/>
      <c r="E13" s="241"/>
      <c r="F13" s="241"/>
      <c r="G13" s="241"/>
      <c r="H13" s="241"/>
      <c r="I13" s="241"/>
      <c r="J13" s="241"/>
      <c r="K13" s="241"/>
      <c r="L13" s="241"/>
      <c r="M13" s="241"/>
      <c r="N13" s="832"/>
      <c r="O13" s="554"/>
      <c r="P13" s="241"/>
      <c r="Q13" s="241"/>
      <c r="R13" s="241"/>
      <c r="S13" s="587"/>
      <c r="T13" s="241"/>
      <c r="W13" s="3"/>
    </row>
    <row r="14" spans="1:23" s="239" customFormat="1" ht="14.5" x14ac:dyDescent="0.35">
      <c r="A14" s="241"/>
      <c r="B14" s="237"/>
      <c r="C14" s="241"/>
      <c r="D14" s="594" t="s">
        <v>747</v>
      </c>
      <c r="E14" s="595"/>
      <c r="F14" s="595"/>
      <c r="G14" s="595"/>
      <c r="H14" s="596"/>
      <c r="I14" s="594" t="s">
        <v>748</v>
      </c>
      <c r="J14" s="620"/>
      <c r="K14" s="620"/>
      <c r="L14" s="620"/>
      <c r="M14" s="620"/>
      <c r="N14" s="833"/>
      <c r="O14" s="835"/>
      <c r="P14" s="620"/>
      <c r="Q14" s="620"/>
      <c r="R14" s="620"/>
      <c r="S14" s="621"/>
      <c r="T14" s="241"/>
      <c r="W14" s="3"/>
    </row>
    <row r="15" spans="1:23" s="239" customFormat="1" ht="29" x14ac:dyDescent="0.35">
      <c r="A15" s="241"/>
      <c r="B15" s="771" t="s">
        <v>1035</v>
      </c>
      <c r="C15" s="592" t="s">
        <v>976</v>
      </c>
      <c r="D15" s="599" t="s">
        <v>979</v>
      </c>
      <c r="E15" s="577" t="s">
        <v>767</v>
      </c>
      <c r="F15" s="578">
        <v>1200</v>
      </c>
      <c r="G15" s="578">
        <v>1</v>
      </c>
      <c r="H15" s="600">
        <f>G15*F15</f>
        <v>1200</v>
      </c>
      <c r="I15" s="609">
        <v>1200</v>
      </c>
      <c r="J15" s="579" t="s">
        <v>768</v>
      </c>
      <c r="K15" s="579" t="s">
        <v>768</v>
      </c>
      <c r="L15" s="578">
        <f>I15</f>
        <v>1200</v>
      </c>
      <c r="M15" s="576">
        <f>'Inputs and eligible population'!E50</f>
        <v>1</v>
      </c>
      <c r="N15" s="582">
        <f>'Inputs and eligible population'!F50</f>
        <v>4</v>
      </c>
      <c r="O15" s="834">
        <f>N15*M15*L15</f>
        <v>4800</v>
      </c>
      <c r="P15" s="576">
        <f>O15/H15</f>
        <v>4</v>
      </c>
      <c r="Q15" s="580">
        <f>'Inputs and eligible population'!I55</f>
        <v>0</v>
      </c>
      <c r="R15" s="581">
        <f>'Inputs and eligible population'!J55</f>
        <v>0.2</v>
      </c>
      <c r="S15" s="610">
        <f>P15*Q15*(100%+R15)</f>
        <v>0</v>
      </c>
      <c r="T15" s="241"/>
      <c r="W15" s="3"/>
    </row>
    <row r="16" spans="1:23" s="239" customFormat="1" ht="29" x14ac:dyDescent="0.35">
      <c r="A16" s="241"/>
      <c r="B16" s="770" t="s">
        <v>981</v>
      </c>
      <c r="C16" s="592" t="s">
        <v>976</v>
      </c>
      <c r="D16" s="599" t="s">
        <v>979</v>
      </c>
      <c r="E16" s="577" t="s">
        <v>767</v>
      </c>
      <c r="F16" s="578">
        <v>1200</v>
      </c>
      <c r="G16" s="578">
        <v>1</v>
      </c>
      <c r="H16" s="600">
        <f>G16*F16</f>
        <v>1200</v>
      </c>
      <c r="I16" s="609">
        <v>1200</v>
      </c>
      <c r="J16" s="579" t="s">
        <v>768</v>
      </c>
      <c r="K16" s="579" t="s">
        <v>768</v>
      </c>
      <c r="L16" s="578">
        <f>I16</f>
        <v>1200</v>
      </c>
      <c r="M16" s="576">
        <f>'Inputs and eligible population'!E51</f>
        <v>1</v>
      </c>
      <c r="N16" s="582">
        <f>'Inputs and eligible population'!F51</f>
        <v>3</v>
      </c>
      <c r="O16" s="834">
        <f>N16*M16*L16</f>
        <v>3600</v>
      </c>
      <c r="P16" s="576">
        <f>O16/H16</f>
        <v>3</v>
      </c>
      <c r="Q16" s="580">
        <f>'Inputs and eligible population'!I55</f>
        <v>0</v>
      </c>
      <c r="R16" s="581">
        <f>'Inputs and eligible population'!J55</f>
        <v>0.2</v>
      </c>
      <c r="S16" s="610">
        <f>P16*Q16*(100%+R16)</f>
        <v>0</v>
      </c>
      <c r="T16" s="241"/>
      <c r="W16" s="3"/>
    </row>
    <row r="17" spans="1:23" s="239" customFormat="1" ht="15" thickBot="1" x14ac:dyDescent="0.4">
      <c r="A17" s="241"/>
      <c r="B17" s="576"/>
      <c r="C17" s="592" t="s">
        <v>769</v>
      </c>
      <c r="D17" s="601"/>
      <c r="E17" s="602"/>
      <c r="F17" s="603"/>
      <c r="G17" s="603"/>
      <c r="H17" s="604"/>
      <c r="I17" s="611"/>
      <c r="J17" s="612"/>
      <c r="K17" s="612"/>
      <c r="L17" s="603"/>
      <c r="M17" s="613"/>
      <c r="N17" s="622"/>
      <c r="O17" s="623"/>
      <c r="P17" s="623"/>
      <c r="Q17" s="616"/>
      <c r="R17" s="617"/>
      <c r="S17" s="618"/>
      <c r="T17" s="241"/>
      <c r="W17" s="3"/>
    </row>
    <row r="18" spans="1:23" s="239" customFormat="1" ht="14.5" x14ac:dyDescent="0.35">
      <c r="A18" s="241"/>
      <c r="B18" s="589"/>
      <c r="C18" s="244" t="s">
        <v>770</v>
      </c>
      <c r="D18" s="593"/>
      <c r="E18" s="593"/>
      <c r="F18" s="593"/>
      <c r="G18" s="593"/>
      <c r="H18" s="593"/>
      <c r="I18" s="593"/>
      <c r="J18" s="593"/>
      <c r="K18" s="593"/>
      <c r="L18" s="593"/>
      <c r="M18" s="593"/>
      <c r="N18" s="619"/>
      <c r="O18" s="619"/>
      <c r="P18" s="619"/>
      <c r="Q18" s="593"/>
      <c r="R18" s="606"/>
      <c r="S18" s="607">
        <f>SUM(S15:S17)</f>
        <v>0</v>
      </c>
      <c r="T18" s="241"/>
      <c r="W18" s="3"/>
    </row>
    <row r="19" spans="1:23" s="239" customFormat="1" ht="14.5" x14ac:dyDescent="0.35">
      <c r="A19" s="241"/>
      <c r="B19" s="237"/>
      <c r="C19" s="241"/>
      <c r="D19" s="241"/>
      <c r="E19" s="241"/>
      <c r="F19" s="241"/>
      <c r="G19" s="241"/>
      <c r="H19" s="241"/>
      <c r="I19" s="241"/>
      <c r="J19" s="241"/>
      <c r="K19" s="241"/>
      <c r="L19" s="241"/>
      <c r="M19" s="241"/>
      <c r="N19" s="554"/>
      <c r="O19" s="554"/>
      <c r="P19" s="554"/>
      <c r="Q19" s="241"/>
      <c r="R19" s="241"/>
      <c r="S19" s="587"/>
      <c r="T19" s="241"/>
      <c r="W19" s="3"/>
    </row>
    <row r="20" spans="1:23" s="4" customFormat="1" ht="14.5" x14ac:dyDescent="0.35">
      <c r="A20" s="5"/>
      <c r="B20" s="191" t="s">
        <v>1022</v>
      </c>
      <c r="C20" s="5"/>
      <c r="D20" s="175"/>
      <c r="E20" s="110"/>
      <c r="F20" s="176"/>
      <c r="G20" s="177"/>
      <c r="H20" s="5"/>
      <c r="I20" s="5"/>
      <c r="J20" s="178"/>
      <c r="K20" s="177"/>
      <c r="L20" s="177"/>
      <c r="M20" s="177"/>
      <c r="N20" s="177"/>
      <c r="O20" s="177"/>
      <c r="P20" s="177"/>
      <c r="Q20" s="177"/>
      <c r="R20" s="178"/>
      <c r="S20" s="5"/>
      <c r="T20" s="5"/>
      <c r="W20" s="3"/>
    </row>
    <row r="21" spans="1:23" s="4" customFormat="1" ht="14.5" x14ac:dyDescent="0.35">
      <c r="A21" s="5"/>
      <c r="B21" s="851" t="s">
        <v>977</v>
      </c>
      <c r="C21" s="851"/>
      <c r="D21" s="851"/>
      <c r="E21" s="851"/>
      <c r="F21" s="851"/>
      <c r="G21" s="851"/>
      <c r="H21" s="851"/>
      <c r="I21" s="851"/>
      <c r="J21" s="851"/>
      <c r="K21" s="851"/>
      <c r="L21" s="177"/>
      <c r="M21" s="177"/>
      <c r="N21" s="177"/>
      <c r="O21" s="177"/>
      <c r="P21" s="177"/>
      <c r="Q21" s="177"/>
      <c r="R21" s="178"/>
      <c r="S21" s="5"/>
      <c r="T21" s="5"/>
      <c r="W21" s="3"/>
    </row>
    <row r="22" spans="1:23" s="4" customFormat="1" ht="14.5" x14ac:dyDescent="0.35">
      <c r="A22" s="5"/>
      <c r="B22" s="192" t="s">
        <v>983</v>
      </c>
      <c r="C22" s="5"/>
      <c r="D22" s="175"/>
      <c r="E22" s="110"/>
      <c r="F22" s="176"/>
      <c r="G22" s="177"/>
      <c r="H22" s="5"/>
      <c r="I22" s="5"/>
      <c r="J22" s="178"/>
      <c r="K22" s="177"/>
      <c r="L22" s="177"/>
      <c r="M22" s="177"/>
      <c r="N22" s="177"/>
      <c r="O22" s="177"/>
      <c r="P22" s="177"/>
      <c r="Q22" s="177"/>
      <c r="R22" s="178"/>
      <c r="S22" s="5"/>
      <c r="T22" s="5"/>
      <c r="W22" s="3"/>
    </row>
    <row r="23" spans="1:23" s="4" customFormat="1" ht="14.5" x14ac:dyDescent="0.35">
      <c r="A23" s="5"/>
      <c r="B23" s="401"/>
      <c r="C23" s="5"/>
      <c r="D23" s="175"/>
      <c r="E23" s="110"/>
      <c r="F23" s="176"/>
      <c r="G23" s="177"/>
      <c r="H23" s="5"/>
      <c r="I23" s="5"/>
      <c r="J23" s="178"/>
      <c r="K23" s="177"/>
      <c r="L23" s="177"/>
      <c r="M23" s="177"/>
      <c r="N23" s="177"/>
      <c r="O23" s="177"/>
      <c r="P23" s="177"/>
      <c r="Q23" s="177"/>
      <c r="R23" s="178"/>
      <c r="S23" s="5"/>
      <c r="T23" s="5"/>
      <c r="W23" s="3"/>
    </row>
    <row r="24" spans="1:23" s="4" customFormat="1" ht="14.5" x14ac:dyDescent="0.35">
      <c r="A24" s="5"/>
      <c r="B24" s="237" t="s">
        <v>984</v>
      </c>
      <c r="C24" s="241"/>
      <c r="D24" s="175"/>
      <c r="E24" s="110"/>
      <c r="F24" s="176"/>
      <c r="G24" s="177"/>
      <c r="H24" s="5"/>
      <c r="I24" s="5"/>
      <c r="J24" s="178"/>
      <c r="K24" s="177"/>
      <c r="L24" s="177"/>
      <c r="M24" s="177"/>
      <c r="N24" s="177"/>
      <c r="O24" s="177"/>
      <c r="P24" s="177"/>
      <c r="Q24" s="177"/>
      <c r="R24" s="178"/>
      <c r="S24" s="419"/>
      <c r="T24" s="5"/>
      <c r="W24" s="3"/>
    </row>
    <row r="25" spans="1:23" s="4" customFormat="1" ht="14.5" x14ac:dyDescent="0.35">
      <c r="A25" s="5"/>
      <c r="B25" s="240" t="s">
        <v>771</v>
      </c>
      <c r="C25" s="242" t="s">
        <v>772</v>
      </c>
      <c r="D25" s="242" t="s">
        <v>773</v>
      </c>
      <c r="E25" s="245" t="s">
        <v>774</v>
      </c>
      <c r="F25" s="398"/>
      <c r="G25" s="399"/>
      <c r="H25" s="400"/>
      <c r="I25" s="399"/>
      <c r="J25" s="400"/>
      <c r="K25" s="399"/>
      <c r="L25" s="400"/>
      <c r="M25" s="399"/>
      <c r="N25" s="402" t="s">
        <v>994</v>
      </c>
      <c r="O25" s="774" t="s">
        <v>991</v>
      </c>
      <c r="P25" s="830" t="s">
        <v>1027</v>
      </c>
      <c r="Q25" s="177"/>
      <c r="R25" s="178"/>
      <c r="S25" s="420"/>
      <c r="T25" s="5"/>
      <c r="W25" s="3"/>
    </row>
    <row r="26" spans="1:23" s="4" customFormat="1" ht="14.5" x14ac:dyDescent="0.35">
      <c r="A26" s="5"/>
      <c r="B26" s="576" t="s">
        <v>985</v>
      </c>
      <c r="C26" s="583" t="s">
        <v>986</v>
      </c>
      <c r="D26" s="584">
        <v>7</v>
      </c>
      <c r="E26" s="852" t="s">
        <v>987</v>
      </c>
      <c r="F26" s="853"/>
      <c r="G26" s="853"/>
      <c r="H26" s="853"/>
      <c r="I26" s="853"/>
      <c r="J26" s="853"/>
      <c r="K26" s="853"/>
      <c r="L26" s="853"/>
      <c r="M26" s="853"/>
      <c r="N26" s="586">
        <v>172</v>
      </c>
      <c r="O26" s="773"/>
      <c r="P26" s="823"/>
      <c r="Q26" s="177"/>
      <c r="R26" s="178"/>
      <c r="S26" s="420"/>
      <c r="T26" s="5"/>
      <c r="W26" s="3"/>
    </row>
    <row r="27" spans="1:23" s="4" customFormat="1" ht="14.5" x14ac:dyDescent="0.35">
      <c r="A27" s="5"/>
      <c r="B27" s="576" t="s">
        <v>989</v>
      </c>
      <c r="C27" s="583" t="s">
        <v>986</v>
      </c>
      <c r="D27" s="584">
        <v>7</v>
      </c>
      <c r="E27" s="852" t="s">
        <v>987</v>
      </c>
      <c r="F27" s="853"/>
      <c r="G27" s="853"/>
      <c r="H27" s="853"/>
      <c r="I27" s="853"/>
      <c r="J27" s="853"/>
      <c r="K27" s="853"/>
      <c r="L27" s="853"/>
      <c r="M27" s="853"/>
      <c r="N27" s="586">
        <f>N26</f>
        <v>172</v>
      </c>
      <c r="O27" s="821">
        <v>0.25</v>
      </c>
      <c r="P27" s="824">
        <f>N27*O27</f>
        <v>43</v>
      </c>
      <c r="Q27" s="177"/>
      <c r="R27" s="178"/>
      <c r="S27" s="420"/>
      <c r="T27" s="5"/>
      <c r="W27" s="3"/>
    </row>
    <row r="28" spans="1:23" s="4" customFormat="1" ht="15.65" customHeight="1" x14ac:dyDescent="0.35">
      <c r="A28" s="5"/>
      <c r="B28" s="576" t="s">
        <v>990</v>
      </c>
      <c r="C28" s="583" t="s">
        <v>993</v>
      </c>
      <c r="D28" s="584">
        <v>7</v>
      </c>
      <c r="E28" s="848" t="s">
        <v>995</v>
      </c>
      <c r="F28" s="849"/>
      <c r="G28" s="849"/>
      <c r="H28" s="849"/>
      <c r="I28" s="849"/>
      <c r="J28" s="849"/>
      <c r="K28" s="849"/>
      <c r="L28" s="849"/>
      <c r="M28" s="585"/>
      <c r="N28" s="586">
        <v>119</v>
      </c>
      <c r="O28" s="821">
        <v>0.75</v>
      </c>
      <c r="P28" s="824">
        <f>N28*O28</f>
        <v>89.25</v>
      </c>
      <c r="Q28" s="177"/>
      <c r="R28" s="178"/>
      <c r="S28" s="420"/>
      <c r="T28" s="5"/>
      <c r="W28" s="3"/>
    </row>
    <row r="29" spans="1:23" s="4" customFormat="1" ht="14.5" x14ac:dyDescent="0.35">
      <c r="A29" s="5"/>
      <c r="B29" s="775"/>
      <c r="C29" s="776"/>
      <c r="D29" s="777"/>
      <c r="E29" s="778"/>
      <c r="F29" s="779"/>
      <c r="G29" s="780"/>
      <c r="H29" s="781"/>
      <c r="I29" s="781"/>
      <c r="J29" s="781"/>
      <c r="K29" s="781"/>
      <c r="L29" s="780"/>
      <c r="M29" s="782"/>
      <c r="N29" s="783"/>
      <c r="O29" s="774"/>
      <c r="P29" s="825">
        <f>P27+P28</f>
        <v>132.25</v>
      </c>
      <c r="Q29" s="177"/>
      <c r="R29" s="178"/>
      <c r="S29" s="420"/>
      <c r="T29" s="5"/>
      <c r="W29" s="3"/>
    </row>
    <row r="30" spans="1:23" s="4" customFormat="1" ht="14.5" x14ac:dyDescent="0.3">
      <c r="A30" s="5"/>
      <c r="B30" s="630" t="s">
        <v>775</v>
      </c>
      <c r="C30" s="175"/>
      <c r="D30" s="175"/>
      <c r="E30" s="110"/>
      <c r="F30" s="176"/>
      <c r="G30" s="177"/>
      <c r="H30" s="5"/>
      <c r="I30" s="5"/>
      <c r="J30" s="178"/>
      <c r="K30" s="177"/>
      <c r="L30" s="177"/>
      <c r="M30" s="177"/>
      <c r="N30" s="177"/>
      <c r="O30" s="177"/>
      <c r="P30" s="177"/>
      <c r="Q30" s="177"/>
      <c r="R30" s="178"/>
      <c r="S30" s="420"/>
      <c r="T30" s="5"/>
      <c r="W30" s="3"/>
    </row>
    <row r="31" spans="1:23" s="4" customFormat="1" ht="14.5" x14ac:dyDescent="0.35">
      <c r="A31" s="5"/>
      <c r="B31" s="191"/>
      <c r="C31" s="175"/>
      <c r="D31" s="175"/>
      <c r="E31" s="110"/>
      <c r="F31" s="176"/>
      <c r="G31" s="177"/>
      <c r="H31" s="5"/>
      <c r="I31" s="5"/>
      <c r="J31" s="178"/>
      <c r="K31" s="177"/>
      <c r="L31" s="177"/>
      <c r="M31" s="177"/>
      <c r="N31" s="177"/>
      <c r="O31" s="177"/>
      <c r="P31" s="177"/>
      <c r="Q31" s="177"/>
      <c r="R31" s="178"/>
      <c r="S31" s="421" t="s">
        <v>776</v>
      </c>
      <c r="T31" s="5"/>
      <c r="W31" s="3"/>
    </row>
    <row r="32" spans="1:23" s="4" customFormat="1" ht="14.5" x14ac:dyDescent="0.35">
      <c r="A32" s="5"/>
      <c r="B32" s="191" t="s">
        <v>729</v>
      </c>
      <c r="C32" s="175"/>
      <c r="D32" s="175"/>
      <c r="E32" s="110"/>
      <c r="F32" s="176"/>
      <c r="G32" s="177"/>
      <c r="H32" s="5"/>
      <c r="I32" s="5"/>
      <c r="J32" s="178"/>
      <c r="K32" s="177"/>
      <c r="L32" s="177"/>
      <c r="M32" s="177"/>
      <c r="N32" s="177"/>
      <c r="O32" s="177"/>
      <c r="P32" s="177"/>
      <c r="Q32" s="177"/>
      <c r="R32" s="178"/>
      <c r="S32" s="421"/>
      <c r="T32" s="5"/>
      <c r="W32" s="3"/>
    </row>
    <row r="33" spans="1:23" s="4" customFormat="1" ht="14.5" x14ac:dyDescent="0.35">
      <c r="A33" s="5"/>
      <c r="B33" s="772" t="s">
        <v>988</v>
      </c>
      <c r="C33" s="175"/>
      <c r="D33" s="175"/>
      <c r="E33" s="110"/>
      <c r="F33" s="176"/>
      <c r="G33" s="177"/>
      <c r="H33" s="5"/>
      <c r="I33" s="5"/>
      <c r="J33" s="178"/>
      <c r="K33" s="177"/>
      <c r="L33" s="177"/>
      <c r="M33" s="177"/>
      <c r="N33" s="177"/>
      <c r="O33" s="177"/>
      <c r="P33" s="177"/>
      <c r="Q33" s="177"/>
      <c r="R33" s="178"/>
      <c r="S33" s="421"/>
      <c r="T33" s="5"/>
      <c r="W33" s="3"/>
    </row>
    <row r="34" spans="1:23" s="4" customFormat="1" ht="45" customHeight="1" x14ac:dyDescent="0.35">
      <c r="A34" s="5"/>
      <c r="B34" s="847" t="s">
        <v>992</v>
      </c>
      <c r="C34" s="847"/>
      <c r="D34" s="847"/>
      <c r="E34" s="847"/>
      <c r="F34" s="847"/>
      <c r="G34" s="847"/>
      <c r="H34" s="847"/>
      <c r="I34" s="847"/>
      <c r="J34" s="847"/>
      <c r="K34" s="847"/>
      <c r="L34" s="847"/>
      <c r="M34" s="847"/>
      <c r="N34" s="847"/>
      <c r="O34" s="847"/>
      <c r="P34" s="847"/>
      <c r="Q34" s="177"/>
      <c r="R34" s="178"/>
      <c r="S34" s="421"/>
      <c r="T34" s="5"/>
      <c r="W34" s="3"/>
    </row>
    <row r="35" spans="1:23" s="4" customFormat="1" ht="14.5" x14ac:dyDescent="0.35">
      <c r="A35" s="5"/>
      <c r="B35" s="175"/>
      <c r="C35" s="175"/>
      <c r="D35" s="175"/>
      <c r="E35" s="110"/>
      <c r="F35" s="176"/>
      <c r="G35" s="177"/>
      <c r="H35" s="5"/>
      <c r="I35" s="5"/>
      <c r="J35" s="178"/>
      <c r="K35" s="177"/>
      <c r="L35" s="177"/>
      <c r="M35" s="177"/>
      <c r="N35" s="177"/>
      <c r="O35" s="177"/>
      <c r="P35" s="177"/>
      <c r="Q35" s="177"/>
      <c r="R35" s="178"/>
      <c r="S35" s="421" t="s">
        <v>777</v>
      </c>
      <c r="T35" s="5"/>
      <c r="W35" s="3"/>
    </row>
    <row r="36" spans="1:23" s="4" customFormat="1" ht="14.5" x14ac:dyDescent="0.35">
      <c r="A36" s="5"/>
      <c r="B36" s="175"/>
      <c r="C36" s="175"/>
      <c r="D36" s="175"/>
      <c r="E36" s="110"/>
      <c r="F36" s="176"/>
      <c r="G36" s="177"/>
      <c r="H36" s="5"/>
      <c r="I36" s="5"/>
      <c r="J36" s="178"/>
      <c r="K36" s="177"/>
      <c r="L36" s="177"/>
      <c r="M36" s="177"/>
      <c r="N36" s="177"/>
      <c r="O36" s="177"/>
      <c r="P36" s="177"/>
      <c r="Q36" s="177"/>
      <c r="R36" s="178"/>
      <c r="S36" s="421" t="s">
        <v>778</v>
      </c>
      <c r="T36" s="5"/>
      <c r="W36" s="3"/>
    </row>
    <row r="37" spans="1:23" s="4" customFormat="1" ht="14.5" x14ac:dyDescent="0.35">
      <c r="A37" s="5"/>
      <c r="B37" s="785"/>
      <c r="C37" s="175"/>
      <c r="D37" s="175"/>
      <c r="E37" s="110"/>
      <c r="F37" s="176"/>
      <c r="G37" s="177"/>
      <c r="H37" s="5"/>
      <c r="I37" s="5"/>
      <c r="J37" s="178"/>
      <c r="K37" s="177"/>
      <c r="L37" s="177"/>
      <c r="M37" s="177"/>
      <c r="N37" s="177"/>
      <c r="O37" s="177"/>
      <c r="P37" s="177"/>
      <c r="Q37" s="177"/>
      <c r="R37" s="178"/>
      <c r="S37" s="421" t="s">
        <v>779</v>
      </c>
      <c r="T37" s="5"/>
      <c r="W37" s="3"/>
    </row>
    <row r="38" spans="1:23" s="4" customFormat="1" ht="14.5" x14ac:dyDescent="0.35">
      <c r="A38" s="5"/>
      <c r="B38" t="s">
        <v>1024</v>
      </c>
      <c r="C38" s="786"/>
      <c r="D38" s="785"/>
      <c r="E38" s="110"/>
      <c r="F38" s="176"/>
      <c r="G38" s="177"/>
      <c r="H38" s="5"/>
      <c r="I38" s="177"/>
      <c r="J38" s="5"/>
      <c r="K38" s="177"/>
      <c r="L38" s="5"/>
      <c r="M38" s="177"/>
      <c r="N38" s="785"/>
      <c r="O38" s="177"/>
      <c r="P38" s="177"/>
      <c r="Q38" s="177"/>
      <c r="R38" s="178"/>
      <c r="S38" s="421" t="s">
        <v>780</v>
      </c>
      <c r="T38" s="5"/>
      <c r="W38" s="3"/>
    </row>
    <row r="39" spans="1:23" s="4" customFormat="1" ht="14.5" x14ac:dyDescent="0.35">
      <c r="A39" s="5"/>
      <c r="B39" s="787"/>
      <c r="C39" s="788"/>
      <c r="D39" s="789"/>
      <c r="E39" s="790"/>
      <c r="F39" s="791"/>
      <c r="G39" s="792"/>
      <c r="H39" s="793"/>
      <c r="I39" s="793"/>
      <c r="J39" s="793"/>
      <c r="K39" s="793"/>
      <c r="L39" s="792"/>
      <c r="M39" s="792"/>
      <c r="N39" s="794"/>
      <c r="O39" s="177"/>
      <c r="P39" s="177"/>
      <c r="Q39" s="177"/>
      <c r="R39" s="178"/>
      <c r="S39" s="421" t="s">
        <v>781</v>
      </c>
      <c r="T39" s="5"/>
      <c r="W39" s="3"/>
    </row>
    <row r="40" spans="1:23" s="4" customFormat="1" ht="14.5" x14ac:dyDescent="0.35">
      <c r="A40" s="5"/>
      <c r="B40" s="787"/>
      <c r="C40" s="788"/>
      <c r="D40" s="789"/>
      <c r="E40" s="790"/>
      <c r="F40" s="791"/>
      <c r="G40" s="792"/>
      <c r="H40" s="793"/>
      <c r="I40" s="793"/>
      <c r="J40" s="793"/>
      <c r="K40" s="793"/>
      <c r="L40" s="792"/>
      <c r="M40" s="792"/>
      <c r="N40" s="794"/>
      <c r="O40" s="177"/>
      <c r="P40" s="177"/>
      <c r="Q40" s="177"/>
      <c r="R40" s="178"/>
      <c r="S40" s="421"/>
      <c r="T40" s="5"/>
      <c r="W40" s="3"/>
    </row>
    <row r="41" spans="1:23" s="4" customFormat="1" ht="14.5" x14ac:dyDescent="0.35">
      <c r="A41" s="5"/>
      <c r="B41" s="795"/>
      <c r="C41" s="5"/>
      <c r="D41" s="175"/>
      <c r="E41" s="110"/>
      <c r="F41" s="176"/>
      <c r="G41" s="177"/>
      <c r="H41" s="5"/>
      <c r="I41" s="5"/>
      <c r="J41" s="178"/>
      <c r="K41" s="177"/>
      <c r="L41" s="177"/>
      <c r="M41" s="177"/>
      <c r="N41" s="177"/>
      <c r="O41" s="177"/>
      <c r="P41" s="177"/>
      <c r="Q41" s="177"/>
      <c r="R41" s="178"/>
      <c r="S41" s="421"/>
      <c r="T41" s="5"/>
      <c r="W41" s="3"/>
    </row>
    <row r="42" spans="1:23" s="4" customFormat="1" ht="14.5" x14ac:dyDescent="0.35">
      <c r="A42" s="5"/>
      <c r="B42" s="784"/>
      <c r="C42" s="5"/>
      <c r="D42" s="175"/>
      <c r="E42" s="110"/>
      <c r="F42" s="176"/>
      <c r="G42" s="177"/>
      <c r="H42" s="5"/>
      <c r="I42" s="5"/>
      <c r="J42" s="178"/>
      <c r="K42" s="177"/>
      <c r="L42" s="177"/>
      <c r="M42" s="177"/>
      <c r="N42" s="177"/>
      <c r="O42" s="177"/>
      <c r="P42" s="177"/>
      <c r="Q42" s="177"/>
      <c r="R42" s="178"/>
      <c r="S42" s="421" t="s">
        <v>782</v>
      </c>
      <c r="T42" s="5"/>
      <c r="W42" s="3"/>
    </row>
    <row r="43" spans="1:23" s="4" customFormat="1" ht="14.5" x14ac:dyDescent="0.35">
      <c r="A43" s="5"/>
      <c r="B43" s="784"/>
      <c r="C43" s="5"/>
      <c r="D43" s="175"/>
      <c r="E43" s="110"/>
      <c r="F43" s="176"/>
      <c r="G43" s="177"/>
      <c r="H43" s="5"/>
      <c r="I43" s="5"/>
      <c r="J43" s="178"/>
      <c r="K43" s="177"/>
      <c r="L43" s="177"/>
      <c r="M43" s="177"/>
      <c r="N43" s="177"/>
      <c r="O43" s="177"/>
      <c r="P43" s="177"/>
      <c r="Q43" s="177"/>
      <c r="R43" s="178"/>
      <c r="S43" s="421" t="s">
        <v>783</v>
      </c>
      <c r="T43" s="5"/>
      <c r="W43" s="3"/>
    </row>
    <row r="44" spans="1:23" s="4" customFormat="1" ht="14.5" x14ac:dyDescent="0.35">
      <c r="A44" s="5"/>
      <c r="B44" s="784"/>
      <c r="C44" s="5"/>
      <c r="D44" s="175"/>
      <c r="E44" s="110"/>
      <c r="F44" s="176"/>
      <c r="G44" s="177"/>
      <c r="H44" s="5"/>
      <c r="I44" s="5"/>
      <c r="J44" s="178"/>
      <c r="K44" s="177"/>
      <c r="L44" s="177"/>
      <c r="M44" s="177"/>
      <c r="N44" s="177"/>
      <c r="O44" s="177"/>
      <c r="P44" s="177"/>
      <c r="Q44" s="177"/>
      <c r="R44" s="178"/>
      <c r="S44" s="421" t="s">
        <v>784</v>
      </c>
      <c r="T44" s="5"/>
      <c r="W44" s="3"/>
    </row>
    <row r="45" spans="1:23" s="4" customFormat="1" ht="14.5" x14ac:dyDescent="0.35">
      <c r="A45" s="5"/>
      <c r="B45" s="785"/>
      <c r="C45" s="175"/>
      <c r="D45" s="175"/>
      <c r="E45" s="110"/>
      <c r="F45" s="176"/>
      <c r="G45" s="177"/>
      <c r="H45" s="5"/>
      <c r="I45" s="5"/>
      <c r="J45" s="178"/>
      <c r="K45" s="177"/>
      <c r="L45" s="177"/>
      <c r="M45" s="177"/>
      <c r="N45" s="177"/>
      <c r="O45" s="177"/>
      <c r="P45" s="177"/>
      <c r="Q45" s="177"/>
      <c r="R45" s="178"/>
      <c r="S45" s="421" t="s">
        <v>785</v>
      </c>
      <c r="T45" s="5"/>
      <c r="W45" s="3"/>
    </row>
    <row r="46" spans="1:23" s="4" customFormat="1" ht="14.5" x14ac:dyDescent="0.35">
      <c r="A46" s="5"/>
      <c r="B46" s="786"/>
      <c r="C46" s="786"/>
      <c r="D46" s="785"/>
      <c r="E46" s="110"/>
      <c r="F46" s="176"/>
      <c r="G46" s="177"/>
      <c r="H46" s="5"/>
      <c r="I46" s="177"/>
      <c r="J46" s="5"/>
      <c r="K46" s="177"/>
      <c r="L46" s="5"/>
      <c r="M46" s="177"/>
      <c r="N46" s="785"/>
      <c r="O46" s="177"/>
      <c r="P46" s="177"/>
      <c r="Q46" s="177"/>
      <c r="R46" s="178"/>
      <c r="S46" s="421" t="s">
        <v>786</v>
      </c>
      <c r="T46" s="5"/>
      <c r="W46" s="3"/>
    </row>
    <row r="47" spans="1:23" s="4" customFormat="1" ht="14.5" x14ac:dyDescent="0.35">
      <c r="A47" s="5"/>
      <c r="B47" s="787"/>
      <c r="C47" s="788"/>
      <c r="D47" s="789"/>
      <c r="E47" s="790"/>
      <c r="F47" s="791"/>
      <c r="G47" s="792"/>
      <c r="H47" s="793"/>
      <c r="I47" s="793"/>
      <c r="J47" s="793"/>
      <c r="K47" s="793"/>
      <c r="L47" s="792"/>
      <c r="M47" s="792"/>
      <c r="N47" s="794"/>
      <c r="O47" s="177"/>
      <c r="P47" s="177"/>
      <c r="Q47" s="177"/>
      <c r="R47" s="178"/>
      <c r="S47" s="421" t="s">
        <v>787</v>
      </c>
      <c r="T47" s="5"/>
      <c r="W47" s="3"/>
    </row>
    <row r="48" spans="1:23" s="4" customFormat="1" ht="14.5" x14ac:dyDescent="0.35">
      <c r="A48" s="5"/>
      <c r="B48" s="795"/>
      <c r="C48" s="5"/>
      <c r="D48" s="175"/>
      <c r="E48" s="110"/>
      <c r="F48" s="176"/>
      <c r="G48" s="177"/>
      <c r="H48" s="5"/>
      <c r="I48" s="5"/>
      <c r="J48" s="178"/>
      <c r="K48" s="177"/>
      <c r="L48" s="177"/>
      <c r="M48" s="177"/>
      <c r="N48" s="177"/>
      <c r="O48" s="177"/>
      <c r="P48" s="177"/>
      <c r="Q48" s="177"/>
      <c r="R48" s="178"/>
      <c r="S48" s="421"/>
      <c r="T48" s="5"/>
      <c r="W48" s="3"/>
    </row>
    <row r="49" spans="1:23" s="4" customFormat="1" ht="14.5" x14ac:dyDescent="0.35">
      <c r="A49" s="5"/>
      <c r="B49"/>
      <c r="C49" s="241"/>
      <c r="D49" s="796"/>
      <c r="E49" s="797"/>
      <c r="F49" s="798"/>
      <c r="G49" s="799"/>
      <c r="H49" s="241"/>
      <c r="I49" s="5"/>
      <c r="J49" s="178"/>
      <c r="K49" s="177"/>
      <c r="L49" s="177"/>
      <c r="M49" s="177"/>
      <c r="N49" s="177"/>
      <c r="O49" s="177"/>
      <c r="P49" s="177"/>
      <c r="Q49" s="177"/>
      <c r="R49" s="178"/>
      <c r="S49" s="421" t="s">
        <v>788</v>
      </c>
      <c r="T49" s="5"/>
      <c r="W49" s="3"/>
    </row>
    <row r="50" spans="1:23" s="4" customFormat="1" ht="14.5" x14ac:dyDescent="0.35">
      <c r="A50" s="5"/>
      <c r="B50" s="784"/>
      <c r="C50" s="5"/>
      <c r="D50" s="175"/>
      <c r="E50" s="110"/>
      <c r="F50" s="176"/>
      <c r="G50" s="177"/>
      <c r="H50" s="5"/>
      <c r="I50" s="5"/>
      <c r="J50" s="178"/>
      <c r="K50" s="177"/>
      <c r="L50" s="177"/>
      <c r="M50" s="177"/>
      <c r="N50" s="177"/>
      <c r="O50" s="177"/>
      <c r="P50" s="177"/>
      <c r="Q50" s="177"/>
      <c r="R50" s="178"/>
      <c r="S50" s="421" t="s">
        <v>789</v>
      </c>
      <c r="T50" s="5"/>
      <c r="W50" s="3"/>
    </row>
    <row r="51" spans="1:23" s="4" customFormat="1" ht="14.5" x14ac:dyDescent="0.35">
      <c r="A51" s="5"/>
      <c r="B51" s="784"/>
      <c r="C51" s="5"/>
      <c r="D51" s="175"/>
      <c r="E51" s="110"/>
      <c r="F51" s="176"/>
      <c r="G51" s="177"/>
      <c r="H51" s="5"/>
      <c r="I51" s="5"/>
      <c r="J51" s="178"/>
      <c r="K51" s="177"/>
      <c r="L51" s="177"/>
      <c r="M51" s="177"/>
      <c r="N51" s="177"/>
      <c r="O51" s="177"/>
      <c r="P51" s="177"/>
      <c r="Q51" s="177"/>
      <c r="R51" s="178"/>
      <c r="S51" s="421" t="s">
        <v>790</v>
      </c>
      <c r="T51" s="5"/>
      <c r="W51" s="3"/>
    </row>
    <row r="52" spans="1:23" s="4" customFormat="1" ht="14.5" x14ac:dyDescent="0.35">
      <c r="A52" s="5"/>
      <c r="B52" s="785"/>
      <c r="C52" s="175"/>
      <c r="D52" s="175"/>
      <c r="E52" s="110"/>
      <c r="F52" s="176"/>
      <c r="G52" s="177"/>
      <c r="H52" s="5"/>
      <c r="I52" s="5"/>
      <c r="J52" s="178"/>
      <c r="K52" s="177"/>
      <c r="L52" s="177"/>
      <c r="M52" s="177"/>
      <c r="N52" s="177"/>
      <c r="O52" s="177"/>
      <c r="P52" s="177"/>
      <c r="Q52" s="177"/>
      <c r="R52" s="178"/>
      <c r="S52" s="421" t="s">
        <v>791</v>
      </c>
      <c r="T52" s="5"/>
      <c r="W52" s="3"/>
    </row>
    <row r="53" spans="1:23" s="4" customFormat="1" ht="14.5" x14ac:dyDescent="0.35">
      <c r="A53" s="5"/>
      <c r="B53" s="786"/>
      <c r="C53" s="786"/>
      <c r="D53" s="785"/>
      <c r="E53" s="110"/>
      <c r="F53" s="176"/>
      <c r="G53" s="177"/>
      <c r="H53" s="5"/>
      <c r="I53" s="177"/>
      <c r="J53" s="5"/>
      <c r="K53" s="177"/>
      <c r="L53" s="5"/>
      <c r="M53" s="177"/>
      <c r="N53" s="785"/>
      <c r="O53" s="177"/>
      <c r="P53" s="177"/>
      <c r="Q53" s="177"/>
      <c r="R53" s="178"/>
      <c r="S53" s="421" t="s">
        <v>792</v>
      </c>
      <c r="T53" s="5"/>
      <c r="W53" s="3"/>
    </row>
    <row r="54" spans="1:23" s="4" customFormat="1" ht="14.5" x14ac:dyDescent="0.35">
      <c r="A54" s="5"/>
      <c r="B54" s="787"/>
      <c r="C54" s="788"/>
      <c r="D54" s="789"/>
      <c r="E54" s="790"/>
      <c r="F54" s="791"/>
      <c r="G54" s="792"/>
      <c r="H54" s="793"/>
      <c r="I54" s="793"/>
      <c r="J54" s="793"/>
      <c r="K54" s="793"/>
      <c r="L54" s="792"/>
      <c r="M54" s="792"/>
      <c r="N54" s="794"/>
      <c r="O54" s="177"/>
      <c r="P54" s="177"/>
      <c r="Q54" s="177"/>
      <c r="R54" s="178"/>
      <c r="S54" s="421" t="s">
        <v>793</v>
      </c>
      <c r="T54" s="5"/>
      <c r="W54" s="3"/>
    </row>
    <row r="55" spans="1:23" s="4" customFormat="1" ht="14.5" x14ac:dyDescent="0.35">
      <c r="A55" s="5"/>
      <c r="B55" s="795"/>
      <c r="C55" s="5"/>
      <c r="D55" s="175"/>
      <c r="E55" s="110"/>
      <c r="F55" s="176"/>
      <c r="G55" s="177"/>
      <c r="H55" s="5"/>
      <c r="I55" s="5"/>
      <c r="J55" s="178"/>
      <c r="K55" s="177"/>
      <c r="L55" s="177"/>
      <c r="M55" s="177"/>
      <c r="N55" s="177"/>
      <c r="O55" s="177"/>
      <c r="P55" s="177"/>
      <c r="Q55" s="177"/>
      <c r="R55" s="178"/>
      <c r="S55" s="421" t="s">
        <v>794</v>
      </c>
      <c r="T55" s="5"/>
      <c r="W55" s="3"/>
    </row>
    <row r="56" spans="1:23" s="4" customFormat="1" ht="14.5" x14ac:dyDescent="0.35">
      <c r="A56" s="5"/>
      <c r="B56" s="784"/>
      <c r="C56" s="5"/>
      <c r="D56" s="175"/>
      <c r="E56" s="110"/>
      <c r="F56" s="176"/>
      <c r="G56" s="177"/>
      <c r="H56" s="5"/>
      <c r="I56" s="5"/>
      <c r="J56" s="178"/>
      <c r="K56" s="177"/>
      <c r="L56" s="177"/>
      <c r="M56" s="177"/>
      <c r="N56" s="177"/>
      <c r="O56" s="177"/>
      <c r="P56" s="177"/>
      <c r="Q56" s="177"/>
      <c r="R56" s="178"/>
      <c r="S56" s="421" t="s">
        <v>780</v>
      </c>
      <c r="T56" s="5"/>
      <c r="W56" s="3"/>
    </row>
    <row r="57" spans="1:23" s="4" customFormat="1" ht="14.5" x14ac:dyDescent="0.35">
      <c r="A57" s="5"/>
      <c r="B57" s="797"/>
      <c r="C57" s="5"/>
      <c r="D57" s="175"/>
      <c r="E57" s="110"/>
      <c r="F57" s="176"/>
      <c r="G57" s="177"/>
      <c r="H57" s="5"/>
      <c r="I57" s="5"/>
      <c r="J57" s="178"/>
      <c r="K57" s="177"/>
      <c r="L57" s="177"/>
      <c r="M57" s="177"/>
      <c r="N57" s="177"/>
      <c r="O57" s="177"/>
      <c r="P57" s="177"/>
      <c r="Q57" s="177"/>
      <c r="R57" s="178"/>
      <c r="S57" s="421" t="s">
        <v>795</v>
      </c>
      <c r="T57" s="5"/>
      <c r="W57" s="3"/>
    </row>
    <row r="58" spans="1:23" s="4" customFormat="1" ht="14.5" x14ac:dyDescent="0.35">
      <c r="A58" s="5"/>
      <c r="B58" s="797"/>
      <c r="C58"/>
      <c r="D58" s="175"/>
      <c r="E58" s="110"/>
      <c r="F58" s="176"/>
      <c r="G58" s="177"/>
      <c r="H58" s="5"/>
      <c r="I58" s="5"/>
      <c r="J58" s="178"/>
      <c r="K58" s="177"/>
      <c r="L58" s="177"/>
      <c r="M58" s="177"/>
      <c r="N58" s="177"/>
      <c r="O58" s="177"/>
      <c r="P58" s="177"/>
      <c r="Q58" s="177"/>
      <c r="R58" s="178"/>
      <c r="S58" s="421" t="s">
        <v>796</v>
      </c>
      <c r="T58" s="5"/>
      <c r="W58" s="3"/>
    </row>
    <row r="59" spans="1:23" s="4" customFormat="1" ht="14.5" x14ac:dyDescent="0.35">
      <c r="A59" s="5"/>
      <c r="B59" s="237"/>
      <c r="C59" s="5"/>
      <c r="D59" s="5"/>
      <c r="E59" s="5"/>
      <c r="F59" s="5"/>
      <c r="G59" s="5"/>
      <c r="H59" s="5"/>
      <c r="I59" s="5"/>
      <c r="J59" s="5"/>
      <c r="K59" s="5"/>
      <c r="L59" s="5"/>
      <c r="M59" s="5"/>
      <c r="N59" s="5"/>
      <c r="O59" s="5"/>
      <c r="P59" s="5"/>
      <c r="Q59" s="177"/>
      <c r="R59" s="5"/>
      <c r="S59" s="420"/>
      <c r="T59" s="5"/>
      <c r="W59" s="3"/>
    </row>
    <row r="60" spans="1:23" s="4" customFormat="1" ht="14.5" x14ac:dyDescent="0.35">
      <c r="A60" s="5"/>
      <c r="B60"/>
      <c r="C60" s="5"/>
      <c r="D60" s="5"/>
      <c r="E60" s="5"/>
      <c r="F60" s="5"/>
      <c r="G60" s="5"/>
      <c r="H60" s="5"/>
      <c r="I60" s="786"/>
      <c r="J60" s="5"/>
      <c r="K60" s="177"/>
      <c r="L60" s="5"/>
      <c r="M60" s="5"/>
      <c r="N60" s="785"/>
      <c r="O60" s="5"/>
      <c r="P60" s="801"/>
      <c r="Q60" s="177"/>
      <c r="R60" s="5"/>
      <c r="S60" s="420"/>
      <c r="T60" s="5"/>
      <c r="W60" s="3"/>
    </row>
    <row r="61" spans="1:23" s="4" customFormat="1" ht="14.5" x14ac:dyDescent="0.35">
      <c r="A61" s="5"/>
      <c r="B61" s="801"/>
      <c r="C61" s="801"/>
      <c r="D61" s="801"/>
      <c r="E61" s="801"/>
      <c r="F61" s="5"/>
      <c r="G61" s="801"/>
      <c r="H61" s="801"/>
      <c r="I61" s="801"/>
      <c r="J61" s="801"/>
      <c r="K61" s="177"/>
      <c r="L61" s="801"/>
      <c r="M61" s="801"/>
      <c r="N61" s="801"/>
      <c r="O61" s="801"/>
      <c r="P61" s="794"/>
      <c r="Q61" s="177"/>
      <c r="R61" s="5"/>
      <c r="S61" s="420"/>
      <c r="T61" s="5"/>
      <c r="W61" s="3"/>
    </row>
    <row r="62" spans="1:23" s="4" customFormat="1" ht="14.5" x14ac:dyDescent="0.35">
      <c r="A62" s="5"/>
      <c r="B62" s="787"/>
      <c r="C62" s="802"/>
      <c r="D62" s="802"/>
      <c r="E62" s="802"/>
      <c r="F62" s="5"/>
      <c r="G62" s="803"/>
      <c r="H62" s="794"/>
      <c r="I62" s="794"/>
      <c r="J62" s="794"/>
      <c r="K62" s="177"/>
      <c r="L62" s="804"/>
      <c r="M62" s="794"/>
      <c r="N62" s="794"/>
      <c r="O62" s="794"/>
      <c r="P62" s="794"/>
      <c r="Q62" s="177"/>
      <c r="R62" s="5"/>
      <c r="S62" s="420"/>
      <c r="T62" s="5"/>
      <c r="W62" s="3"/>
    </row>
    <row r="63" spans="1:23" s="4" customFormat="1" ht="14.5" x14ac:dyDescent="0.35">
      <c r="A63" s="5"/>
      <c r="B63" s="787"/>
      <c r="C63" s="802"/>
      <c r="D63" s="802"/>
      <c r="E63" s="802"/>
      <c r="F63" s="5"/>
      <c r="G63" s="803"/>
      <c r="H63" s="794"/>
      <c r="I63" s="794"/>
      <c r="J63" s="794"/>
      <c r="K63" s="177"/>
      <c r="L63" s="804"/>
      <c r="M63" s="794"/>
      <c r="N63" s="794"/>
      <c r="O63" s="794"/>
      <c r="P63" s="794"/>
      <c r="Q63" s="177"/>
      <c r="R63" s="5"/>
      <c r="S63" s="420"/>
      <c r="T63" s="5"/>
      <c r="W63" s="3"/>
    </row>
    <row r="64" spans="1:23" s="4" customFormat="1" ht="14.5" x14ac:dyDescent="0.35">
      <c r="A64" s="5"/>
      <c r="B64" s="787"/>
      <c r="C64" s="802"/>
      <c r="D64" s="802"/>
      <c r="E64" s="802"/>
      <c r="F64" s="5"/>
      <c r="G64" s="803"/>
      <c r="H64" s="794"/>
      <c r="I64" s="794"/>
      <c r="J64" s="794"/>
      <c r="K64" s="177"/>
      <c r="L64" s="804"/>
      <c r="M64" s="794"/>
      <c r="N64" s="794"/>
      <c r="O64" s="794"/>
      <c r="P64" s="794"/>
      <c r="Q64" s="177"/>
      <c r="R64" s="5"/>
      <c r="S64" s="420"/>
      <c r="T64" s="5"/>
      <c r="W64" s="3"/>
    </row>
    <row r="65" spans="1:23" s="4" customFormat="1" ht="14.5" x14ac:dyDescent="0.35">
      <c r="A65" s="5"/>
      <c r="B65" s="787"/>
      <c r="C65" s="802"/>
      <c r="D65" s="802"/>
      <c r="E65" s="802"/>
      <c r="F65" s="5"/>
      <c r="G65" s="803"/>
      <c r="H65" s="794"/>
      <c r="I65" s="794"/>
      <c r="J65" s="794"/>
      <c r="K65" s="177"/>
      <c r="L65" s="804"/>
      <c r="M65" s="794"/>
      <c r="N65" s="794"/>
      <c r="O65" s="794"/>
      <c r="P65" s="794"/>
      <c r="Q65" s="177"/>
      <c r="R65" s="5"/>
      <c r="S65" s="420"/>
      <c r="T65" s="5"/>
      <c r="W65" s="3"/>
    </row>
    <row r="66" spans="1:23" s="4" customFormat="1" ht="14.5" x14ac:dyDescent="0.35">
      <c r="A66" s="5"/>
      <c r="B66" s="787"/>
      <c r="C66" s="802"/>
      <c r="D66" s="802"/>
      <c r="E66" s="802"/>
      <c r="F66" s="5"/>
      <c r="G66" s="803"/>
      <c r="H66" s="794"/>
      <c r="I66" s="794"/>
      <c r="J66" s="794"/>
      <c r="K66" s="177"/>
      <c r="L66" s="804"/>
      <c r="M66" s="794"/>
      <c r="N66" s="794"/>
      <c r="O66" s="794"/>
      <c r="P66" s="794"/>
      <c r="Q66" s="177"/>
      <c r="R66" s="5"/>
      <c r="S66" s="420"/>
      <c r="T66" s="5"/>
      <c r="W66" s="3"/>
    </row>
    <row r="67" spans="1:23" s="4" customFormat="1" ht="14.5" x14ac:dyDescent="0.35">
      <c r="A67" s="5"/>
      <c r="B67" s="787"/>
      <c r="C67" s="802"/>
      <c r="D67" s="802"/>
      <c r="E67" s="802"/>
      <c r="F67" s="5"/>
      <c r="G67" s="803"/>
      <c r="H67" s="794"/>
      <c r="I67" s="794"/>
      <c r="J67" s="794"/>
      <c r="K67" s="177"/>
      <c r="L67" s="804"/>
      <c r="M67" s="794"/>
      <c r="N67" s="794"/>
      <c r="O67" s="794"/>
      <c r="P67" s="794"/>
      <c r="Q67" s="177"/>
      <c r="R67" s="5"/>
      <c r="S67" s="420"/>
      <c r="T67" s="5"/>
      <c r="W67" s="3"/>
    </row>
    <row r="68" spans="1:23" s="4" customFormat="1" ht="14.5" x14ac:dyDescent="0.35">
      <c r="A68" s="5"/>
      <c r="B68" s="787"/>
      <c r="C68" s="802"/>
      <c r="D68" s="802"/>
      <c r="E68" s="802"/>
      <c r="F68" s="5"/>
      <c r="G68" s="803"/>
      <c r="H68" s="794"/>
      <c r="I68" s="794"/>
      <c r="J68" s="794"/>
      <c r="K68" s="177"/>
      <c r="L68" s="804"/>
      <c r="M68" s="794"/>
      <c r="N68" s="794"/>
      <c r="O68" s="794"/>
      <c r="P68" s="805"/>
      <c r="Q68" s="177"/>
      <c r="R68" s="5"/>
      <c r="S68" s="420"/>
      <c r="T68" s="5"/>
      <c r="W68" s="3"/>
    </row>
    <row r="69" spans="1:23" s="4" customFormat="1" ht="14.5" x14ac:dyDescent="0.35">
      <c r="A69" s="5"/>
      <c r="B69" s="5"/>
      <c r="C69" s="800"/>
      <c r="D69" s="800"/>
      <c r="E69" s="800"/>
      <c r="F69" s="5"/>
      <c r="G69" s="5"/>
      <c r="H69" s="805"/>
      <c r="I69" s="805"/>
      <c r="J69" s="805"/>
      <c r="K69" s="177"/>
      <c r="L69" s="5"/>
      <c r="M69" s="805"/>
      <c r="N69" s="805"/>
      <c r="O69" s="805"/>
      <c r="P69" s="5"/>
      <c r="Q69" s="5"/>
      <c r="R69" s="5"/>
      <c r="S69" s="420"/>
      <c r="T69" s="5"/>
      <c r="W69" s="3"/>
    </row>
    <row r="70" spans="1:23" s="4" customFormat="1" ht="14.5" x14ac:dyDescent="0.3">
      <c r="A70" s="5"/>
      <c r="B70" s="806"/>
      <c r="C70" s="5"/>
      <c r="D70" s="5"/>
      <c r="E70" s="5"/>
      <c r="F70" s="5"/>
      <c r="G70" s="5"/>
      <c r="H70" s="5"/>
      <c r="I70" s="5"/>
      <c r="J70" s="5"/>
      <c r="K70" s="5"/>
      <c r="L70" s="5"/>
      <c r="M70" s="5"/>
      <c r="N70" s="5"/>
      <c r="O70" s="5"/>
      <c r="P70" s="5"/>
      <c r="Q70" s="5"/>
      <c r="R70" s="5"/>
      <c r="S70" s="422"/>
      <c r="T70" s="5"/>
      <c r="W70" s="3"/>
    </row>
    <row r="71" spans="1:23" s="4" customFormat="1" ht="14.5" x14ac:dyDescent="0.35">
      <c r="A71" s="5"/>
      <c r="B71"/>
      <c r="C71" s="5"/>
      <c r="D71" s="5"/>
      <c r="E71" s="5"/>
      <c r="F71" s="5"/>
      <c r="G71" s="5"/>
      <c r="H71" s="5"/>
      <c r="I71" s="5"/>
      <c r="J71" s="5"/>
      <c r="K71" s="5"/>
      <c r="L71" s="5"/>
      <c r="M71" s="5"/>
      <c r="N71" s="5"/>
      <c r="O71" s="5"/>
      <c r="P71" s="5"/>
      <c r="Q71" s="5"/>
      <c r="R71" s="5"/>
      <c r="S71" s="5"/>
      <c r="T71" s="5"/>
      <c r="W71" s="3"/>
    </row>
    <row r="72" spans="1:23" x14ac:dyDescent="0.25">
      <c r="A72" s="190"/>
      <c r="B72" s="190"/>
      <c r="C72" s="807"/>
      <c r="D72" s="807"/>
      <c r="E72" s="807"/>
      <c r="F72" s="807"/>
      <c r="G72" s="807"/>
      <c r="H72" s="807"/>
      <c r="I72" s="190"/>
      <c r="J72" s="190"/>
      <c r="K72" s="190"/>
      <c r="L72" s="190"/>
      <c r="M72" s="190"/>
      <c r="N72" s="190"/>
      <c r="O72" s="190"/>
      <c r="P72" s="190"/>
      <c r="Q72" s="190"/>
      <c r="R72" s="190"/>
      <c r="S72" s="190"/>
      <c r="T72" s="190"/>
    </row>
  </sheetData>
  <sheetProtection algorithmName="SHA-512" hashValue="fKTANNHRncr18DzMvGNMrIGh0aBq92tQW1mU5L6jUcYhSI5G4+vdIaDzZGlgd4b97r7JQ+ycNL9yZGtjOjyO2Q==" saltValue="yhnVblgeqHNJAWhrzipL7Q==" spinCount="100000" sheet="1" objects="1" scenarios="1"/>
  <protectedRanges>
    <protectedRange sqref="B26:P29" name="Range6"/>
    <protectedRange sqref="S18" name="Range5"/>
    <protectedRange sqref="B15:S17" name="Range4"/>
    <protectedRange sqref="S12" name="Range3"/>
    <protectedRange sqref="B9:S11" name="Range2"/>
    <protectedRange sqref="B62:E68 G62:G68 L62:L68" name="Range1"/>
  </protectedRanges>
  <mergeCells count="7">
    <mergeCell ref="B34:P34"/>
    <mergeCell ref="E28:L28"/>
    <mergeCell ref="B1:J1"/>
    <mergeCell ref="I5:R5"/>
    <mergeCell ref="B21:K21"/>
    <mergeCell ref="E26:M26"/>
    <mergeCell ref="E27:M27"/>
  </mergeCells>
  <hyperlinks>
    <hyperlink ref="B20" r:id="rId1" location="National-Tariff-Payment-System" display="https://www.england.nhs.uk/pay-syst/national-tariff/national-tariff-payment-system/#National-Tariff-Payment-System" xr:uid="{07A42822-B2C2-47CD-8645-06CEF4ED32D8}"/>
    <hyperlink ref="B30" r:id="rId2" location="National-Tariff-Payment-System" xr:uid="{20EB959E-79F7-4539-9E86-3ADDF93D0860}"/>
  </hyperlinks>
  <pageMargins left="0.70866141732283472" right="0.70866141732283472" top="0.74803149606299213" bottom="0.74803149606299213" header="0.31496062992125984" footer="0.31496062992125984"/>
  <pageSetup paperSize="9" scale="35" orientation="portrait" r:id="rId3"/>
  <ignoredErrors>
    <ignoredError sqref="H15 H9 L15:Q15 S1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4"/>
  <sheetViews>
    <sheetView showGridLines="0" zoomScale="80" zoomScaleNormal="80" zoomScaleSheetLayoutView="80" workbookViewId="0">
      <selection activeCell="I43" sqref="I43"/>
    </sheetView>
  </sheetViews>
  <sheetFormatPr defaultColWidth="8.81640625" defaultRowHeight="14.5" x14ac:dyDescent="0.35"/>
  <cols>
    <col min="1" max="1" width="3.54296875" customWidth="1"/>
    <col min="2" max="2" width="53.81640625"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x14ac:dyDescent="0.35">
      <c r="B1" s="486" t="str">
        <f>'Inputs and eligible population'!B1</f>
        <v>Durvalumab with etoposide and either carboplatin or cisplatin for untreated extensive-stage small-cell lung cancer</v>
      </c>
      <c r="C1" s="142"/>
      <c r="D1" s="139"/>
      <c r="E1" s="139"/>
      <c r="F1" s="139"/>
      <c r="G1" s="139"/>
      <c r="H1" s="139"/>
      <c r="I1" s="139"/>
      <c r="J1" s="139"/>
    </row>
    <row r="2" spans="2:10" ht="30" customHeight="1" x14ac:dyDescent="0.35">
      <c r="B2" s="354" t="s">
        <v>16</v>
      </c>
      <c r="C2" s="139"/>
      <c r="E2" s="125" t="s">
        <v>744</v>
      </c>
      <c r="F2" s="125" t="s">
        <v>744</v>
      </c>
      <c r="G2" s="125" t="s">
        <v>744</v>
      </c>
      <c r="H2" s="125" t="s">
        <v>744</v>
      </c>
      <c r="I2" s="125" t="s">
        <v>744</v>
      </c>
      <c r="J2" s="139"/>
    </row>
    <row r="3" spans="2:10" x14ac:dyDescent="0.35">
      <c r="B3" s="128" t="s">
        <v>744</v>
      </c>
      <c r="C3" s="128"/>
      <c r="D3" s="131" t="s">
        <v>744</v>
      </c>
      <c r="E3" s="131" t="s">
        <v>744</v>
      </c>
      <c r="F3" s="131" t="s">
        <v>744</v>
      </c>
      <c r="G3" s="131" t="s">
        <v>744</v>
      </c>
      <c r="H3" s="131" t="s">
        <v>744</v>
      </c>
      <c r="I3" s="131" t="s">
        <v>744</v>
      </c>
      <c r="J3" s="139"/>
    </row>
    <row r="4" spans="2:10" ht="43.5" x14ac:dyDescent="0.35">
      <c r="B4" s="251" t="s">
        <v>797</v>
      </c>
      <c r="C4" s="232" t="s">
        <v>798</v>
      </c>
      <c r="D4" s="264" t="s">
        <v>676</v>
      </c>
      <c r="E4" s="264" t="s">
        <v>677</v>
      </c>
      <c r="F4" s="265" t="s">
        <v>799</v>
      </c>
      <c r="G4" s="265" t="s">
        <v>800</v>
      </c>
      <c r="H4" s="264" t="s">
        <v>801</v>
      </c>
      <c r="J4" s="139"/>
    </row>
    <row r="5" spans="2:10" s="146" customFormat="1" x14ac:dyDescent="0.35">
      <c r="B5" s="165" t="s">
        <v>802</v>
      </c>
      <c r="C5" s="126">
        <f>'Inputs and eligible population'!F42</f>
        <v>1724.2350013564651</v>
      </c>
      <c r="D5" s="126">
        <f>'Inputs and eligible population'!G42</f>
        <v>1740.8597432621111</v>
      </c>
      <c r="E5" s="126">
        <f>'Inputs and eligible population'!H42</f>
        <v>1757.6447777283493</v>
      </c>
      <c r="F5" s="126">
        <f>'Inputs and eligible population'!I42</f>
        <v>1774.5916502651862</v>
      </c>
      <c r="G5" s="126">
        <f>'Inputs and eligible population'!J42</f>
        <v>1791.7019212841387</v>
      </c>
      <c r="H5" s="126">
        <f>'Inputs and eligible population'!K42</f>
        <v>1808.9771662419116</v>
      </c>
      <c r="I5"/>
      <c r="J5" s="139"/>
    </row>
    <row r="6" spans="2:10" x14ac:dyDescent="0.35">
      <c r="B6" s="253" t="s">
        <v>1002</v>
      </c>
      <c r="C6" s="468">
        <f>'Inputs and eligible population'!E63</f>
        <v>0</v>
      </c>
      <c r="D6" s="468">
        <f>'Inputs and eligible population'!F63</f>
        <v>0.1</v>
      </c>
      <c r="E6" s="468">
        <f>'Inputs and eligible population'!G63</f>
        <v>0.2</v>
      </c>
      <c r="F6" s="468">
        <f>'Inputs and eligible population'!H63</f>
        <v>0.3</v>
      </c>
      <c r="G6" s="468">
        <f>'Inputs and eligible population'!I63</f>
        <v>0.3</v>
      </c>
      <c r="H6" s="468">
        <f>'Inputs and eligible population'!J63</f>
        <v>0.3</v>
      </c>
      <c r="J6" s="139"/>
    </row>
    <row r="7" spans="2:10" x14ac:dyDescent="0.35">
      <c r="B7" s="165" t="s">
        <v>1003</v>
      </c>
      <c r="C7" s="126">
        <f>'Financial impact (cash)'!D13</f>
        <v>0</v>
      </c>
      <c r="D7" s="126">
        <f>'Financial impact (cash)'!E13</f>
        <v>174.08597432621113</v>
      </c>
      <c r="E7" s="126">
        <f>'Financial impact (cash)'!F13</f>
        <v>351.52895554566987</v>
      </c>
      <c r="F7" s="126">
        <f>'Financial impact (cash)'!G13</f>
        <v>532.37749507955584</v>
      </c>
      <c r="G7" s="126">
        <f>'Financial impact (cash)'!H13</f>
        <v>537.51057638524162</v>
      </c>
      <c r="H7" s="126">
        <f>'Financial impact (cash)'!I13</f>
        <v>542.69314987257349</v>
      </c>
      <c r="J7" s="131"/>
    </row>
    <row r="8" spans="2:10" ht="14.5" customHeight="1" x14ac:dyDescent="0.35">
      <c r="B8" s="238"/>
      <c r="C8" s="238"/>
      <c r="D8" s="131"/>
      <c r="E8" s="131"/>
      <c r="F8" s="131"/>
      <c r="G8" s="131"/>
      <c r="H8" s="131"/>
      <c r="J8" s="131"/>
    </row>
    <row r="9" spans="2:10" ht="43.5" x14ac:dyDescent="0.35">
      <c r="B9" s="258" t="s">
        <v>803</v>
      </c>
      <c r="C9" s="232" t="s">
        <v>798</v>
      </c>
      <c r="D9" s="264" t="s">
        <v>676</v>
      </c>
      <c r="E9" s="264" t="s">
        <v>677</v>
      </c>
      <c r="F9" s="265" t="s">
        <v>799</v>
      </c>
      <c r="G9" s="265" t="s">
        <v>800</v>
      </c>
      <c r="H9" s="264" t="s">
        <v>801</v>
      </c>
      <c r="J9" s="131"/>
    </row>
    <row r="10" spans="2:10" x14ac:dyDescent="0.35">
      <c r="B10" s="322" t="s">
        <v>975</v>
      </c>
      <c r="C10" s="126">
        <f>'Inputs and eligible population'!E63*C5</f>
        <v>0</v>
      </c>
      <c r="D10" s="126">
        <f>C5*'Inputs and eligible population'!F63</f>
        <v>172.42350013564652</v>
      </c>
      <c r="E10" s="126">
        <f>E5*'Inputs and eligible population'!G63</f>
        <v>351.52895554566987</v>
      </c>
      <c r="F10" s="126">
        <f>F5*'Inputs and eligible population'!H63</f>
        <v>532.37749507955584</v>
      </c>
      <c r="G10" s="126">
        <f>G5*'Inputs and eligible population'!I63</f>
        <v>537.51057638524162</v>
      </c>
      <c r="H10" s="126">
        <f>H5*'Inputs and eligible population'!J63</f>
        <v>542.69314987257349</v>
      </c>
      <c r="J10" s="131"/>
    </row>
    <row r="11" spans="2:10" x14ac:dyDescent="0.35">
      <c r="B11" s="322" t="s">
        <v>976</v>
      </c>
      <c r="C11" s="126">
        <f>'Inputs and eligible population'!E64*C5</f>
        <v>1724.2350013564651</v>
      </c>
      <c r="D11" s="126">
        <f>C5*'Inputs and eligible population'!F64</f>
        <v>1551.8115012208186</v>
      </c>
      <c r="E11" s="126">
        <f>E5*'Inputs and eligible population'!G64</f>
        <v>1406.1158221826795</v>
      </c>
      <c r="F11" s="126">
        <f>F5*'Inputs and eligible population'!H64</f>
        <v>1242.2141551856303</v>
      </c>
      <c r="G11" s="126">
        <f>G5*'Inputs and eligible population'!I64</f>
        <v>1254.1913448988971</v>
      </c>
      <c r="H11" s="126">
        <f>H5*'Inputs and eligible population'!J64</f>
        <v>1266.2840163693381</v>
      </c>
      <c r="J11" s="131"/>
    </row>
    <row r="12" spans="2:10" x14ac:dyDescent="0.35">
      <c r="B12" s="259"/>
      <c r="C12" s="179">
        <f t="shared" ref="C12:H12" si="0">SUM(C10:C11)</f>
        <v>1724.2350013564651</v>
      </c>
      <c r="D12" s="179">
        <f t="shared" si="0"/>
        <v>1724.2350013564651</v>
      </c>
      <c r="E12" s="179">
        <f t="shared" si="0"/>
        <v>1757.6447777283493</v>
      </c>
      <c r="F12" s="179">
        <f t="shared" si="0"/>
        <v>1774.5916502651862</v>
      </c>
      <c r="G12" s="179">
        <f t="shared" si="0"/>
        <v>1791.7019212841387</v>
      </c>
      <c r="H12" s="179">
        <f t="shared" si="0"/>
        <v>1808.9771662419116</v>
      </c>
      <c r="J12" s="131"/>
    </row>
    <row r="13" spans="2:10" ht="15" thickBot="1" x14ac:dyDescent="0.4">
      <c r="B13" s="444"/>
      <c r="C13" s="444"/>
      <c r="D13" s="445"/>
      <c r="E13" s="445"/>
      <c r="F13" s="445"/>
      <c r="G13" s="445"/>
      <c r="H13" s="445"/>
      <c r="I13" s="446"/>
      <c r="J13" s="131"/>
    </row>
    <row r="14" spans="2:10" x14ac:dyDescent="0.35">
      <c r="B14" s="261"/>
      <c r="C14" s="261"/>
      <c r="D14" s="310"/>
      <c r="E14" s="310"/>
      <c r="F14" s="310"/>
      <c r="G14" s="310"/>
      <c r="H14" s="310"/>
      <c r="I14" s="131"/>
      <c r="J14" s="131"/>
    </row>
    <row r="15" spans="2:10" ht="43.5" x14ac:dyDescent="0.35">
      <c r="B15" s="254" t="s">
        <v>804</v>
      </c>
      <c r="C15" s="232" t="s">
        <v>798</v>
      </c>
      <c r="D15" s="264" t="s">
        <v>676</v>
      </c>
      <c r="E15" s="264" t="s">
        <v>677</v>
      </c>
      <c r="F15" s="265" t="s">
        <v>799</v>
      </c>
      <c r="G15" s="265" t="s">
        <v>800</v>
      </c>
      <c r="H15" s="264" t="s">
        <v>801</v>
      </c>
      <c r="I15" s="131"/>
      <c r="J15" s="131"/>
    </row>
    <row r="16" spans="2:10" x14ac:dyDescent="0.35">
      <c r="B16" s="284" t="s">
        <v>805</v>
      </c>
      <c r="C16" s="631" t="s">
        <v>806</v>
      </c>
      <c r="D16" s="631" t="s">
        <v>806</v>
      </c>
      <c r="E16" s="631" t="s">
        <v>806</v>
      </c>
      <c r="F16" s="631" t="s">
        <v>806</v>
      </c>
      <c r="G16" s="631" t="s">
        <v>806</v>
      </c>
      <c r="H16" s="631" t="s">
        <v>806</v>
      </c>
      <c r="I16" s="131"/>
      <c r="J16" s="131"/>
    </row>
    <row r="17" spans="1:10" x14ac:dyDescent="0.35">
      <c r="B17" s="260" t="s">
        <v>807</v>
      </c>
      <c r="C17" s="246">
        <f>'Financial impact (cash)'!D20</f>
        <v>0</v>
      </c>
      <c r="D17" s="246">
        <f>'Financial impact (cash)'!E20</f>
        <v>0</v>
      </c>
      <c r="E17" s="246">
        <f>'Financial impact (cash)'!F20</f>
        <v>0</v>
      </c>
      <c r="F17" s="246">
        <f>'Financial impact (cash)'!G20</f>
        <v>0</v>
      </c>
      <c r="G17" s="246">
        <f>'Financial impact (cash)'!H20</f>
        <v>0</v>
      </c>
      <c r="H17" s="246">
        <f>'Financial impact (cash)'!I20</f>
        <v>0</v>
      </c>
      <c r="I17" s="131"/>
      <c r="J17" s="131"/>
    </row>
    <row r="18" spans="1:10" x14ac:dyDescent="0.35">
      <c r="C18" s="77"/>
      <c r="D18" s="193">
        <f>D17-$C$17</f>
        <v>0</v>
      </c>
      <c r="E18" s="193">
        <f>E17-$C$17</f>
        <v>0</v>
      </c>
      <c r="F18" s="193">
        <f>F17-$C$17</f>
        <v>0</v>
      </c>
      <c r="G18" s="193">
        <f>G17-$C$17</f>
        <v>0</v>
      </c>
      <c r="H18" s="193">
        <f>H17-$C$17</f>
        <v>0</v>
      </c>
      <c r="I18" s="403" t="s">
        <v>808</v>
      </c>
      <c r="J18" s="131"/>
    </row>
    <row r="19" spans="1:10" x14ac:dyDescent="0.35">
      <c r="C19" s="87"/>
      <c r="D19" s="193">
        <f>D17-C17</f>
        <v>0</v>
      </c>
      <c r="E19" s="193">
        <f>E17-D17</f>
        <v>0</v>
      </c>
      <c r="F19" s="193">
        <f>F17-E17</f>
        <v>0</v>
      </c>
      <c r="G19" s="193">
        <f>G17-F17</f>
        <v>0</v>
      </c>
      <c r="H19" s="193">
        <f>H17-G17</f>
        <v>0</v>
      </c>
      <c r="I19" s="403" t="s">
        <v>809</v>
      </c>
      <c r="J19" s="131"/>
    </row>
    <row r="20" spans="1:10" x14ac:dyDescent="0.35">
      <c r="B20" s="261"/>
      <c r="C20" s="261"/>
      <c r="D20" s="370"/>
      <c r="E20" s="370"/>
      <c r="F20" s="370"/>
      <c r="G20" s="370"/>
      <c r="H20" s="370"/>
      <c r="J20" s="131"/>
    </row>
    <row r="21" spans="1:10" x14ac:dyDescent="0.35">
      <c r="B21" t="s">
        <v>810</v>
      </c>
      <c r="C21" s="261"/>
      <c r="D21" s="370"/>
      <c r="E21" s="370"/>
      <c r="F21" s="370"/>
      <c r="G21" s="370"/>
      <c r="H21" s="370"/>
      <c r="J21" s="131"/>
    </row>
    <row r="22" spans="1:10" x14ac:dyDescent="0.35">
      <c r="B22" s="553" t="s">
        <v>49</v>
      </c>
      <c r="C22" s="261"/>
      <c r="D22" s="370"/>
      <c r="E22" s="370"/>
      <c r="F22" s="370"/>
      <c r="G22" s="370"/>
      <c r="H22" s="370"/>
      <c r="J22" s="131"/>
    </row>
    <row r="23" spans="1:10" x14ac:dyDescent="0.35">
      <c r="B23" s="261"/>
      <c r="C23" s="261"/>
      <c r="D23" s="370"/>
      <c r="E23" s="370"/>
      <c r="F23" s="370"/>
      <c r="G23" s="370"/>
      <c r="H23" s="370"/>
      <c r="J23" s="131"/>
    </row>
    <row r="24" spans="1:10" ht="43.5" x14ac:dyDescent="0.35">
      <c r="A24" s="370"/>
      <c r="B24" s="254" t="s">
        <v>811</v>
      </c>
      <c r="C24" s="232" t="s">
        <v>798</v>
      </c>
      <c r="D24" s="264" t="s">
        <v>676</v>
      </c>
      <c r="E24" s="264" t="s">
        <v>677</v>
      </c>
      <c r="F24" s="265" t="s">
        <v>799</v>
      </c>
      <c r="G24" s="265" t="s">
        <v>800</v>
      </c>
      <c r="H24" s="264" t="s">
        <v>801</v>
      </c>
      <c r="J24" s="131"/>
    </row>
    <row r="25" spans="1:10" x14ac:dyDescent="0.35">
      <c r="A25" s="370"/>
      <c r="B25" s="284" t="s">
        <v>812</v>
      </c>
      <c r="C25" s="631" t="s">
        <v>806</v>
      </c>
      <c r="D25" s="631" t="s">
        <v>806</v>
      </c>
      <c r="E25" s="631" t="s">
        <v>806</v>
      </c>
      <c r="F25" s="631" t="s">
        <v>806</v>
      </c>
      <c r="G25" s="631" t="s">
        <v>806</v>
      </c>
      <c r="H25" s="631" t="s">
        <v>806</v>
      </c>
      <c r="J25" s="131"/>
    </row>
    <row r="26" spans="1:10" x14ac:dyDescent="0.35">
      <c r="A26" s="370"/>
      <c r="B26" s="260" t="s">
        <v>813</v>
      </c>
      <c r="C26" s="246">
        <f>IF($B$22="national prices",'Capacity (national prices)'!L11,IF($B$22="local prices",'Capacity (local prices)'!L15,0))</f>
        <v>1870.3639177214257</v>
      </c>
      <c r="D26" s="246">
        <f>IF($B$22="national prices",'Capacity (national prices)'!M11,IF($B$22="local prices",'Capacity (local prices)'!M15,0))</f>
        <v>1888.3976065035752</v>
      </c>
      <c r="E26" s="246">
        <f>IF($B$22="national prices",'Capacity (national prices)'!N11,IF($B$22="local prices",'Capacity (local prices)'!N15,0))</f>
        <v>1906.605172640827</v>
      </c>
      <c r="F26" s="246">
        <f>IF($B$22="national prices",'Capacity (national prices)'!O11,IF($B$22="local prices",'Capacity (local prices)'!O15,0))</f>
        <v>1924.9882926251607</v>
      </c>
      <c r="G26" s="246">
        <f>IF($B$22="national prices",'Capacity (national prices)'!P11,IF($B$22="local prices",'Capacity (local prices)'!P15,0))</f>
        <v>1943.5486591129693</v>
      </c>
      <c r="H26" s="246">
        <f>IF($B$22="national prices",'Capacity (national prices)'!Q11,IF($B$22="local prices",'Capacity (local prices)'!Q15,0))</f>
        <v>1962.2879810809136</v>
      </c>
      <c r="J26" s="131"/>
    </row>
    <row r="27" spans="1:10" x14ac:dyDescent="0.35">
      <c r="A27" s="370"/>
      <c r="C27" s="77"/>
      <c r="D27" s="193">
        <f>D26-$C$26</f>
        <v>18.033688782149511</v>
      </c>
      <c r="E27" s="193">
        <f>E26-$C$26</f>
        <v>36.241254919401399</v>
      </c>
      <c r="F27" s="193">
        <f>F26-$C$26</f>
        <v>54.624374903735088</v>
      </c>
      <c r="G27" s="193">
        <f>G26-$C$26</f>
        <v>73.184741391543639</v>
      </c>
      <c r="H27" s="193">
        <f>H26-$C$26</f>
        <v>91.924063359487945</v>
      </c>
      <c r="I27" s="403" t="s">
        <v>808</v>
      </c>
      <c r="J27" s="131"/>
    </row>
    <row r="28" spans="1:10" x14ac:dyDescent="0.35">
      <c r="A28" s="370"/>
      <c r="C28" s="87"/>
      <c r="D28" s="193">
        <f>D26-C26</f>
        <v>18.033688782149511</v>
      </c>
      <c r="E28" s="193">
        <f>E26-D26</f>
        <v>18.207566137251888</v>
      </c>
      <c r="F28" s="193">
        <f>F26-E26</f>
        <v>18.383119984333689</v>
      </c>
      <c r="G28" s="193">
        <f>G26-F26</f>
        <v>18.560366487808551</v>
      </c>
      <c r="H28" s="193">
        <f>H26-G26</f>
        <v>18.739321967944306</v>
      </c>
      <c r="I28" s="403" t="s">
        <v>809</v>
      </c>
      <c r="J28" s="131"/>
    </row>
    <row r="29" spans="1:10" x14ac:dyDescent="0.35">
      <c r="A29" s="370"/>
      <c r="B29" s="370"/>
      <c r="C29" s="370"/>
      <c r="D29" s="370"/>
      <c r="E29" s="370"/>
      <c r="F29" s="370"/>
      <c r="G29" s="370"/>
      <c r="H29" s="370"/>
      <c r="J29" s="131"/>
    </row>
    <row r="30" spans="1:10" ht="43.5" x14ac:dyDescent="0.35">
      <c r="A30" s="370"/>
      <c r="B30" s="254" t="s">
        <v>814</v>
      </c>
      <c r="C30" s="232" t="s">
        <v>798</v>
      </c>
      <c r="D30" s="264" t="s">
        <v>676</v>
      </c>
      <c r="E30" s="264" t="s">
        <v>677</v>
      </c>
      <c r="F30" s="265" t="s">
        <v>799</v>
      </c>
      <c r="G30" s="265" t="s">
        <v>800</v>
      </c>
      <c r="H30" s="264" t="s">
        <v>801</v>
      </c>
      <c r="J30" s="131"/>
    </row>
    <row r="31" spans="1:10" x14ac:dyDescent="0.35">
      <c r="B31" s="284"/>
      <c r="C31" s="631" t="s">
        <v>806</v>
      </c>
      <c r="D31" s="631" t="s">
        <v>806</v>
      </c>
      <c r="E31" s="631" t="s">
        <v>806</v>
      </c>
      <c r="F31" s="631" t="s">
        <v>806</v>
      </c>
      <c r="G31" s="631" t="s">
        <v>806</v>
      </c>
      <c r="H31" s="631" t="s">
        <v>806</v>
      </c>
      <c r="I31" s="131"/>
      <c r="J31" s="131"/>
    </row>
    <row r="32" spans="1:10" x14ac:dyDescent="0.35">
      <c r="B32" s="440" t="s">
        <v>815</v>
      </c>
      <c r="C32" s="460">
        <f t="shared" ref="C32:H32" si="1">C17+C26</f>
        <v>1870.3639177214257</v>
      </c>
      <c r="D32" s="460">
        <f t="shared" si="1"/>
        <v>1888.3976065035752</v>
      </c>
      <c r="E32" s="460">
        <f t="shared" si="1"/>
        <v>1906.605172640827</v>
      </c>
      <c r="F32" s="460">
        <f t="shared" si="1"/>
        <v>1924.9882926251607</v>
      </c>
      <c r="G32" s="460">
        <f t="shared" si="1"/>
        <v>1943.5486591129693</v>
      </c>
      <c r="H32" s="460">
        <f t="shared" si="1"/>
        <v>1962.2879810809136</v>
      </c>
      <c r="I32" s="131"/>
      <c r="J32" s="131"/>
    </row>
    <row r="33" spans="2:10" x14ac:dyDescent="0.35">
      <c r="B33" s="439"/>
      <c r="C33" s="441"/>
      <c r="D33" s="442">
        <f>D32-$C$32</f>
        <v>18.033688782149511</v>
      </c>
      <c r="E33" s="442">
        <f>E32-$C$32</f>
        <v>36.241254919401399</v>
      </c>
      <c r="F33" s="442">
        <f>F32-$C$32</f>
        <v>54.624374903735088</v>
      </c>
      <c r="G33" s="442">
        <f>G32-$C$32</f>
        <v>73.184741391543639</v>
      </c>
      <c r="H33" s="442">
        <f>H32-$C$32</f>
        <v>91.924063359487945</v>
      </c>
      <c r="I33" s="403" t="s">
        <v>808</v>
      </c>
      <c r="J33" s="131"/>
    </row>
    <row r="34" spans="2:10" x14ac:dyDescent="0.35">
      <c r="B34" s="439"/>
      <c r="C34" s="441"/>
      <c r="D34" s="443">
        <f>D32-C32</f>
        <v>18.033688782149511</v>
      </c>
      <c r="E34" s="443">
        <f>E32-D32</f>
        <v>18.207566137251888</v>
      </c>
      <c r="F34" s="443">
        <f>F32-E32</f>
        <v>18.383119984333689</v>
      </c>
      <c r="G34" s="443">
        <f>G32-F32</f>
        <v>18.560366487808551</v>
      </c>
      <c r="H34" s="443">
        <f>H32-G32</f>
        <v>18.739321967944306</v>
      </c>
      <c r="I34" s="403" t="s">
        <v>809</v>
      </c>
      <c r="J34" s="131"/>
    </row>
    <row r="35" spans="2:10" ht="15" thickBot="1" x14ac:dyDescent="0.4">
      <c r="B35" s="444"/>
      <c r="C35" s="444"/>
      <c r="D35" s="445"/>
      <c r="E35" s="445"/>
      <c r="F35" s="445"/>
      <c r="G35" s="445"/>
      <c r="H35" s="445"/>
      <c r="I35" s="446"/>
      <c r="J35" s="131"/>
    </row>
    <row r="36" spans="2:10" x14ac:dyDescent="0.35">
      <c r="B36" s="261"/>
      <c r="C36" s="261"/>
      <c r="D36" s="310"/>
      <c r="E36" s="310"/>
      <c r="F36" s="310"/>
      <c r="G36" s="310"/>
      <c r="H36" s="310"/>
      <c r="I36" s="131"/>
      <c r="J36" s="131"/>
    </row>
    <row r="37" spans="2:10" ht="43.5" x14ac:dyDescent="0.35">
      <c r="B37" s="254" t="s">
        <v>816</v>
      </c>
      <c r="C37" s="432"/>
      <c r="D37" s="264" t="s">
        <v>676</v>
      </c>
      <c r="E37" s="264" t="s">
        <v>677</v>
      </c>
      <c r="F37" s="265" t="s">
        <v>799</v>
      </c>
      <c r="G37" s="265" t="s">
        <v>800</v>
      </c>
      <c r="H37" s="264" t="s">
        <v>801</v>
      </c>
      <c r="I37" s="131"/>
      <c r="J37" s="131"/>
    </row>
    <row r="38" spans="2:10" x14ac:dyDescent="0.35">
      <c r="B38" s="435"/>
      <c r="C38" s="433"/>
      <c r="D38" s="434"/>
      <c r="E38" s="434"/>
      <c r="F38" s="434"/>
      <c r="G38" s="434"/>
      <c r="H38" s="434"/>
      <c r="I38" s="131"/>
      <c r="J38" s="131"/>
    </row>
    <row r="39" spans="2:10" x14ac:dyDescent="0.35">
      <c r="B39" s="254" t="s">
        <v>817</v>
      </c>
      <c r="C39" s="252"/>
      <c r="D39" s="248"/>
      <c r="E39" s="248"/>
      <c r="F39" s="248"/>
      <c r="G39" s="248"/>
      <c r="H39" s="249"/>
      <c r="I39" s="131"/>
      <c r="J39" s="131"/>
    </row>
    <row r="40" spans="2:10" x14ac:dyDescent="0.35">
      <c r="B40" s="256" t="s">
        <v>818</v>
      </c>
      <c r="C40" s="257"/>
      <c r="D40" s="179">
        <f>'Capacity (local prices)'!E36</f>
        <v>116.37319333952291</v>
      </c>
      <c r="E40" s="179">
        <f>'Capacity (local prices)'!F36</f>
        <v>233.8684346031896</v>
      </c>
      <c r="F40" s="179">
        <f>'Capacity (local prices)'!G36</f>
        <v>352.49654236104834</v>
      </c>
      <c r="G40" s="179">
        <f>'Capacity (local prices)'!H36</f>
        <v>472.26843949371687</v>
      </c>
      <c r="H40" s="179">
        <f>'Capacity (local prices)'!I36</f>
        <v>593.19515419812524</v>
      </c>
      <c r="I40" s="131"/>
      <c r="J40" s="131"/>
    </row>
    <row r="41" spans="2:10" x14ac:dyDescent="0.35">
      <c r="I41" s="131"/>
      <c r="J41" s="131"/>
    </row>
    <row r="42" spans="2:10" x14ac:dyDescent="0.35">
      <c r="B42" s="254" t="s">
        <v>819</v>
      </c>
      <c r="C42" s="255"/>
      <c r="D42" s="248"/>
      <c r="E42" s="248"/>
      <c r="F42" s="248"/>
      <c r="G42" s="248"/>
      <c r="H42" s="249"/>
      <c r="I42" s="131"/>
      <c r="J42" s="131"/>
    </row>
    <row r="43" spans="2:10" x14ac:dyDescent="0.35">
      <c r="B43" s="256" t="s">
        <v>820</v>
      </c>
      <c r="C43" s="257"/>
      <c r="D43" s="179">
        <f>'Capacity (local prices)'!E44</f>
        <v>667.48750681149977</v>
      </c>
      <c r="E43" s="179">
        <f>'Capacity (local prices)'!F44</f>
        <v>1347.2855617114401</v>
      </c>
      <c r="F43" s="179">
        <f>'Capacity (local prices)'!G44</f>
        <v>2039.5695039589691</v>
      </c>
      <c r="G43" s="179">
        <f>'Capacity (local prices)'!H44</f>
        <v>2117.4212370952037</v>
      </c>
      <c r="H43" s="179">
        <f>'Capacity (local prices)'!I44</f>
        <v>2196.0236016530707</v>
      </c>
      <c r="I43" s="131"/>
      <c r="J43" s="131"/>
    </row>
    <row r="44" spans="2:10" x14ac:dyDescent="0.35">
      <c r="B44" s="256" t="s">
        <v>821</v>
      </c>
      <c r="C44" s="257"/>
      <c r="D44" s="179">
        <f>'Capacity (local prices)'!E51</f>
        <v>58.186596669761457</v>
      </c>
      <c r="E44" s="179">
        <f>'Capacity (local prices)'!F51</f>
        <v>116.9342173015948</v>
      </c>
      <c r="F44" s="179">
        <f>'Capacity (local prices)'!G51</f>
        <v>176.24827118052417</v>
      </c>
      <c r="G44" s="179">
        <f>'Capacity (local prices)'!H51</f>
        <v>236.13421974685843</v>
      </c>
      <c r="H44" s="179">
        <f>'Capacity (local prices)'!I51</f>
        <v>296.59757709906262</v>
      </c>
      <c r="I44" s="131"/>
      <c r="J44" s="131"/>
    </row>
    <row r="45" spans="2:10" x14ac:dyDescent="0.35">
      <c r="B45" s="256" t="s">
        <v>822</v>
      </c>
      <c r="C45" s="257"/>
      <c r="D45" s="179">
        <f>'Capacity (local prices)'!E58</f>
        <v>58.186596669761457</v>
      </c>
      <c r="E45" s="179">
        <f>'Capacity (local prices)'!F58</f>
        <v>116.9342173015948</v>
      </c>
      <c r="F45" s="179">
        <f>'Capacity (local prices)'!G58</f>
        <v>176.24827118052417</v>
      </c>
      <c r="G45" s="179">
        <f>'Capacity (local prices)'!H58</f>
        <v>236.13421974685843</v>
      </c>
      <c r="H45" s="179">
        <f>'Capacity (local prices)'!I58</f>
        <v>296.59757709906262</v>
      </c>
      <c r="I45" s="131"/>
      <c r="J45" s="131"/>
    </row>
    <row r="46" spans="2:10" s="146" customFormat="1" x14ac:dyDescent="0.35">
      <c r="B46" s="826" t="s">
        <v>1009</v>
      </c>
      <c r="C46" s="827"/>
      <c r="D46" s="179">
        <f>SUM(D43:D45)</f>
        <v>783.86070015102268</v>
      </c>
      <c r="E46" s="179">
        <f>SUM(E43:E45)</f>
        <v>1581.1539963146297</v>
      </c>
      <c r="F46" s="179">
        <f>SUM(F43:F45)</f>
        <v>2392.0660463200174</v>
      </c>
      <c r="G46" s="179">
        <f>SUM(G43:G45)</f>
        <v>2589.6896765889205</v>
      </c>
      <c r="H46" s="179">
        <f>SUM(H43:H45)</f>
        <v>2789.218755851196</v>
      </c>
      <c r="I46" s="828"/>
      <c r="J46" s="828"/>
    </row>
    <row r="47" spans="2:10" x14ac:dyDescent="0.35">
      <c r="B47" s="254" t="s">
        <v>823</v>
      </c>
      <c r="C47" s="255"/>
      <c r="D47" s="248"/>
      <c r="E47" s="248"/>
      <c r="F47" s="248"/>
      <c r="G47" s="248"/>
      <c r="H47" s="249"/>
      <c r="I47" s="131"/>
      <c r="J47" s="131"/>
    </row>
    <row r="48" spans="2:10" x14ac:dyDescent="0.35">
      <c r="B48" s="317" t="s">
        <v>824</v>
      </c>
      <c r="C48" s="262"/>
      <c r="D48" s="353">
        <f>'Capacity (local prices)'!E66</f>
        <v>29.093298334880728</v>
      </c>
      <c r="E48" s="179">
        <f>'Capacity (local prices)'!F66</f>
        <v>58.4671086507974</v>
      </c>
      <c r="F48" s="179">
        <f>'Capacity (local prices)'!G66</f>
        <v>88.124135590262085</v>
      </c>
      <c r="G48" s="179">
        <f>'Capacity (local prices)'!H66</f>
        <v>118.06710987342922</v>
      </c>
      <c r="H48" s="179">
        <f>'Capacity (local prices)'!I66</f>
        <v>148.29878854953131</v>
      </c>
      <c r="I48" s="131"/>
      <c r="J48" s="131"/>
    </row>
    <row r="49" spans="2:14" x14ac:dyDescent="0.35">
      <c r="I49" s="131"/>
      <c r="J49" s="131"/>
    </row>
    <row r="50" spans="2:14" x14ac:dyDescent="0.35">
      <c r="B50" s="261"/>
      <c r="C50" s="261"/>
      <c r="D50" s="247"/>
      <c r="E50" s="247"/>
      <c r="F50" s="247"/>
      <c r="G50" s="247"/>
      <c r="H50" s="247"/>
      <c r="I50" s="131"/>
      <c r="J50" s="131"/>
    </row>
    <row r="52" spans="2:14" x14ac:dyDescent="0.35">
      <c r="D52" s="854"/>
      <c r="E52" s="855"/>
      <c r="F52" s="855"/>
      <c r="G52" s="855"/>
      <c r="H52" s="855"/>
      <c r="I52" s="855"/>
      <c r="J52" s="855"/>
      <c r="K52" s="855"/>
      <c r="L52" s="855"/>
      <c r="M52" s="855"/>
      <c r="N52" s="855"/>
    </row>
    <row r="53" spans="2:14" x14ac:dyDescent="0.35">
      <c r="D53" s="855"/>
      <c r="E53" s="855"/>
      <c r="F53" s="855"/>
      <c r="G53" s="855"/>
      <c r="H53" s="855"/>
      <c r="I53" s="855"/>
      <c r="J53" s="855"/>
      <c r="K53" s="855"/>
      <c r="L53" s="855"/>
      <c r="M53" s="855"/>
      <c r="N53" s="855"/>
    </row>
    <row r="54" spans="2:14" x14ac:dyDescent="0.35">
      <c r="D54" s="854"/>
      <c r="E54" s="855"/>
      <c r="F54" s="855"/>
      <c r="G54" s="855"/>
      <c r="H54" s="855"/>
      <c r="I54" s="855"/>
      <c r="J54" s="855"/>
      <c r="K54" s="855"/>
      <c r="L54" s="855"/>
      <c r="M54" s="855"/>
      <c r="N54" s="855"/>
    </row>
  </sheetData>
  <sheetProtection algorithmName="SHA-512" hashValue="Vd18zr/UhBH4pBITimrnI/7hp0DCsW/ZGMx19jRi7zBYiSZHpLPUWWjkIITyyEYobuwGkua8V9wTIi/c7XqR8A==" saltValue="UI9j0LKs4efreSJaY2GIRQ==" spinCount="100000" sheet="1" objects="1" scenarios="1"/>
  <protectedRanges>
    <protectedRange sqref="B22" name="Range1"/>
  </protectedRanges>
  <mergeCells count="2">
    <mergeCell ref="D52:N53"/>
    <mergeCell ref="D54:N54"/>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7"/>
  <sheetViews>
    <sheetView showGridLines="0" zoomScale="80" zoomScaleNormal="80" zoomScaleSheetLayoutView="80" workbookViewId="0">
      <selection activeCell="B19" sqref="B19"/>
    </sheetView>
  </sheetViews>
  <sheetFormatPr defaultColWidth="8.81640625" defaultRowHeight="14.5" x14ac:dyDescent="0.35"/>
  <cols>
    <col min="1" max="1" width="3.54296875" customWidth="1"/>
    <col min="2" max="2" width="50.54296875" style="1" customWidth="1"/>
    <col min="3" max="8" width="11.5429687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486" t="str">
        <f>'Inputs and eligible population'!B1</f>
        <v>Durvalumab with etoposide and either carboplatin or cisplatin for untreated extensive-stage small-cell lung cancer</v>
      </c>
      <c r="C1" s="125"/>
      <c r="D1" s="125"/>
      <c r="E1" s="125"/>
      <c r="F1" s="125"/>
      <c r="G1" s="125"/>
      <c r="H1" s="125"/>
      <c r="I1" s="125"/>
      <c r="J1" s="125"/>
      <c r="K1" s="125"/>
      <c r="L1" s="125"/>
      <c r="M1" s="125"/>
      <c r="N1" s="125"/>
      <c r="O1" s="125"/>
      <c r="P1" s="125"/>
      <c r="Q1" s="125"/>
      <c r="R1" s="125"/>
      <c r="S1" s="125"/>
      <c r="T1" s="125"/>
    </row>
    <row r="2" spans="2:34" ht="38.15" customHeight="1" x14ac:dyDescent="0.35">
      <c r="B2" s="351" t="s">
        <v>825</v>
      </c>
      <c r="C2" s="125" t="s">
        <v>744</v>
      </c>
      <c r="D2" s="125" t="s">
        <v>744</v>
      </c>
      <c r="E2" s="125" t="s">
        <v>744</v>
      </c>
      <c r="F2" s="125" t="s">
        <v>744</v>
      </c>
      <c r="G2" s="125" t="s">
        <v>744</v>
      </c>
      <c r="H2" s="125"/>
      <c r="I2" s="125" t="s">
        <v>744</v>
      </c>
      <c r="J2" s="125" t="s">
        <v>744</v>
      </c>
      <c r="K2" s="131"/>
      <c r="L2" s="125"/>
      <c r="M2" s="125"/>
      <c r="N2" s="125"/>
      <c r="O2" s="125"/>
      <c r="P2" s="125"/>
      <c r="Q2" s="125"/>
      <c r="R2" s="125"/>
      <c r="S2" s="125"/>
      <c r="T2" s="125"/>
    </row>
    <row r="3" spans="2:34" x14ac:dyDescent="0.35">
      <c r="B3" s="128" t="s">
        <v>744</v>
      </c>
      <c r="C3" s="131" t="s">
        <v>744</v>
      </c>
      <c r="D3" s="131" t="s">
        <v>744</v>
      </c>
      <c r="E3" s="131" t="s">
        <v>744</v>
      </c>
      <c r="F3" s="131" t="s">
        <v>744</v>
      </c>
      <c r="G3" s="131" t="s">
        <v>744</v>
      </c>
      <c r="H3" s="131" t="s">
        <v>744</v>
      </c>
      <c r="I3" s="131" t="s">
        <v>744</v>
      </c>
      <c r="J3" s="131" t="s">
        <v>744</v>
      </c>
      <c r="K3" s="131"/>
      <c r="L3" s="131"/>
      <c r="M3" s="131"/>
      <c r="N3" s="131"/>
      <c r="O3" s="131"/>
      <c r="P3" s="131"/>
      <c r="Q3" s="131"/>
      <c r="R3" s="131"/>
      <c r="S3" s="131"/>
      <c r="T3" s="131"/>
    </row>
    <row r="4" spans="2:34" s="236" customFormat="1" x14ac:dyDescent="0.35">
      <c r="B4" s="241" t="s">
        <v>826</v>
      </c>
      <c r="F4" s="131"/>
      <c r="G4" s="131"/>
      <c r="H4" s="131"/>
      <c r="I4" s="131"/>
      <c r="J4" s="131" t="s">
        <v>744</v>
      </c>
      <c r="K4" s="131"/>
      <c r="L4" s="131"/>
      <c r="M4" s="131"/>
      <c r="N4" s="131"/>
      <c r="O4" s="131"/>
      <c r="P4" s="131"/>
      <c r="Q4" s="131"/>
      <c r="R4" s="131"/>
      <c r="S4" s="131"/>
      <c r="T4" s="131"/>
    </row>
    <row r="5" spans="2:34" s="236" customFormat="1" x14ac:dyDescent="0.35">
      <c r="B5" s="241" t="s">
        <v>827</v>
      </c>
      <c r="F5" s="131"/>
      <c r="G5" s="131"/>
      <c r="H5" s="131"/>
      <c r="I5" s="131"/>
      <c r="J5" s="131"/>
      <c r="K5" s="131"/>
      <c r="L5" s="131"/>
      <c r="M5" s="131"/>
      <c r="N5" s="131"/>
      <c r="O5" s="131"/>
      <c r="P5" s="131"/>
      <c r="Q5" s="131"/>
      <c r="R5" s="131"/>
      <c r="S5" s="131"/>
      <c r="T5" s="131"/>
    </row>
    <row r="6" spans="2:34" s="236" customFormat="1" x14ac:dyDescent="0.35">
      <c r="B6" s="241"/>
      <c r="C6" s="131" t="s">
        <v>744</v>
      </c>
      <c r="D6" s="131" t="s">
        <v>744</v>
      </c>
      <c r="E6" s="131"/>
      <c r="F6" s="131"/>
      <c r="G6" s="131"/>
      <c r="H6" s="131"/>
      <c r="I6" s="131" t="s">
        <v>744</v>
      </c>
      <c r="J6" s="131" t="s">
        <v>744</v>
      </c>
      <c r="K6" s="131"/>
      <c r="L6" s="131"/>
      <c r="M6" s="131"/>
      <c r="N6" s="131"/>
      <c r="O6" s="131"/>
      <c r="P6" s="131"/>
      <c r="Q6" s="131"/>
      <c r="R6" s="131"/>
      <c r="S6" s="131"/>
      <c r="T6" s="131"/>
    </row>
    <row r="7" spans="2:34" s="236" customFormat="1" ht="43.5" x14ac:dyDescent="0.35">
      <c r="B7" s="251" t="s">
        <v>802</v>
      </c>
      <c r="C7" s="263"/>
      <c r="D7" s="382" t="s">
        <v>828</v>
      </c>
      <c r="E7" s="264" t="s">
        <v>676</v>
      </c>
      <c r="F7" s="264" t="s">
        <v>677</v>
      </c>
      <c r="G7" s="265" t="s">
        <v>799</v>
      </c>
      <c r="H7" s="265" t="s">
        <v>800</v>
      </c>
      <c r="I7" s="264" t="s">
        <v>801</v>
      </c>
      <c r="K7" s="131"/>
      <c r="L7" s="131"/>
      <c r="N7" s="131"/>
      <c r="O7" s="131"/>
      <c r="P7" s="131"/>
      <c r="Q7" s="131"/>
      <c r="R7" s="131"/>
      <c r="S7" s="131"/>
      <c r="T7" s="131"/>
    </row>
    <row r="8" spans="2:34" s="146" customFormat="1" x14ac:dyDescent="0.35">
      <c r="B8" s="219" t="s">
        <v>802</v>
      </c>
      <c r="C8" s="180"/>
      <c r="D8" s="179">
        <f>'Inputs and eligible population'!F42</f>
        <v>1724.2350013564651</v>
      </c>
      <c r="E8" s="179">
        <f>'Inputs and eligible population'!G42</f>
        <v>1740.8597432621111</v>
      </c>
      <c r="F8" s="179">
        <f>'Inputs and eligible population'!H42</f>
        <v>1757.6447777283493</v>
      </c>
      <c r="G8" s="179">
        <f>'Inputs and eligible population'!I42</f>
        <v>1774.5916502651862</v>
      </c>
      <c r="H8" s="179">
        <f>'Inputs and eligible population'!J42</f>
        <v>1791.7019212841387</v>
      </c>
      <c r="I8" s="179">
        <f>'Inputs and eligible population'!K42</f>
        <v>1808.9771662419116</v>
      </c>
      <c r="K8" s="131"/>
      <c r="L8" s="131"/>
    </row>
    <row r="9" spans="2:34" s="236" customFormat="1" x14ac:dyDescent="0.35">
      <c r="B9" s="238" t="s">
        <v>744</v>
      </c>
      <c r="C9" s="131" t="s">
        <v>744</v>
      </c>
      <c r="D9" s="131" t="s">
        <v>744</v>
      </c>
      <c r="E9" s="131" t="s">
        <v>744</v>
      </c>
      <c r="F9" s="131" t="s">
        <v>744</v>
      </c>
      <c r="G9" s="131" t="s">
        <v>744</v>
      </c>
      <c r="H9" s="131"/>
      <c r="I9" s="131"/>
      <c r="K9" s="131"/>
      <c r="L9" s="131"/>
      <c r="N9" s="131"/>
      <c r="O9" s="131"/>
      <c r="P9" s="131"/>
      <c r="Q9" s="131"/>
      <c r="R9" s="131"/>
      <c r="S9" s="131"/>
      <c r="T9" s="131"/>
      <c r="AD9" s="266"/>
      <c r="AE9" s="266"/>
      <c r="AF9" s="266"/>
      <c r="AG9" s="266"/>
      <c r="AH9" s="266"/>
    </row>
    <row r="10" spans="2:34" s="236" customFormat="1" x14ac:dyDescent="0.35">
      <c r="B10" s="313" t="s">
        <v>805</v>
      </c>
      <c r="C10" s="314"/>
      <c r="D10" s="315"/>
      <c r="E10" s="315"/>
      <c r="F10" s="315"/>
      <c r="G10" s="315"/>
      <c r="H10" s="315"/>
      <c r="I10" s="316"/>
      <c r="K10" s="131"/>
      <c r="L10" s="131"/>
      <c r="N10" s="131"/>
      <c r="O10" s="131"/>
      <c r="P10" s="131"/>
      <c r="Q10" s="131"/>
      <c r="R10" s="131"/>
      <c r="S10" s="131"/>
      <c r="T10" s="131"/>
    </row>
    <row r="11" spans="2:34" s="236" customFormat="1" x14ac:dyDescent="0.35">
      <c r="B11" s="238"/>
      <c r="C11" s="131"/>
      <c r="D11" s="131"/>
      <c r="E11" s="131"/>
      <c r="F11" s="131"/>
      <c r="G11" s="131"/>
      <c r="H11" s="131"/>
      <c r="I11" s="131"/>
      <c r="N11" s="131"/>
      <c r="O11" s="131"/>
      <c r="P11" s="131"/>
      <c r="Q11" s="131"/>
      <c r="R11" s="131"/>
      <c r="S11" s="131"/>
      <c r="T11" s="131"/>
      <c r="AD11" s="266"/>
      <c r="AE11" s="266"/>
      <c r="AF11" s="266"/>
      <c r="AG11" s="266"/>
      <c r="AH11" s="266"/>
    </row>
    <row r="12" spans="2:34" s="236" customFormat="1" x14ac:dyDescent="0.35">
      <c r="B12" s="272" t="s">
        <v>829</v>
      </c>
      <c r="C12" s="267"/>
      <c r="D12" s="181"/>
      <c r="E12" s="181"/>
      <c r="F12" s="181"/>
      <c r="G12" s="181"/>
      <c r="H12" s="181"/>
      <c r="I12" s="182"/>
      <c r="N12" s="131"/>
      <c r="O12" s="131"/>
      <c r="P12" s="131"/>
      <c r="Q12" s="131"/>
      <c r="R12" s="131"/>
      <c r="S12" s="131"/>
      <c r="T12" s="131"/>
    </row>
    <row r="13" spans="2:34" s="236" customFormat="1" x14ac:dyDescent="0.35">
      <c r="B13" s="323" t="s">
        <v>975</v>
      </c>
      <c r="C13" s="324"/>
      <c r="D13" s="268">
        <f>'Inputs and eligible population'!L63</f>
        <v>0</v>
      </c>
      <c r="E13" s="268">
        <f>'Inputs and eligible population'!M63</f>
        <v>174.08597432621113</v>
      </c>
      <c r="F13" s="268">
        <f>'Inputs and eligible population'!N63</f>
        <v>351.52895554566987</v>
      </c>
      <c r="G13" s="268">
        <f>'Inputs and eligible population'!O63</f>
        <v>532.37749507955584</v>
      </c>
      <c r="H13" s="268">
        <f>'Inputs and eligible population'!P63</f>
        <v>537.51057638524162</v>
      </c>
      <c r="I13" s="268">
        <f>'Inputs and eligible population'!Q63</f>
        <v>542.69314987257349</v>
      </c>
      <c r="N13" s="131"/>
      <c r="O13" s="131"/>
      <c r="P13" s="131"/>
      <c r="Q13" s="131"/>
      <c r="R13" s="131"/>
      <c r="S13" s="131"/>
      <c r="T13" s="131"/>
      <c r="V13" s="266"/>
      <c r="W13" s="266"/>
      <c r="X13" s="266"/>
      <c r="Y13" s="266"/>
      <c r="Z13" s="266"/>
      <c r="AA13" s="266"/>
      <c r="AC13" s="266"/>
      <c r="AD13" s="266"/>
      <c r="AE13" s="266"/>
      <c r="AF13" s="266"/>
      <c r="AG13" s="266"/>
      <c r="AH13" s="266"/>
    </row>
    <row r="14" spans="2:34" s="236" customFormat="1" x14ac:dyDescent="0.35">
      <c r="B14" s="323" t="s">
        <v>976</v>
      </c>
      <c r="C14" s="325"/>
      <c r="D14" s="268">
        <f>'Inputs and eligible population'!L64</f>
        <v>1724.2350013564651</v>
      </c>
      <c r="E14" s="268">
        <f>'Inputs and eligible population'!M64</f>
        <v>1566.7737689359001</v>
      </c>
      <c r="F14" s="268">
        <f>'Inputs and eligible population'!N64</f>
        <v>1406.1158221826795</v>
      </c>
      <c r="G14" s="268">
        <f>'Inputs and eligible population'!O64</f>
        <v>1242.2141551856303</v>
      </c>
      <c r="H14" s="268">
        <f>'Inputs and eligible population'!P64</f>
        <v>1254.1913448988971</v>
      </c>
      <c r="I14" s="268">
        <f>'Inputs and eligible population'!Q64</f>
        <v>1266.2840163693381</v>
      </c>
      <c r="N14" s="131"/>
      <c r="O14" s="131"/>
      <c r="P14" s="131"/>
      <c r="Q14" s="131"/>
      <c r="R14" s="131"/>
      <c r="S14" s="131"/>
      <c r="T14" s="131"/>
      <c r="V14" s="266"/>
      <c r="W14" s="266"/>
      <c r="X14" s="266"/>
      <c r="Y14" s="266"/>
      <c r="Z14" s="266"/>
      <c r="AA14" s="266"/>
      <c r="AC14" s="266"/>
      <c r="AD14" s="266"/>
      <c r="AE14" s="266"/>
      <c r="AF14" s="266"/>
      <c r="AG14" s="266"/>
      <c r="AH14" s="266"/>
    </row>
    <row r="15" spans="2:34" s="236" customFormat="1" x14ac:dyDescent="0.35">
      <c r="B15" s="273"/>
      <c r="C15" s="183"/>
      <c r="D15" s="184">
        <f t="shared" ref="D15:I15" si="0">SUM(D13:D14)</f>
        <v>1724.2350013564651</v>
      </c>
      <c r="E15" s="184">
        <f t="shared" si="0"/>
        <v>1740.8597432621111</v>
      </c>
      <c r="F15" s="184">
        <f t="shared" si="0"/>
        <v>1757.6447777283493</v>
      </c>
      <c r="G15" s="184">
        <f t="shared" si="0"/>
        <v>1774.5916502651862</v>
      </c>
      <c r="H15" s="184">
        <f t="shared" si="0"/>
        <v>1791.7019212841387</v>
      </c>
      <c r="I15" s="184">
        <f t="shared" si="0"/>
        <v>1808.9771662419116</v>
      </c>
      <c r="N15" s="131"/>
      <c r="O15" s="131"/>
      <c r="P15" s="131"/>
      <c r="Q15" s="131"/>
      <c r="R15" s="131"/>
      <c r="S15" s="131"/>
      <c r="T15" s="131"/>
      <c r="V15" s="266"/>
      <c r="W15" s="266"/>
      <c r="X15" s="266"/>
      <c r="Y15" s="266"/>
      <c r="Z15" s="266"/>
      <c r="AA15" s="266"/>
      <c r="AC15" s="266"/>
      <c r="AD15" s="266"/>
      <c r="AE15" s="266"/>
      <c r="AF15" s="266"/>
      <c r="AG15" s="266"/>
      <c r="AH15" s="266"/>
    </row>
    <row r="16" spans="2:34" s="236" customFormat="1" x14ac:dyDescent="0.35">
      <c r="B16" s="274"/>
      <c r="C16" s="131"/>
      <c r="D16" s="131"/>
      <c r="E16" s="131"/>
      <c r="F16" s="131"/>
      <c r="G16" s="131"/>
      <c r="H16" s="131"/>
      <c r="I16" s="131"/>
      <c r="N16" s="131"/>
      <c r="O16" s="131"/>
      <c r="P16" s="131"/>
      <c r="Q16" s="131"/>
      <c r="R16" s="131"/>
      <c r="S16" s="131"/>
      <c r="T16" s="131"/>
      <c r="AD16" s="266"/>
      <c r="AE16" s="266"/>
      <c r="AF16" s="266"/>
      <c r="AG16" s="266"/>
      <c r="AH16" s="266"/>
    </row>
    <row r="17" spans="2:34" s="236" customFormat="1" x14ac:dyDescent="0.35">
      <c r="B17" s="275" t="s">
        <v>830</v>
      </c>
      <c r="C17" s="269" t="s">
        <v>831</v>
      </c>
      <c r="D17" s="631" t="s">
        <v>806</v>
      </c>
      <c r="E17" s="631" t="s">
        <v>806</v>
      </c>
      <c r="F17" s="631" t="s">
        <v>806</v>
      </c>
      <c r="G17" s="631" t="s">
        <v>806</v>
      </c>
      <c r="H17" s="631" t="s">
        <v>806</v>
      </c>
      <c r="I17" s="631" t="s">
        <v>806</v>
      </c>
      <c r="N17" s="131"/>
      <c r="O17" s="131"/>
      <c r="P17" s="131"/>
      <c r="Q17" s="131"/>
      <c r="R17" s="131"/>
      <c r="S17" s="131"/>
      <c r="T17" s="131"/>
      <c r="AD17" s="266"/>
      <c r="AE17" s="266"/>
      <c r="AF17" s="266"/>
      <c r="AG17" s="266"/>
      <c r="AH17" s="266"/>
    </row>
    <row r="18" spans="2:34" s="236" customFormat="1" x14ac:dyDescent="0.35">
      <c r="B18" s="323" t="s">
        <v>975</v>
      </c>
      <c r="C18" s="270">
        <f>'Unit costs'!S12</f>
        <v>0</v>
      </c>
      <c r="D18" s="270">
        <f t="shared" ref="D18:I19" si="1">D13*$C18/1000</f>
        <v>0</v>
      </c>
      <c r="E18" s="270">
        <f t="shared" si="1"/>
        <v>0</v>
      </c>
      <c r="F18" s="270">
        <f t="shared" si="1"/>
        <v>0</v>
      </c>
      <c r="G18" s="270">
        <f t="shared" si="1"/>
        <v>0</v>
      </c>
      <c r="H18" s="270">
        <f t="shared" si="1"/>
        <v>0</v>
      </c>
      <c r="I18" s="270">
        <f t="shared" si="1"/>
        <v>0</v>
      </c>
      <c r="N18" s="131"/>
      <c r="O18" s="131"/>
      <c r="P18" s="131"/>
      <c r="Q18" s="131"/>
      <c r="R18" s="131"/>
      <c r="S18" s="131"/>
      <c r="T18" s="131"/>
      <c r="AD18" s="266"/>
      <c r="AE18" s="266"/>
      <c r="AF18" s="266"/>
      <c r="AG18" s="266"/>
      <c r="AH18" s="266"/>
    </row>
    <row r="19" spans="2:34" s="236" customFormat="1" x14ac:dyDescent="0.35">
      <c r="B19" s="323" t="s">
        <v>976</v>
      </c>
      <c r="C19" s="270">
        <f>'Unit costs'!S18</f>
        <v>0</v>
      </c>
      <c r="D19" s="270">
        <f t="shared" si="1"/>
        <v>0</v>
      </c>
      <c r="E19" s="270">
        <f t="shared" si="1"/>
        <v>0</v>
      </c>
      <c r="F19" s="270">
        <f t="shared" si="1"/>
        <v>0</v>
      </c>
      <c r="G19" s="270">
        <f t="shared" si="1"/>
        <v>0</v>
      </c>
      <c r="H19" s="270">
        <f t="shared" si="1"/>
        <v>0</v>
      </c>
      <c r="I19" s="270">
        <f t="shared" si="1"/>
        <v>0</v>
      </c>
      <c r="N19" s="131"/>
      <c r="O19" s="131"/>
      <c r="P19" s="131"/>
      <c r="Q19" s="131"/>
      <c r="R19" s="131"/>
      <c r="S19" s="131"/>
      <c r="T19" s="131"/>
      <c r="AD19" s="266"/>
      <c r="AE19" s="266"/>
      <c r="AF19" s="266"/>
      <c r="AG19" s="266"/>
      <c r="AH19" s="266"/>
    </row>
    <row r="20" spans="2:34" s="236" customFormat="1" x14ac:dyDescent="0.35">
      <c r="B20" s="273" t="s">
        <v>832</v>
      </c>
      <c r="C20" s="588"/>
      <c r="D20" s="185">
        <f t="shared" ref="D20:I20" si="2">SUM(D18:D19)</f>
        <v>0</v>
      </c>
      <c r="E20" s="185">
        <f t="shared" si="2"/>
        <v>0</v>
      </c>
      <c r="F20" s="185">
        <f t="shared" si="2"/>
        <v>0</v>
      </c>
      <c r="G20" s="185">
        <f t="shared" si="2"/>
        <v>0</v>
      </c>
      <c r="H20" s="186">
        <f t="shared" si="2"/>
        <v>0</v>
      </c>
      <c r="I20" s="185">
        <f t="shared" si="2"/>
        <v>0</v>
      </c>
      <c r="J20" s="333"/>
      <c r="N20" s="131"/>
      <c r="O20" s="131"/>
      <c r="P20" s="131"/>
      <c r="Q20" s="131"/>
      <c r="R20" s="131"/>
      <c r="S20" s="131"/>
      <c r="T20" s="131"/>
      <c r="AD20" s="266"/>
      <c r="AE20" s="266"/>
      <c r="AF20" s="266"/>
      <c r="AG20" s="266"/>
      <c r="AH20" s="266"/>
    </row>
    <row r="21" spans="2:34" s="236" customFormat="1" x14ac:dyDescent="0.35">
      <c r="B21" s="274"/>
      <c r="C21" s="131"/>
      <c r="D21" s="131"/>
      <c r="E21" s="131"/>
      <c r="F21" s="131"/>
      <c r="G21" s="131"/>
      <c r="H21" s="131"/>
      <c r="I21" s="131"/>
      <c r="N21" s="131"/>
      <c r="O21" s="131"/>
      <c r="P21" s="131"/>
      <c r="Q21" s="131"/>
      <c r="R21" s="131"/>
      <c r="S21" s="131"/>
      <c r="T21" s="131"/>
      <c r="AD21" s="266"/>
      <c r="AE21" s="266"/>
      <c r="AF21" s="266"/>
      <c r="AG21" s="266"/>
      <c r="AH21" s="266"/>
    </row>
    <row r="22" spans="2:34" s="236" customFormat="1" x14ac:dyDescent="0.35">
      <c r="B22" s="352"/>
      <c r="C22" s="271"/>
      <c r="D22" s="332" t="s">
        <v>808</v>
      </c>
      <c r="E22" s="185">
        <f>E20-$D$20</f>
        <v>0</v>
      </c>
      <c r="F22" s="185">
        <f>F20-$D$20</f>
        <v>0</v>
      </c>
      <c r="G22" s="185">
        <f>G20-$D$20</f>
        <v>0</v>
      </c>
      <c r="H22" s="185">
        <f>H20-$D$20</f>
        <v>0</v>
      </c>
      <c r="I22" s="185">
        <f>I20-$D$20</f>
        <v>0</v>
      </c>
      <c r="N22" s="131"/>
      <c r="O22" s="131"/>
      <c r="P22" s="131"/>
      <c r="Q22" s="131"/>
      <c r="R22" s="131"/>
      <c r="S22" s="131"/>
      <c r="T22" s="131"/>
      <c r="AD22" s="266"/>
      <c r="AE22" s="266"/>
      <c r="AF22" s="266"/>
      <c r="AG22" s="266"/>
      <c r="AH22" s="266"/>
    </row>
    <row r="23" spans="2:34" s="236" customFormat="1" x14ac:dyDescent="0.35">
      <c r="B23" s="352"/>
      <c r="C23" s="271"/>
      <c r="D23" s="277" t="s">
        <v>833</v>
      </c>
      <c r="E23" s="185">
        <f>E22</f>
        <v>0</v>
      </c>
      <c r="F23" s="187">
        <f>F22-E22</f>
        <v>0</v>
      </c>
      <c r="G23" s="187">
        <f>G22-F22</f>
        <v>0</v>
      </c>
      <c r="H23" s="187">
        <f>H22-G22</f>
        <v>0</v>
      </c>
      <c r="I23" s="187">
        <f>I22-H22</f>
        <v>0</v>
      </c>
      <c r="J23" s="131"/>
      <c r="K23" s="131"/>
      <c r="L23" s="131"/>
      <c r="M23" s="131"/>
      <c r="N23" s="131"/>
      <c r="O23" s="131"/>
      <c r="P23" s="131"/>
      <c r="Q23" s="131"/>
      <c r="R23" s="131"/>
      <c r="S23" s="131"/>
      <c r="T23" s="131"/>
      <c r="AD23" s="266"/>
      <c r="AE23" s="266"/>
      <c r="AF23" s="266"/>
      <c r="AG23" s="266"/>
      <c r="AH23" s="266"/>
    </row>
    <row r="25" spans="2:34" x14ac:dyDescent="0.35">
      <c r="J25" s="236"/>
      <c r="K25" s="236"/>
    </row>
    <row r="26" spans="2:34" x14ac:dyDescent="0.35">
      <c r="J26" s="236"/>
      <c r="K26" s="236"/>
    </row>
    <row r="27" spans="2:34" x14ac:dyDescent="0.35">
      <c r="J27" s="236"/>
      <c r="K27" s="236"/>
    </row>
  </sheetData>
  <sheetProtection algorithmName="SHA-512" hashValue="Y8x4P7WGrJ58k5qT7jZsbEeDmd6vj+IZJ2IO2BVOGY6C2oToef9A9+HERaJjtpg/iJt8XPpYhiy6/dkWZfqc4A==" saltValue="fM1zd5gnbUPABHwZdR1kS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72"/>
  <sheetViews>
    <sheetView showGridLines="0" zoomScale="80" zoomScaleNormal="80" zoomScaleSheetLayoutView="30" workbookViewId="0">
      <selection activeCell="B19" sqref="B19"/>
    </sheetView>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86" t="str">
        <f>'Inputs and eligible population'!B1</f>
        <v>Durvalumab with etoposide and either carboplatin or cisplatin for untreated extensive-stage small-cell lung cancer</v>
      </c>
      <c r="C1" s="125"/>
      <c r="D1" s="125"/>
      <c r="F1" s="125"/>
      <c r="G1" s="125"/>
      <c r="H1" s="125"/>
      <c r="I1" s="125"/>
      <c r="J1" s="125"/>
      <c r="K1" s="125"/>
      <c r="L1" s="125"/>
      <c r="M1" s="125"/>
      <c r="N1" s="125"/>
      <c r="O1" s="125"/>
      <c r="P1" s="125"/>
      <c r="R1" s="125"/>
      <c r="S1" s="125"/>
      <c r="T1" s="125"/>
      <c r="U1" s="125"/>
      <c r="V1" s="125"/>
      <c r="W1" s="125"/>
      <c r="X1" s="125"/>
      <c r="Y1" s="125"/>
      <c r="Z1" s="125"/>
    </row>
    <row r="2" spans="1:40" ht="42.65" customHeight="1" x14ac:dyDescent="0.35">
      <c r="B2" s="212" t="s">
        <v>834</v>
      </c>
      <c r="C2" s="125" t="s">
        <v>744</v>
      </c>
      <c r="D2" s="125" t="s">
        <v>744</v>
      </c>
      <c r="E2" s="438"/>
      <c r="F2" s="125" t="s">
        <v>744</v>
      </c>
      <c r="G2" s="125" t="s">
        <v>744</v>
      </c>
      <c r="H2" s="125" t="s">
        <v>744</v>
      </c>
      <c r="I2" s="125" t="s">
        <v>744</v>
      </c>
      <c r="J2" s="125"/>
      <c r="K2" s="125"/>
      <c r="L2" s="125"/>
      <c r="M2" s="125"/>
      <c r="N2" s="125"/>
      <c r="O2" s="125"/>
      <c r="P2" s="125"/>
      <c r="Q2" s="125"/>
      <c r="R2" s="125"/>
      <c r="S2" s="125"/>
      <c r="T2" s="125"/>
      <c r="U2" s="125"/>
      <c r="V2" s="125"/>
      <c r="W2" s="125"/>
      <c r="X2" s="125"/>
      <c r="Y2" s="125"/>
      <c r="Z2" s="125"/>
    </row>
    <row r="3" spans="1:40" ht="14.5" customHeight="1" x14ac:dyDescent="0.35">
      <c r="B3" s="128" t="s">
        <v>744</v>
      </c>
      <c r="C3" s="131" t="s">
        <v>744</v>
      </c>
      <c r="D3" s="131" t="s">
        <v>744</v>
      </c>
      <c r="F3" s="131" t="s">
        <v>744</v>
      </c>
      <c r="G3" s="131" t="s">
        <v>744</v>
      </c>
      <c r="H3" s="131" t="s">
        <v>744</v>
      </c>
      <c r="I3" s="131" t="s">
        <v>744</v>
      </c>
      <c r="J3" s="125"/>
      <c r="K3" s="125"/>
      <c r="L3" s="125"/>
      <c r="M3" s="125"/>
      <c r="N3" s="125"/>
      <c r="O3" s="125"/>
      <c r="P3" s="125"/>
      <c r="Q3" s="131"/>
      <c r="R3" s="131"/>
      <c r="S3" s="131"/>
      <c r="T3" s="131"/>
      <c r="U3" s="131"/>
      <c r="V3" s="131"/>
      <c r="W3" s="131"/>
      <c r="X3" s="131"/>
      <c r="Y3" s="131"/>
      <c r="Z3" s="131"/>
    </row>
    <row r="4" spans="1:40" ht="14.5" customHeight="1" x14ac:dyDescent="0.35">
      <c r="B4" t="s">
        <v>835</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5" customHeight="1" x14ac:dyDescent="0.35">
      <c r="B5" s="5"/>
      <c r="F5" s="131"/>
      <c r="G5" s="131"/>
      <c r="H5" s="131"/>
      <c r="I5" s="131"/>
      <c r="J5" s="131"/>
      <c r="K5" s="131"/>
      <c r="L5" s="131"/>
      <c r="M5" s="131"/>
      <c r="N5" s="131"/>
      <c r="O5" s="131"/>
      <c r="P5" s="131"/>
      <c r="Q5" s="131"/>
      <c r="R5" s="131"/>
      <c r="S5" s="131"/>
      <c r="T5" s="131"/>
      <c r="U5" s="131"/>
      <c r="V5" s="131"/>
      <c r="W5" s="131"/>
      <c r="X5" s="131"/>
      <c r="Y5" s="131"/>
      <c r="Z5" s="131"/>
    </row>
    <row r="6" spans="1:40" ht="43.5" x14ac:dyDescent="0.35">
      <c r="B6" s="251" t="s">
        <v>802</v>
      </c>
      <c r="C6" s="207"/>
      <c r="D6" s="382" t="s">
        <v>828</v>
      </c>
      <c r="E6" s="249" t="s">
        <v>676</v>
      </c>
      <c r="F6" s="249" t="s">
        <v>677</v>
      </c>
      <c r="G6" s="163" t="s">
        <v>799</v>
      </c>
      <c r="H6" s="163" t="s">
        <v>800</v>
      </c>
      <c r="I6" s="249" t="s">
        <v>801</v>
      </c>
      <c r="L6" s="382" t="s">
        <v>828</v>
      </c>
      <c r="M6" s="249" t="s">
        <v>676</v>
      </c>
      <c r="N6" s="249" t="s">
        <v>677</v>
      </c>
      <c r="O6" s="163" t="s">
        <v>799</v>
      </c>
      <c r="P6" s="163" t="s">
        <v>800</v>
      </c>
      <c r="Q6" s="249" t="s">
        <v>801</v>
      </c>
      <c r="R6" s="131"/>
      <c r="S6" s="131"/>
      <c r="T6" s="131"/>
      <c r="U6" s="131"/>
      <c r="V6" s="131"/>
      <c r="W6" s="131"/>
      <c r="X6" s="131"/>
      <c r="Y6" s="131"/>
      <c r="Z6" s="131"/>
      <c r="AJ6" s="279"/>
      <c r="AK6" s="279"/>
      <c r="AL6" s="279"/>
      <c r="AM6" s="279"/>
      <c r="AN6" s="279"/>
    </row>
    <row r="7" spans="1:40" x14ac:dyDescent="0.35">
      <c r="B7" s="219" t="s">
        <v>802</v>
      </c>
      <c r="C7" s="166"/>
      <c r="D7" s="353">
        <f>'Inputs and eligible population'!F42</f>
        <v>1724.2350013564651</v>
      </c>
      <c r="E7" s="353">
        <f>'Inputs and eligible population'!G42</f>
        <v>1740.8597432621111</v>
      </c>
      <c r="F7" s="353">
        <f>'Inputs and eligible population'!H42</f>
        <v>1757.6447777283493</v>
      </c>
      <c r="G7" s="353">
        <f>'Inputs and eligible population'!I42</f>
        <v>1774.5916502651862</v>
      </c>
      <c r="H7" s="353">
        <f>'Inputs and eligible population'!J42</f>
        <v>1791.7019212841387</v>
      </c>
      <c r="I7" s="353">
        <f>'Inputs and eligible population'!K42</f>
        <v>1808.9771662419116</v>
      </c>
      <c r="P7" s="131"/>
      <c r="Q7" s="131"/>
      <c r="R7" s="131"/>
      <c r="S7" s="131"/>
      <c r="T7" s="131"/>
      <c r="U7" s="131"/>
      <c r="V7" s="131"/>
      <c r="W7" s="131"/>
      <c r="X7" s="131"/>
      <c r="Y7" s="131"/>
      <c r="Z7" s="131"/>
      <c r="AJ7" s="279"/>
      <c r="AK7" s="279"/>
      <c r="AL7" s="279"/>
      <c r="AM7" s="279"/>
      <c r="AN7" s="279"/>
    </row>
    <row r="8" spans="1:40" x14ac:dyDescent="0.35">
      <c r="B8"/>
      <c r="P8" s="131"/>
      <c r="Q8" s="131"/>
      <c r="R8" s="131"/>
      <c r="S8" s="131"/>
      <c r="T8" s="131"/>
      <c r="U8" s="131"/>
      <c r="V8" s="131"/>
      <c r="W8" s="131"/>
      <c r="X8" s="131"/>
      <c r="Y8" s="131"/>
      <c r="Z8" s="131"/>
      <c r="AJ8" s="279"/>
      <c r="AK8" s="279"/>
      <c r="AL8" s="279"/>
      <c r="AM8" s="279"/>
      <c r="AN8" s="279"/>
    </row>
    <row r="9" spans="1:40" x14ac:dyDescent="0.35">
      <c r="B9" s="272" t="s">
        <v>836</v>
      </c>
      <c r="C9" s="390"/>
      <c r="D9" s="390"/>
      <c r="E9" s="391"/>
      <c r="F9" s="390"/>
      <c r="G9" s="392"/>
      <c r="H9" s="393"/>
      <c r="I9" s="501"/>
      <c r="L9" s="631" t="s">
        <v>806</v>
      </c>
      <c r="M9" s="631" t="s">
        <v>806</v>
      </c>
      <c r="N9" s="631" t="s">
        <v>806</v>
      </c>
      <c r="O9" s="631" t="s">
        <v>806</v>
      </c>
      <c r="P9" s="631" t="s">
        <v>806</v>
      </c>
      <c r="Q9" s="631" t="s">
        <v>806</v>
      </c>
      <c r="R9" s="131"/>
      <c r="S9" s="131"/>
      <c r="T9" s="131"/>
      <c r="U9" s="131"/>
      <c r="V9" s="131"/>
      <c r="W9" s="131"/>
      <c r="X9" s="131"/>
      <c r="Y9" s="131"/>
      <c r="Z9" s="131"/>
      <c r="AJ9" s="279"/>
      <c r="AK9" s="279"/>
      <c r="AL9" s="279"/>
      <c r="AM9" s="279"/>
      <c r="AN9" s="279"/>
    </row>
    <row r="10" spans="1:40" x14ac:dyDescent="0.35">
      <c r="A10" s="286"/>
      <c r="B10" s="818" t="s">
        <v>841</v>
      </c>
      <c r="C10" s="378"/>
      <c r="D10" s="377">
        <f t="shared" ref="D10:I10" si="0">D35</f>
        <v>12069.645009495256</v>
      </c>
      <c r="E10" s="377">
        <f t="shared" si="0"/>
        <v>12186.018202834779</v>
      </c>
      <c r="F10" s="377">
        <f t="shared" si="0"/>
        <v>12303.513444098446</v>
      </c>
      <c r="G10" s="377">
        <f t="shared" si="0"/>
        <v>12422.141551856304</v>
      </c>
      <c r="H10" s="377">
        <f t="shared" si="0"/>
        <v>12541.913448988973</v>
      </c>
      <c r="I10" s="377">
        <f t="shared" si="0"/>
        <v>12662.840163693381</v>
      </c>
      <c r="L10" s="205"/>
      <c r="M10" s="205"/>
      <c r="N10" s="205"/>
      <c r="O10" s="205"/>
      <c r="P10" s="376"/>
      <c r="Q10" s="376"/>
      <c r="R10" s="131"/>
      <c r="S10" s="131"/>
      <c r="T10" s="131"/>
      <c r="U10" s="131"/>
      <c r="V10" s="131"/>
      <c r="W10" s="131"/>
      <c r="X10" s="131"/>
      <c r="Y10" s="131"/>
      <c r="Z10" s="131"/>
      <c r="AJ10" s="279"/>
      <c r="AK10" s="279"/>
      <c r="AL10" s="279"/>
      <c r="AM10" s="279"/>
      <c r="AN10" s="279"/>
    </row>
    <row r="11" spans="1:40" x14ac:dyDescent="0.35">
      <c r="A11" s="280"/>
      <c r="B11" s="394" t="str">
        <f>B39</f>
        <v>Administrations - duration of administrations (hours)</v>
      </c>
      <c r="C11" s="396"/>
      <c r="D11" s="379">
        <f t="shared" ref="D11:I11" si="1">D43</f>
        <v>6034.822504747628</v>
      </c>
      <c r="E11" s="379">
        <f t="shared" si="1"/>
        <v>6702.3100115591278</v>
      </c>
      <c r="F11" s="379">
        <f t="shared" si="1"/>
        <v>7382.1080664590681</v>
      </c>
      <c r="G11" s="379">
        <f t="shared" si="1"/>
        <v>8074.3920087065972</v>
      </c>
      <c r="H11" s="379">
        <f t="shared" si="1"/>
        <v>8152.2437418428317</v>
      </c>
      <c r="I11" s="379">
        <f t="shared" si="1"/>
        <v>8230.8461064006988</v>
      </c>
      <c r="L11" s="282">
        <f t="shared" ref="L11:Q11" si="2">L43</f>
        <v>254.36776857511251</v>
      </c>
      <c r="M11" s="282">
        <f t="shared" si="2"/>
        <v>282.50236698721727</v>
      </c>
      <c r="N11" s="282">
        <f t="shared" si="2"/>
        <v>311.15585500124973</v>
      </c>
      <c r="O11" s="282">
        <f t="shared" si="2"/>
        <v>340.33562316698305</v>
      </c>
      <c r="P11" s="282">
        <f t="shared" si="2"/>
        <v>343.61707371867533</v>
      </c>
      <c r="Q11" s="282">
        <f t="shared" si="2"/>
        <v>346.93016338478941</v>
      </c>
      <c r="R11" s="131"/>
      <c r="S11" s="131"/>
      <c r="T11" s="131"/>
      <c r="U11" s="131"/>
      <c r="V11" s="131"/>
      <c r="W11" s="131"/>
      <c r="X11" s="131"/>
      <c r="Y11" s="131"/>
      <c r="Z11" s="131"/>
      <c r="AJ11" s="279"/>
      <c r="AK11" s="279"/>
      <c r="AL11" s="279"/>
      <c r="AM11" s="279"/>
      <c r="AN11" s="279"/>
    </row>
    <row r="12" spans="1:40" x14ac:dyDescent="0.35">
      <c r="A12" s="280"/>
      <c r="B12" s="394" t="str">
        <f>B46</f>
        <v>Preparation time before administration (hours)</v>
      </c>
      <c r="C12" s="396"/>
      <c r="D12" s="379">
        <f t="shared" ref="D12:I12" si="3">D50</f>
        <v>6034.822504747628</v>
      </c>
      <c r="E12" s="379">
        <f t="shared" si="3"/>
        <v>6093.0091014173895</v>
      </c>
      <c r="F12" s="379">
        <f t="shared" si="3"/>
        <v>6151.7567220492228</v>
      </c>
      <c r="G12" s="379">
        <f t="shared" si="3"/>
        <v>6211.0707759281522</v>
      </c>
      <c r="H12" s="379">
        <f t="shared" si="3"/>
        <v>6270.9567244944865</v>
      </c>
      <c r="I12" s="379">
        <f t="shared" si="3"/>
        <v>6331.4200818466907</v>
      </c>
      <c r="L12" s="282">
        <f t="shared" ref="L12:Q12" si="4">L50</f>
        <v>254.36776857511251</v>
      </c>
      <c r="M12" s="282">
        <f t="shared" si="4"/>
        <v>256.82033362474294</v>
      </c>
      <c r="N12" s="282">
        <f t="shared" si="4"/>
        <v>259.29654583437474</v>
      </c>
      <c r="O12" s="282">
        <f t="shared" si="4"/>
        <v>261.79663320537156</v>
      </c>
      <c r="P12" s="282">
        <f t="shared" si="4"/>
        <v>264.32082593744258</v>
      </c>
      <c r="Q12" s="282">
        <f t="shared" si="4"/>
        <v>266.86935644983799</v>
      </c>
      <c r="R12" s="131"/>
      <c r="S12" s="131"/>
      <c r="T12" s="131"/>
      <c r="U12" s="131"/>
      <c r="V12" s="131"/>
      <c r="W12" s="131"/>
      <c r="X12" s="131"/>
      <c r="Y12" s="131"/>
      <c r="Z12" s="131"/>
      <c r="AJ12" s="279"/>
      <c r="AK12" s="279"/>
      <c r="AL12" s="279"/>
      <c r="AM12" s="279"/>
      <c r="AN12" s="279"/>
    </row>
    <row r="13" spans="1:40" x14ac:dyDescent="0.35">
      <c r="A13" s="280"/>
      <c r="B13" s="394" t="str">
        <f>B53</f>
        <v>Post administration nursing time (hours)</v>
      </c>
      <c r="C13" s="396"/>
      <c r="D13" s="379">
        <f t="shared" ref="D13:I13" si="5">D57</f>
        <v>6034.822504747628</v>
      </c>
      <c r="E13" s="380">
        <f t="shared" si="5"/>
        <v>6093.0091014173895</v>
      </c>
      <c r="F13" s="379">
        <f t="shared" si="5"/>
        <v>6151.7567220492228</v>
      </c>
      <c r="G13" s="379">
        <f t="shared" si="5"/>
        <v>6211.0707759281522</v>
      </c>
      <c r="H13" s="379">
        <f t="shared" si="5"/>
        <v>6270.9567244944865</v>
      </c>
      <c r="I13" s="379">
        <f t="shared" si="5"/>
        <v>6331.4200818466907</v>
      </c>
      <c r="L13" s="282">
        <f t="shared" ref="L13:Q13" si="6">L57</f>
        <v>254.36776857511251</v>
      </c>
      <c r="M13" s="282">
        <f t="shared" si="6"/>
        <v>256.82033362474294</v>
      </c>
      <c r="N13" s="282">
        <f t="shared" si="6"/>
        <v>259.29654583437474</v>
      </c>
      <c r="O13" s="282">
        <f t="shared" si="6"/>
        <v>261.79663320537156</v>
      </c>
      <c r="P13" s="282">
        <f t="shared" si="6"/>
        <v>264.32082593744258</v>
      </c>
      <c r="Q13" s="282">
        <f t="shared" si="6"/>
        <v>266.86935644983799</v>
      </c>
      <c r="R13" s="131"/>
      <c r="S13" s="131"/>
      <c r="T13" s="131"/>
      <c r="U13" s="131"/>
      <c r="V13" s="131"/>
      <c r="W13" s="131"/>
      <c r="X13" s="131"/>
      <c r="Y13" s="131"/>
      <c r="Z13" s="131"/>
      <c r="AJ13" s="279"/>
      <c r="AK13" s="279"/>
      <c r="AL13" s="279"/>
      <c r="AM13" s="279"/>
      <c r="AN13" s="279"/>
    </row>
    <row r="14" spans="1:40" x14ac:dyDescent="0.35">
      <c r="A14" s="281"/>
      <c r="B14" s="395" t="str">
        <f>B61</f>
        <v>Pharmacy support (hours)</v>
      </c>
      <c r="C14" s="397"/>
      <c r="D14" s="381">
        <f t="shared" ref="D14:I14" si="7">D65</f>
        <v>3017.411252373814</v>
      </c>
      <c r="E14" s="381">
        <f t="shared" si="7"/>
        <v>3046.5045507086948</v>
      </c>
      <c r="F14" s="381">
        <f t="shared" si="7"/>
        <v>3075.8783610246114</v>
      </c>
      <c r="G14" s="381">
        <f t="shared" si="7"/>
        <v>3105.5353879640761</v>
      </c>
      <c r="H14" s="381">
        <f t="shared" si="7"/>
        <v>3135.4783622472432</v>
      </c>
      <c r="I14" s="381">
        <f t="shared" si="7"/>
        <v>3165.7100409233453</v>
      </c>
      <c r="L14" s="282">
        <f t="shared" ref="L14:Q14" si="8">L65</f>
        <v>141.12432427352329</v>
      </c>
      <c r="M14" s="282">
        <f t="shared" si="8"/>
        <v>142.48501783664568</v>
      </c>
      <c r="N14" s="282">
        <f t="shared" si="8"/>
        <v>143.8588309451211</v>
      </c>
      <c r="O14" s="282">
        <f t="shared" si="8"/>
        <v>145.24589009507983</v>
      </c>
      <c r="P14" s="282">
        <f t="shared" si="8"/>
        <v>146.64632300230355</v>
      </c>
      <c r="Q14" s="282">
        <f t="shared" si="8"/>
        <v>148.06025861398487</v>
      </c>
      <c r="R14" s="131"/>
      <c r="S14" s="131"/>
      <c r="T14" s="131"/>
      <c r="U14" s="131"/>
      <c r="V14" s="131"/>
      <c r="W14" s="131"/>
      <c r="X14" s="131"/>
      <c r="Y14" s="131"/>
      <c r="Z14" s="131"/>
      <c r="AJ14" s="279"/>
      <c r="AK14" s="279"/>
      <c r="AL14" s="279"/>
      <c r="AM14" s="279"/>
      <c r="AN14" s="279"/>
    </row>
    <row r="15" spans="1:40" x14ac:dyDescent="0.35">
      <c r="B15" s="241"/>
      <c r="D15" s="279"/>
      <c r="F15" s="131"/>
      <c r="G15" s="131"/>
      <c r="H15" s="131"/>
      <c r="I15" s="131"/>
      <c r="J15" s="131"/>
      <c r="K15" s="131"/>
      <c r="L15" s="283">
        <f t="shared" ref="L15:Q15" si="9">SUM(L10:L14)</f>
        <v>904.22762999886083</v>
      </c>
      <c r="M15" s="283">
        <f t="shared" si="9"/>
        <v>938.62805207334895</v>
      </c>
      <c r="N15" s="283">
        <f t="shared" si="9"/>
        <v>973.60777761512031</v>
      </c>
      <c r="O15" s="283">
        <f t="shared" si="9"/>
        <v>1009.174779672806</v>
      </c>
      <c r="P15" s="283">
        <f t="shared" si="9"/>
        <v>1018.9050485958641</v>
      </c>
      <c r="Q15" s="283">
        <f t="shared" si="9"/>
        <v>1028.7291348984502</v>
      </c>
      <c r="R15" s="131"/>
      <c r="S15" s="131"/>
      <c r="T15" s="131"/>
      <c r="U15" s="131"/>
      <c r="V15" s="131"/>
      <c r="W15" s="131"/>
      <c r="X15" s="131"/>
      <c r="Y15" s="131"/>
      <c r="Z15" s="131"/>
    </row>
    <row r="16" spans="1:40" x14ac:dyDescent="0.35">
      <c r="B16" s="301"/>
      <c r="C16" s="301"/>
      <c r="D16" s="301"/>
      <c r="E16" s="301"/>
      <c r="F16" s="301"/>
      <c r="G16" s="301"/>
      <c r="H16" s="301"/>
      <c r="I16" s="301"/>
      <c r="J16" s="301"/>
      <c r="K16" s="301"/>
      <c r="L16" s="301"/>
      <c r="P16" s="131"/>
      <c r="Q16" s="131"/>
      <c r="R16" s="131"/>
      <c r="S16" s="131"/>
      <c r="V16" s="131"/>
      <c r="W16" s="131"/>
      <c r="X16" s="131"/>
      <c r="Y16" s="131"/>
      <c r="Z16" s="131"/>
      <c r="AJ16" s="279"/>
      <c r="AK16" s="279"/>
      <c r="AL16" s="279"/>
      <c r="AM16" s="279"/>
      <c r="AN16" s="279"/>
    </row>
    <row r="17" spans="1:40" x14ac:dyDescent="0.35">
      <c r="B17" s="345" t="s">
        <v>837</v>
      </c>
      <c r="C17" s="346"/>
      <c r="D17" s="346"/>
      <c r="E17" s="347"/>
      <c r="F17" s="346"/>
      <c r="G17" s="348"/>
      <c r="H17" s="349"/>
      <c r="I17" s="349"/>
      <c r="J17" s="349"/>
      <c r="K17" s="349"/>
      <c r="L17" s="349"/>
      <c r="M17" s="349"/>
      <c r="N17" s="349"/>
      <c r="O17" s="349"/>
      <c r="P17" s="349"/>
      <c r="Q17" s="350"/>
      <c r="R17" s="131"/>
      <c r="S17" s="131"/>
      <c r="T17" s="131"/>
      <c r="U17" s="131"/>
      <c r="V17" s="131"/>
      <c r="W17" s="131"/>
      <c r="X17" s="131"/>
      <c r="Y17" s="131"/>
      <c r="Z17" s="131"/>
      <c r="AJ17" s="279"/>
      <c r="AK17" s="279"/>
      <c r="AL17" s="279"/>
      <c r="AM17" s="279"/>
      <c r="AN17" s="279"/>
    </row>
    <row r="18" spans="1:40" x14ac:dyDescent="0.35">
      <c r="A18" s="286"/>
      <c r="B18" s="302" t="s">
        <v>839</v>
      </c>
      <c r="C18" s="287"/>
      <c r="D18" s="287"/>
      <c r="E18" s="288"/>
      <c r="F18" s="289"/>
      <c r="G18" s="290"/>
      <c r="H18" s="290"/>
      <c r="I18" s="387"/>
      <c r="J18" s="388"/>
      <c r="K18" s="286"/>
      <c r="L18" s="286"/>
      <c r="M18" s="286"/>
      <c r="N18" s="286"/>
      <c r="O18" s="286"/>
      <c r="P18" s="286"/>
      <c r="Q18" s="213"/>
      <c r="R18" s="131"/>
      <c r="S18" s="131"/>
      <c r="V18" s="131"/>
    </row>
    <row r="19" spans="1:40" x14ac:dyDescent="0.35">
      <c r="A19" s="294"/>
      <c r="B19" s="358" t="s">
        <v>999</v>
      </c>
      <c r="C19" s="359"/>
      <c r="D19" s="359"/>
      <c r="E19" s="359"/>
      <c r="F19" s="359"/>
      <c r="G19" s="359"/>
      <c r="H19" s="359"/>
      <c r="I19" s="359"/>
      <c r="J19" s="384"/>
      <c r="K19" s="213"/>
      <c r="L19" s="213"/>
      <c r="M19" s="213"/>
      <c r="N19" s="213"/>
      <c r="O19" s="213"/>
      <c r="P19" s="213"/>
      <c r="Q19" s="213"/>
      <c r="R19" s="131"/>
      <c r="S19" s="131"/>
      <c r="T19" s="131"/>
      <c r="U19" s="131"/>
      <c r="V19" s="131"/>
      <c r="W19" s="131"/>
      <c r="X19" s="131"/>
      <c r="Y19" s="131"/>
      <c r="Z19" s="131"/>
      <c r="AJ19" s="279"/>
      <c r="AK19" s="279"/>
      <c r="AL19" s="279"/>
      <c r="AM19" s="279"/>
      <c r="AN19" s="279"/>
    </row>
    <row r="20" spans="1:40" ht="43.5" x14ac:dyDescent="0.35">
      <c r="A20" s="294"/>
      <c r="B20" s="300" t="s">
        <v>771</v>
      </c>
      <c r="C20" s="462"/>
      <c r="D20" s="382" t="s">
        <v>828</v>
      </c>
      <c r="E20" s="249" t="s">
        <v>676</v>
      </c>
      <c r="F20" s="249" t="s">
        <v>677</v>
      </c>
      <c r="G20" s="163" t="s">
        <v>799</v>
      </c>
      <c r="H20" s="163" t="s">
        <v>800</v>
      </c>
      <c r="I20" s="249" t="s">
        <v>801</v>
      </c>
      <c r="J20" s="384"/>
      <c r="K20" s="213"/>
      <c r="L20" s="213"/>
      <c r="M20" s="213"/>
      <c r="N20" s="213"/>
      <c r="O20" s="213"/>
      <c r="P20" s="213"/>
      <c r="Q20" s="213"/>
      <c r="R20" s="131"/>
      <c r="S20" s="131"/>
      <c r="T20" s="131"/>
      <c r="U20" s="131"/>
      <c r="V20" s="131"/>
      <c r="W20" s="131"/>
      <c r="X20" s="131"/>
      <c r="Y20" s="131"/>
      <c r="Z20" s="131"/>
      <c r="AJ20" s="279"/>
      <c r="AK20" s="279"/>
      <c r="AL20" s="279"/>
      <c r="AM20" s="279"/>
      <c r="AN20" s="279"/>
    </row>
    <row r="21" spans="1:40" x14ac:dyDescent="0.35">
      <c r="A21" s="294"/>
      <c r="B21" s="810" t="s">
        <v>1025</v>
      </c>
      <c r="C21" s="809"/>
      <c r="D21" s="812">
        <f>'Financial impact (cash)'!D13</f>
        <v>0</v>
      </c>
      <c r="E21" s="811">
        <f>'Financial impact (cash)'!E13</f>
        <v>174.08597432621113</v>
      </c>
      <c r="F21" s="811">
        <f>'Financial impact (cash)'!F13</f>
        <v>351.52895554566987</v>
      </c>
      <c r="G21" s="811">
        <f>'Financial impact (cash)'!G13</f>
        <v>532.37749507955584</v>
      </c>
      <c r="H21" s="811">
        <f>'Financial impact (cash)'!H13</f>
        <v>537.51057638524162</v>
      </c>
      <c r="I21" s="812">
        <f>'Financial impact (cash)'!I13</f>
        <v>542.69314987257349</v>
      </c>
      <c r="J21" s="384"/>
      <c r="K21" s="213"/>
      <c r="L21" s="213"/>
      <c r="M21" s="213"/>
      <c r="N21" s="213"/>
      <c r="O21" s="213"/>
      <c r="P21" s="213"/>
      <c r="Q21" s="213"/>
      <c r="R21" s="131"/>
      <c r="S21" s="131"/>
      <c r="T21" s="131"/>
      <c r="U21" s="131"/>
      <c r="V21" s="131"/>
      <c r="W21" s="131"/>
      <c r="X21" s="131"/>
      <c r="Y21" s="131"/>
      <c r="Z21" s="131"/>
      <c r="AJ21" s="279"/>
      <c r="AK21" s="279"/>
      <c r="AL21" s="279"/>
      <c r="AM21" s="279"/>
      <c r="AN21" s="279"/>
    </row>
    <row r="22" spans="1:40" x14ac:dyDescent="0.35">
      <c r="A22" s="294"/>
      <c r="B22" s="197" t="s">
        <v>1000</v>
      </c>
      <c r="C22" s="809"/>
      <c r="D22" s="811">
        <f>'Financial impact (cash)'!D13</f>
        <v>0</v>
      </c>
      <c r="E22" s="812">
        <f>'Financial impact (cash)'!E13</f>
        <v>174.08597432621113</v>
      </c>
      <c r="F22" s="811">
        <f>'Financial impact (cash)'!F13</f>
        <v>351.52895554566987</v>
      </c>
      <c r="G22" s="811">
        <f>'Financial impact (cash)'!G13</f>
        <v>532.37749507955584</v>
      </c>
      <c r="H22" s="811">
        <f>'Financial impact (cash)'!H13</f>
        <v>537.51057638524162</v>
      </c>
      <c r="I22" s="812">
        <f>'Financial impact (cash)'!I13</f>
        <v>542.69314987257349</v>
      </c>
      <c r="J22" s="384"/>
      <c r="K22" s="213"/>
      <c r="L22" s="213"/>
      <c r="M22" s="213"/>
      <c r="N22" s="213"/>
      <c r="O22" s="213"/>
      <c r="P22" s="213"/>
      <c r="Q22" s="213"/>
      <c r="R22" s="131"/>
      <c r="S22" s="131"/>
      <c r="T22" s="131"/>
      <c r="U22" s="131"/>
      <c r="V22" s="131"/>
      <c r="W22" s="131"/>
      <c r="X22" s="131"/>
      <c r="Y22" s="131"/>
      <c r="Z22" s="131"/>
      <c r="AJ22" s="279"/>
      <c r="AK22" s="279"/>
      <c r="AL22" s="279"/>
      <c r="AM22" s="279"/>
      <c r="AN22" s="279"/>
    </row>
    <row r="23" spans="1:40" x14ac:dyDescent="0.35">
      <c r="A23" s="294"/>
      <c r="B23" s="197" t="s">
        <v>1026</v>
      </c>
      <c r="C23" s="809"/>
      <c r="D23" s="812">
        <f>'Financial impact (cash)'!D14</f>
        <v>1724.2350013564651</v>
      </c>
      <c r="E23" s="811">
        <f>'Financial impact (cash)'!E14</f>
        <v>1566.7737689359001</v>
      </c>
      <c r="F23" s="811">
        <f>'Financial impact (cash)'!F14</f>
        <v>1406.1158221826795</v>
      </c>
      <c r="G23" s="811">
        <f>'Financial impact (cash)'!G14</f>
        <v>1242.2141551856303</v>
      </c>
      <c r="H23" s="811">
        <f>'Financial impact (cash)'!H14</f>
        <v>1254.1913448988971</v>
      </c>
      <c r="I23" s="812">
        <f>'Financial impact (cash)'!I14</f>
        <v>1266.2840163693381</v>
      </c>
      <c r="J23" s="384"/>
      <c r="K23" s="213"/>
      <c r="L23" s="213"/>
      <c r="M23" s="213"/>
      <c r="N23" s="213"/>
      <c r="O23" s="213"/>
      <c r="P23" s="213"/>
      <c r="Q23" s="213"/>
      <c r="R23" s="131"/>
      <c r="S23" s="131"/>
      <c r="T23" s="131"/>
      <c r="U23" s="131"/>
      <c r="V23" s="131"/>
      <c r="W23" s="131"/>
      <c r="X23" s="131"/>
      <c r="Y23" s="131"/>
      <c r="Z23" s="131"/>
      <c r="AJ23" s="279"/>
      <c r="AK23" s="279"/>
      <c r="AL23" s="279"/>
      <c r="AM23" s="279"/>
      <c r="AN23" s="279"/>
    </row>
    <row r="24" spans="1:40" x14ac:dyDescent="0.35">
      <c r="A24" s="294"/>
      <c r="B24" s="197" t="s">
        <v>1001</v>
      </c>
      <c r="C24" s="447"/>
      <c r="D24" s="813">
        <f>'Financial impact (cash)'!D14</f>
        <v>1724.2350013564651</v>
      </c>
      <c r="E24" s="126">
        <f>'Financial impact (cash)'!E14</f>
        <v>1566.7737689359001</v>
      </c>
      <c r="F24" s="126">
        <f>'Financial impact (cash)'!F14</f>
        <v>1406.1158221826795</v>
      </c>
      <c r="G24" s="126">
        <f>'Financial impact (cash)'!G14</f>
        <v>1242.2141551856303</v>
      </c>
      <c r="H24" s="126">
        <f>'Financial impact (cash)'!H14</f>
        <v>1254.1913448988971</v>
      </c>
      <c r="I24" s="447">
        <f>'Financial impact (cash)'!I14</f>
        <v>1266.2840163693381</v>
      </c>
      <c r="J24" s="384"/>
      <c r="K24" s="213"/>
      <c r="L24" s="213"/>
      <c r="M24" s="213"/>
      <c r="N24" s="213"/>
      <c r="O24" s="213"/>
      <c r="P24" s="213"/>
      <c r="Q24" s="213"/>
      <c r="R24" s="131"/>
      <c r="S24" s="131"/>
      <c r="T24" s="131"/>
      <c r="U24" s="131"/>
      <c r="V24" s="131"/>
      <c r="W24" s="131"/>
      <c r="X24" s="131"/>
      <c r="Y24" s="131"/>
      <c r="Z24" s="131"/>
      <c r="AJ24" s="279"/>
      <c r="AK24" s="279"/>
      <c r="AL24" s="279"/>
      <c r="AM24" s="279"/>
      <c r="AN24" s="279"/>
    </row>
    <row r="25" spans="1:40" x14ac:dyDescent="0.35">
      <c r="A25" s="294"/>
      <c r="B25" s="461"/>
      <c r="C25" s="304"/>
      <c r="D25" s="184">
        <f t="shared" ref="D25:I25" si="10">SUM(D21:D24)</f>
        <v>3448.4700027129302</v>
      </c>
      <c r="E25" s="184">
        <f t="shared" si="10"/>
        <v>3481.7194865242227</v>
      </c>
      <c r="F25" s="184">
        <f t="shared" si="10"/>
        <v>3515.289555456699</v>
      </c>
      <c r="G25" s="184">
        <f t="shared" si="10"/>
        <v>3549.1833005303724</v>
      </c>
      <c r="H25" s="184">
        <f t="shared" si="10"/>
        <v>3583.4038425682775</v>
      </c>
      <c r="I25" s="184">
        <f t="shared" si="10"/>
        <v>3617.9543324838232</v>
      </c>
      <c r="J25" s="384"/>
      <c r="K25" s="213"/>
      <c r="L25" s="213"/>
      <c r="M25" s="213"/>
      <c r="N25" s="213"/>
      <c r="O25" s="213"/>
      <c r="P25" s="213"/>
      <c r="Q25" s="213"/>
      <c r="R25" s="131"/>
      <c r="S25" s="131"/>
      <c r="T25" s="131"/>
      <c r="U25" s="131"/>
      <c r="V25" s="131"/>
      <c r="W25" s="131"/>
      <c r="X25" s="131"/>
      <c r="Y25" s="131"/>
      <c r="Z25" s="131"/>
      <c r="AJ25" s="279"/>
      <c r="AK25" s="279"/>
      <c r="AL25" s="279"/>
      <c r="AM25" s="279"/>
      <c r="AN25" s="279"/>
    </row>
    <row r="26" spans="1:40" x14ac:dyDescent="0.35">
      <c r="A26" s="294"/>
      <c r="B26" s="250"/>
      <c r="C26" s="250"/>
      <c r="D26" s="278" t="s">
        <v>840</v>
      </c>
      <c r="E26" s="184">
        <f>E25-$D$25</f>
        <v>33.249483811292521</v>
      </c>
      <c r="F26" s="184">
        <f>F25-$D$25</f>
        <v>66.819552743768782</v>
      </c>
      <c r="G26" s="184">
        <f>G25-$D$25</f>
        <v>100.71329781744225</v>
      </c>
      <c r="H26" s="184">
        <f>H25-$D$25</f>
        <v>134.93383985534729</v>
      </c>
      <c r="I26" s="184">
        <f>I25-$D$25</f>
        <v>169.48432977089305</v>
      </c>
      <c r="J26" s="384"/>
      <c r="K26" s="213"/>
      <c r="L26" s="213"/>
      <c r="M26" s="213"/>
      <c r="N26" s="213"/>
      <c r="O26" s="213"/>
      <c r="P26" s="213"/>
      <c r="Q26" s="213"/>
      <c r="R26" s="131"/>
      <c r="S26" s="131"/>
      <c r="T26" s="131"/>
      <c r="U26" s="131"/>
      <c r="V26" s="131"/>
      <c r="W26" s="131"/>
      <c r="X26" s="131"/>
      <c r="Y26" s="131"/>
      <c r="Z26" s="131"/>
      <c r="AJ26" s="279"/>
      <c r="AK26" s="279"/>
      <c r="AL26" s="279"/>
      <c r="AM26" s="279"/>
      <c r="AN26" s="279"/>
    </row>
    <row r="27" spans="1:40" x14ac:dyDescent="0.35">
      <c r="A27" s="286"/>
      <c r="B27" s="303"/>
      <c r="C27" s="292"/>
      <c r="D27" s="291"/>
      <c r="E27" s="292"/>
      <c r="F27" s="293"/>
      <c r="G27" s="286"/>
      <c r="H27" s="286"/>
      <c r="I27" s="816"/>
      <c r="J27" s="213"/>
      <c r="K27" s="213"/>
      <c r="L27" s="213"/>
      <c r="M27" s="213"/>
      <c r="N27" s="213"/>
      <c r="O27" s="213"/>
      <c r="P27" s="213"/>
      <c r="Q27" s="213"/>
      <c r="R27" s="131"/>
      <c r="S27" s="131"/>
      <c r="T27" s="131"/>
      <c r="U27" s="131"/>
      <c r="V27" s="131"/>
      <c r="W27" s="131"/>
      <c r="X27" s="131"/>
      <c r="Y27" s="131"/>
      <c r="Z27" s="131"/>
      <c r="AJ27" s="279"/>
      <c r="AK27" s="279"/>
      <c r="AL27" s="279"/>
      <c r="AM27" s="279"/>
      <c r="AN27" s="279"/>
    </row>
    <row r="28" spans="1:40" x14ac:dyDescent="0.35">
      <c r="A28" s="286"/>
      <c r="B28" s="303"/>
      <c r="C28" s="292"/>
      <c r="D28" s="291"/>
      <c r="E28" s="292"/>
      <c r="F28" s="293"/>
      <c r="G28" s="286"/>
      <c r="H28" s="286"/>
      <c r="I28" s="815"/>
      <c r="J28" s="213"/>
      <c r="K28" s="213"/>
      <c r="L28" s="213"/>
      <c r="M28" s="213"/>
      <c r="N28" s="213"/>
      <c r="O28" s="213"/>
      <c r="P28" s="213"/>
      <c r="Q28" s="213"/>
      <c r="R28" s="131"/>
      <c r="S28" s="131"/>
      <c r="T28" s="131"/>
      <c r="U28" s="131"/>
      <c r="V28" s="131"/>
      <c r="W28" s="131"/>
      <c r="X28" s="131"/>
      <c r="Y28" s="131"/>
      <c r="Z28" s="131"/>
      <c r="AJ28" s="279"/>
      <c r="AK28" s="279"/>
      <c r="AL28" s="279"/>
      <c r="AM28" s="279"/>
      <c r="AN28" s="279"/>
    </row>
    <row r="29" spans="1:40" x14ac:dyDescent="0.35">
      <c r="A29" s="294"/>
      <c r="B29" s="358" t="s">
        <v>841</v>
      </c>
      <c r="C29" s="359"/>
      <c r="D29" s="359"/>
      <c r="E29" s="359"/>
      <c r="F29" s="359"/>
      <c r="G29" s="359"/>
      <c r="H29" s="359"/>
      <c r="I29" s="359"/>
      <c r="J29" s="384"/>
      <c r="K29" s="213"/>
      <c r="L29" s="213"/>
      <c r="M29" s="213"/>
      <c r="N29" s="213"/>
      <c r="O29" s="213"/>
      <c r="P29" s="213"/>
      <c r="Q29" s="213"/>
      <c r="R29" s="131"/>
      <c r="S29" s="131"/>
      <c r="T29" s="131"/>
      <c r="U29" s="131"/>
      <c r="V29" s="131"/>
      <c r="W29" s="131"/>
      <c r="X29" s="131"/>
      <c r="Y29" s="131"/>
      <c r="Z29" s="131"/>
      <c r="AJ29" s="279"/>
      <c r="AK29" s="279"/>
      <c r="AL29" s="279"/>
      <c r="AM29" s="279"/>
      <c r="AN29" s="279"/>
    </row>
    <row r="30" spans="1:40" ht="43.5" x14ac:dyDescent="0.35">
      <c r="A30" s="294"/>
      <c r="B30" s="300" t="s">
        <v>771</v>
      </c>
      <c r="C30" s="164" t="s">
        <v>760</v>
      </c>
      <c r="D30" s="382" t="s">
        <v>828</v>
      </c>
      <c r="E30" s="249" t="s">
        <v>676</v>
      </c>
      <c r="F30" s="249" t="s">
        <v>677</v>
      </c>
      <c r="G30" s="163" t="s">
        <v>799</v>
      </c>
      <c r="H30" s="163" t="s">
        <v>800</v>
      </c>
      <c r="I30" s="249" t="s">
        <v>801</v>
      </c>
      <c r="J30" s="384"/>
      <c r="K30" s="213"/>
      <c r="L30" s="213"/>
      <c r="M30" s="213"/>
      <c r="N30" s="213"/>
      <c r="O30" s="213"/>
      <c r="P30" s="213"/>
      <c r="Q30" s="213"/>
      <c r="V30" s="131"/>
      <c r="AJ30" s="279"/>
      <c r="AK30" s="279"/>
      <c r="AL30" s="279"/>
      <c r="AM30" s="279"/>
      <c r="AN30" s="279"/>
    </row>
    <row r="31" spans="1:40" x14ac:dyDescent="0.35">
      <c r="A31" s="294"/>
      <c r="B31" s="810" t="s">
        <v>1025</v>
      </c>
      <c r="C31" s="285">
        <f>'Inputs and eligible population'!F48</f>
        <v>4</v>
      </c>
      <c r="D31" s="126">
        <f t="shared" ref="D31:I34" si="11">D21*$C31</f>
        <v>0</v>
      </c>
      <c r="E31" s="126">
        <f t="shared" si="11"/>
        <v>696.34389730484452</v>
      </c>
      <c r="F31" s="126">
        <f t="shared" si="11"/>
        <v>1406.1158221826795</v>
      </c>
      <c r="G31" s="126">
        <f t="shared" si="11"/>
        <v>2129.5099803182234</v>
      </c>
      <c r="H31" s="126">
        <f t="shared" si="11"/>
        <v>2150.0423055409665</v>
      </c>
      <c r="I31" s="126">
        <f t="shared" si="11"/>
        <v>2170.7725994902939</v>
      </c>
      <c r="J31" s="384"/>
      <c r="K31" s="213"/>
      <c r="L31" s="213"/>
      <c r="M31" s="213"/>
      <c r="N31" s="213"/>
      <c r="O31" s="213"/>
      <c r="P31" s="213"/>
      <c r="Q31" s="213"/>
      <c r="V31" s="131"/>
      <c r="AJ31" s="279"/>
      <c r="AK31" s="279"/>
      <c r="AL31" s="279"/>
      <c r="AM31" s="279"/>
      <c r="AN31" s="279"/>
    </row>
    <row r="32" spans="1:40" x14ac:dyDescent="0.35">
      <c r="A32" s="294"/>
      <c r="B32" s="197" t="s">
        <v>1000</v>
      </c>
      <c r="C32" s="285">
        <f>'Inputs and eligible population'!F49</f>
        <v>3</v>
      </c>
      <c r="D32" s="126">
        <f t="shared" si="11"/>
        <v>0</v>
      </c>
      <c r="E32" s="126">
        <f t="shared" si="11"/>
        <v>522.25792297863336</v>
      </c>
      <c r="F32" s="126">
        <f t="shared" si="11"/>
        <v>1054.5868666370097</v>
      </c>
      <c r="G32" s="126">
        <f t="shared" si="11"/>
        <v>1597.1324852386674</v>
      </c>
      <c r="H32" s="126">
        <f t="shared" si="11"/>
        <v>1612.5317291557249</v>
      </c>
      <c r="I32" s="126">
        <f t="shared" si="11"/>
        <v>1628.0794496177205</v>
      </c>
      <c r="J32" s="384"/>
      <c r="K32" s="213"/>
      <c r="L32" s="213"/>
      <c r="M32" s="213"/>
      <c r="N32" s="213"/>
      <c r="O32" s="213"/>
      <c r="P32" s="213"/>
      <c r="Q32" s="213"/>
      <c r="V32" s="131"/>
      <c r="AJ32" s="279"/>
      <c r="AK32" s="279"/>
      <c r="AL32" s="279"/>
      <c r="AM32" s="279"/>
      <c r="AN32" s="279"/>
    </row>
    <row r="33" spans="1:40" x14ac:dyDescent="0.35">
      <c r="A33" s="294"/>
      <c r="B33" s="197" t="s">
        <v>1026</v>
      </c>
      <c r="C33" s="285">
        <f>'Inputs and eligible population'!F50</f>
        <v>4</v>
      </c>
      <c r="D33" s="126">
        <f t="shared" si="11"/>
        <v>6896.9400054258604</v>
      </c>
      <c r="E33" s="126">
        <f t="shared" si="11"/>
        <v>6267.0950757436003</v>
      </c>
      <c r="F33" s="126">
        <f t="shared" si="11"/>
        <v>5624.463288730718</v>
      </c>
      <c r="G33" s="126">
        <f t="shared" si="11"/>
        <v>4968.856620742521</v>
      </c>
      <c r="H33" s="126">
        <f t="shared" si="11"/>
        <v>5016.7653795955885</v>
      </c>
      <c r="I33" s="126">
        <f t="shared" si="11"/>
        <v>5065.1360654773525</v>
      </c>
      <c r="J33" s="384"/>
      <c r="K33" s="213"/>
      <c r="L33" s="213"/>
      <c r="M33" s="213"/>
      <c r="N33" s="213"/>
      <c r="O33" s="213"/>
      <c r="P33" s="213"/>
      <c r="Q33" s="213"/>
      <c r="V33" s="131"/>
      <c r="AJ33" s="279"/>
      <c r="AK33" s="279"/>
      <c r="AL33" s="279"/>
      <c r="AM33" s="279"/>
      <c r="AN33" s="279"/>
    </row>
    <row r="34" spans="1:40" x14ac:dyDescent="0.35">
      <c r="A34" s="294"/>
      <c r="B34" s="197" t="s">
        <v>1001</v>
      </c>
      <c r="C34" s="285">
        <f>'Inputs and eligible population'!F51</f>
        <v>3</v>
      </c>
      <c r="D34" s="126">
        <f t="shared" si="11"/>
        <v>5172.7050040693957</v>
      </c>
      <c r="E34" s="126">
        <f t="shared" si="11"/>
        <v>4700.3213068077002</v>
      </c>
      <c r="F34" s="126">
        <f t="shared" si="11"/>
        <v>4218.3474665480389</v>
      </c>
      <c r="G34" s="126">
        <f t="shared" si="11"/>
        <v>3726.6424655568908</v>
      </c>
      <c r="H34" s="126">
        <f t="shared" si="11"/>
        <v>3762.5740346966913</v>
      </c>
      <c r="I34" s="126">
        <f t="shared" si="11"/>
        <v>3798.8520491080144</v>
      </c>
      <c r="J34" s="286"/>
      <c r="K34" s="286"/>
      <c r="L34" s="286"/>
      <c r="M34" s="286"/>
      <c r="N34" s="286"/>
      <c r="O34" s="286"/>
      <c r="P34" s="286"/>
      <c r="Q34" s="286"/>
      <c r="V34" s="131"/>
      <c r="AJ34" s="279"/>
      <c r="AK34" s="279"/>
      <c r="AL34" s="279"/>
      <c r="AM34" s="279"/>
      <c r="AN34" s="279"/>
    </row>
    <row r="35" spans="1:40" x14ac:dyDescent="0.35">
      <c r="A35" s="294"/>
      <c r="B35" s="304"/>
      <c r="C35" s="304"/>
      <c r="D35" s="184">
        <f t="shared" ref="D35:I35" si="12">SUM(D31:D34)</f>
        <v>12069.645009495256</v>
      </c>
      <c r="E35" s="184">
        <f t="shared" si="12"/>
        <v>12186.018202834779</v>
      </c>
      <c r="F35" s="184">
        <f t="shared" si="12"/>
        <v>12303.513444098446</v>
      </c>
      <c r="G35" s="184">
        <f t="shared" si="12"/>
        <v>12422.141551856304</v>
      </c>
      <c r="H35" s="184">
        <f t="shared" si="12"/>
        <v>12541.913448988973</v>
      </c>
      <c r="I35" s="184">
        <f t="shared" si="12"/>
        <v>12662.840163693381</v>
      </c>
      <c r="J35" s="286"/>
      <c r="K35" s="286"/>
      <c r="L35" s="286"/>
      <c r="M35" s="286"/>
      <c r="N35" s="286"/>
      <c r="O35" s="286"/>
      <c r="P35" s="286"/>
      <c r="Q35" s="286"/>
      <c r="V35" s="131"/>
      <c r="AJ35" s="279"/>
      <c r="AK35" s="279"/>
      <c r="AL35" s="279"/>
      <c r="AM35" s="279"/>
      <c r="AN35" s="279"/>
    </row>
    <row r="36" spans="1:40" x14ac:dyDescent="0.35">
      <c r="A36" s="294"/>
      <c r="B36" s="250"/>
      <c r="C36" s="250"/>
      <c r="D36" s="278" t="s">
        <v>842</v>
      </c>
      <c r="E36" s="184">
        <f>E35-$D$35</f>
        <v>116.37319333952291</v>
      </c>
      <c r="F36" s="184">
        <f>F35-$D$35</f>
        <v>233.8684346031896</v>
      </c>
      <c r="G36" s="184">
        <f>G35-$D$35</f>
        <v>352.49654236104834</v>
      </c>
      <c r="H36" s="184">
        <f>H35-$D$35</f>
        <v>472.26843949371687</v>
      </c>
      <c r="I36" s="184">
        <f>I35-$D$35</f>
        <v>593.19515419812524</v>
      </c>
      <c r="J36" s="286"/>
      <c r="K36" s="286"/>
      <c r="L36" s="286"/>
      <c r="M36" s="286"/>
      <c r="N36" s="286"/>
      <c r="O36" s="286"/>
      <c r="P36" s="286"/>
      <c r="Q36" s="286"/>
      <c r="S36" s="131"/>
      <c r="T36" s="131"/>
      <c r="U36" s="131"/>
      <c r="V36" s="131"/>
      <c r="W36" s="131"/>
      <c r="X36" s="131"/>
      <c r="Y36" s="131"/>
      <c r="Z36" s="131"/>
      <c r="AJ36" s="279"/>
      <c r="AK36" s="279"/>
      <c r="AL36" s="279"/>
      <c r="AM36" s="279"/>
      <c r="AN36" s="279"/>
    </row>
    <row r="37" spans="1:40" x14ac:dyDescent="0.35">
      <c r="A37" s="286"/>
      <c r="B37" s="303"/>
      <c r="C37" s="292"/>
      <c r="D37" s="292"/>
      <c r="E37" s="293"/>
      <c r="F37" s="286"/>
      <c r="G37" s="286"/>
      <c r="H37" s="213"/>
      <c r="I37" s="213"/>
      <c r="J37" s="213"/>
      <c r="K37" s="213"/>
      <c r="L37" s="213"/>
      <c r="M37" s="213"/>
      <c r="N37" s="213"/>
      <c r="O37" s="213"/>
      <c r="P37" s="213"/>
      <c r="Q37" s="213"/>
      <c r="S37" s="131"/>
      <c r="T37" s="131"/>
      <c r="U37" s="131"/>
      <c r="V37" s="131"/>
      <c r="W37" s="131"/>
      <c r="X37" s="131"/>
      <c r="Y37" s="131"/>
      <c r="Z37" s="131"/>
      <c r="AJ37" s="279"/>
      <c r="AK37" s="279"/>
      <c r="AL37" s="279"/>
      <c r="AM37" s="279"/>
      <c r="AN37" s="279"/>
    </row>
    <row r="38" spans="1:40" x14ac:dyDescent="0.35">
      <c r="A38" s="280"/>
      <c r="B38" s="305" t="s">
        <v>843</v>
      </c>
      <c r="C38" s="295"/>
      <c r="D38" s="295"/>
      <c r="E38" s="296"/>
      <c r="F38" s="297"/>
      <c r="G38" s="298"/>
      <c r="H38" s="298"/>
      <c r="I38" s="298"/>
      <c r="J38" s="389"/>
      <c r="K38" s="280"/>
      <c r="L38" s="280"/>
      <c r="M38" s="280"/>
      <c r="N38" s="280"/>
      <c r="O38" s="280"/>
      <c r="P38" s="280"/>
      <c r="Q38" s="215"/>
      <c r="V38" s="131"/>
    </row>
    <row r="39" spans="1:40" x14ac:dyDescent="0.35">
      <c r="A39" s="280"/>
      <c r="B39" s="360" t="s">
        <v>844</v>
      </c>
      <c r="C39" s="361"/>
      <c r="D39" s="361"/>
      <c r="E39" s="361"/>
      <c r="F39" s="361"/>
      <c r="G39" s="361"/>
      <c r="H39" s="361"/>
      <c r="I39" s="214"/>
      <c r="J39" s="386"/>
      <c r="K39" s="215"/>
      <c r="L39" s="385"/>
      <c r="M39" s="385"/>
      <c r="N39" s="385"/>
      <c r="O39" s="385"/>
      <c r="P39" s="385"/>
      <c r="Q39" s="385"/>
      <c r="V39" s="131"/>
    </row>
    <row r="40" spans="1:40" ht="74.5" customHeight="1" x14ac:dyDescent="0.35">
      <c r="A40" s="280"/>
      <c r="B40" s="275" t="s">
        <v>771</v>
      </c>
      <c r="C40" s="164" t="s">
        <v>845</v>
      </c>
      <c r="D40" s="382" t="s">
        <v>828</v>
      </c>
      <c r="E40" s="249" t="s">
        <v>676</v>
      </c>
      <c r="F40" s="249" t="s">
        <v>677</v>
      </c>
      <c r="G40" s="163" t="s">
        <v>799</v>
      </c>
      <c r="H40" s="163" t="s">
        <v>800</v>
      </c>
      <c r="I40" s="249" t="s">
        <v>801</v>
      </c>
      <c r="J40" s="280"/>
      <c r="K40" s="489" t="s">
        <v>838</v>
      </c>
      <c r="L40" s="382" t="s">
        <v>828</v>
      </c>
      <c r="M40" s="479" t="s">
        <v>676</v>
      </c>
      <c r="N40" s="479" t="s">
        <v>677</v>
      </c>
      <c r="O40" s="383" t="s">
        <v>799</v>
      </c>
      <c r="P40" s="383" t="s">
        <v>800</v>
      </c>
      <c r="Q40" s="479" t="s">
        <v>801</v>
      </c>
      <c r="V40" s="131"/>
    </row>
    <row r="41" spans="1:40" x14ac:dyDescent="0.35">
      <c r="A41" s="280"/>
      <c r="B41" s="323" t="s">
        <v>975</v>
      </c>
      <c r="C41" s="147">
        <f>'Inputs and eligible population'!F75</f>
        <v>60</v>
      </c>
      <c r="D41" s="126">
        <f t="shared" ref="D41:I41" si="13">(D31+D32)*$C$41/60</f>
        <v>0</v>
      </c>
      <c r="E41" s="126">
        <f t="shared" si="13"/>
        <v>1218.601820283478</v>
      </c>
      <c r="F41" s="126">
        <f t="shared" si="13"/>
        <v>2460.7026888196892</v>
      </c>
      <c r="G41" s="126">
        <f t="shared" si="13"/>
        <v>3726.6424655568908</v>
      </c>
      <c r="H41" s="126">
        <f t="shared" si="13"/>
        <v>3762.5740346966913</v>
      </c>
      <c r="I41" s="126">
        <f t="shared" si="13"/>
        <v>3798.8520491080144</v>
      </c>
      <c r="J41" s="280"/>
      <c r="K41" s="496">
        <f>'Inputs and eligible population'!K75</f>
        <v>42.15</v>
      </c>
      <c r="L41" s="282">
        <f>(D41*$K41)/1000</f>
        <v>0</v>
      </c>
      <c r="M41" s="282">
        <f t="shared" ref="M41:Q42" si="14">(E41*$K41)/1000</f>
        <v>51.364066724948593</v>
      </c>
      <c r="N41" s="282">
        <f t="shared" si="14"/>
        <v>103.7186183337499</v>
      </c>
      <c r="O41" s="282">
        <f t="shared" si="14"/>
        <v>157.07797992322295</v>
      </c>
      <c r="P41" s="282">
        <f t="shared" si="14"/>
        <v>158.59249556246553</v>
      </c>
      <c r="Q41" s="282">
        <f t="shared" si="14"/>
        <v>160.1216138699028</v>
      </c>
      <c r="S41" s="131"/>
      <c r="T41" s="131"/>
      <c r="U41" s="131"/>
      <c r="V41" s="131"/>
      <c r="W41" s="131"/>
      <c r="X41" s="131"/>
      <c r="Y41" s="131"/>
      <c r="Z41" s="131"/>
      <c r="AJ41" s="279"/>
      <c r="AK41" s="279"/>
      <c r="AL41" s="279"/>
      <c r="AM41" s="279"/>
      <c r="AN41" s="279"/>
    </row>
    <row r="42" spans="1:40" x14ac:dyDescent="0.35">
      <c r="A42" s="280"/>
      <c r="B42" s="323" t="s">
        <v>976</v>
      </c>
      <c r="C42" s="147">
        <f>'Inputs and eligible population'!G75</f>
        <v>30</v>
      </c>
      <c r="D42" s="126">
        <f t="shared" ref="D42:I42" si="15">(D33+D34)*$C$42/60</f>
        <v>6034.822504747628</v>
      </c>
      <c r="E42" s="126">
        <f t="shared" si="15"/>
        <v>5483.7081912756503</v>
      </c>
      <c r="F42" s="126">
        <f t="shared" si="15"/>
        <v>4921.4053776393785</v>
      </c>
      <c r="G42" s="126">
        <f t="shared" si="15"/>
        <v>4347.7495431497064</v>
      </c>
      <c r="H42" s="126">
        <f t="shared" si="15"/>
        <v>4389.6697071461404</v>
      </c>
      <c r="I42" s="126">
        <f t="shared" si="15"/>
        <v>4431.9940572926835</v>
      </c>
      <c r="J42" s="280"/>
      <c r="K42" s="496">
        <f>'Inputs and eligible population'!K75</f>
        <v>42.15</v>
      </c>
      <c r="L42" s="282">
        <f>(D42*$K42)/1000</f>
        <v>254.36776857511251</v>
      </c>
      <c r="M42" s="282">
        <f t="shared" si="14"/>
        <v>231.13830026226867</v>
      </c>
      <c r="N42" s="282">
        <f t="shared" si="14"/>
        <v>207.4372366674998</v>
      </c>
      <c r="O42" s="282">
        <f t="shared" si="14"/>
        <v>183.2576432437601</v>
      </c>
      <c r="P42" s="282">
        <f t="shared" si="14"/>
        <v>185.0245781562098</v>
      </c>
      <c r="Q42" s="282">
        <f t="shared" si="14"/>
        <v>186.80854951488661</v>
      </c>
      <c r="S42" s="131"/>
      <c r="T42" s="131"/>
      <c r="U42" s="131"/>
      <c r="V42" s="131"/>
      <c r="W42" s="131"/>
      <c r="X42" s="131"/>
      <c r="Y42" s="131"/>
      <c r="Z42" s="131"/>
      <c r="AJ42" s="279"/>
      <c r="AK42" s="279"/>
      <c r="AL42" s="279"/>
      <c r="AM42" s="279"/>
      <c r="AN42" s="279"/>
    </row>
    <row r="43" spans="1:40" x14ac:dyDescent="0.35">
      <c r="A43" s="280"/>
      <c r="B43" s="276" t="s">
        <v>846</v>
      </c>
      <c r="C43" s="304"/>
      <c r="D43" s="184">
        <f t="shared" ref="D43:I43" si="16">SUM(D41:D42)</f>
        <v>6034.822504747628</v>
      </c>
      <c r="E43" s="184">
        <f t="shared" si="16"/>
        <v>6702.3100115591278</v>
      </c>
      <c r="F43" s="184">
        <f t="shared" si="16"/>
        <v>7382.1080664590681</v>
      </c>
      <c r="G43" s="184">
        <f t="shared" si="16"/>
        <v>8074.3920087065972</v>
      </c>
      <c r="H43" s="184">
        <f t="shared" si="16"/>
        <v>8152.2437418428317</v>
      </c>
      <c r="I43" s="184">
        <f t="shared" si="16"/>
        <v>8230.8461064006988</v>
      </c>
      <c r="J43" s="280"/>
      <c r="K43" s="280"/>
      <c r="L43" s="283">
        <f t="shared" ref="L43:Q43" si="17">SUM(L41:L42)</f>
        <v>254.36776857511251</v>
      </c>
      <c r="M43" s="283">
        <f t="shared" si="17"/>
        <v>282.50236698721727</v>
      </c>
      <c r="N43" s="283">
        <f t="shared" si="17"/>
        <v>311.15585500124973</v>
      </c>
      <c r="O43" s="283">
        <f t="shared" si="17"/>
        <v>340.33562316698305</v>
      </c>
      <c r="P43" s="283">
        <f t="shared" si="17"/>
        <v>343.61707371867533</v>
      </c>
      <c r="Q43" s="283">
        <f t="shared" si="17"/>
        <v>346.93016338478941</v>
      </c>
      <c r="S43" s="131"/>
      <c r="T43" s="131"/>
      <c r="U43" s="131"/>
      <c r="V43" s="131"/>
      <c r="W43" s="131"/>
      <c r="X43" s="131"/>
      <c r="Y43" s="131"/>
      <c r="Z43" s="131"/>
      <c r="AJ43" s="279"/>
      <c r="AK43" s="279"/>
      <c r="AL43" s="279"/>
      <c r="AM43" s="279"/>
      <c r="AN43" s="279"/>
    </row>
    <row r="44" spans="1:40" x14ac:dyDescent="0.35">
      <c r="A44" s="280"/>
      <c r="B44" s="299"/>
      <c r="C44" s="250"/>
      <c r="D44" s="278" t="s">
        <v>847</v>
      </c>
      <c r="E44" s="184">
        <f>E43-$D$43</f>
        <v>667.48750681149977</v>
      </c>
      <c r="F44" s="184">
        <f>F43-$D$43</f>
        <v>1347.2855617114401</v>
      </c>
      <c r="G44" s="184">
        <f>G43-$D$43</f>
        <v>2039.5695039589691</v>
      </c>
      <c r="H44" s="184">
        <f>H43-$D$43</f>
        <v>2117.4212370952037</v>
      </c>
      <c r="I44" s="184">
        <f>I43-$D$43</f>
        <v>2196.0236016530707</v>
      </c>
      <c r="J44" s="280"/>
      <c r="K44" s="280"/>
      <c r="L44" s="480"/>
      <c r="M44" s="283">
        <f>M43-$L$43</f>
        <v>28.134598412104765</v>
      </c>
      <c r="N44" s="283">
        <f>N43-$L$43</f>
        <v>56.788086426137227</v>
      </c>
      <c r="O44" s="283">
        <f>O43-$L$43</f>
        <v>85.967854591870548</v>
      </c>
      <c r="P44" s="283">
        <f>P43-$L$43</f>
        <v>89.249305143562822</v>
      </c>
      <c r="Q44" s="283">
        <f>Q43-$L$43</f>
        <v>92.562394809676903</v>
      </c>
      <c r="S44" s="131"/>
      <c r="T44" s="131"/>
      <c r="U44" s="131"/>
      <c r="V44" s="131"/>
      <c r="W44" s="131"/>
      <c r="X44" s="131"/>
      <c r="Y44" s="131"/>
      <c r="Z44" s="131"/>
      <c r="AJ44" s="279"/>
      <c r="AK44" s="279"/>
      <c r="AL44" s="279"/>
      <c r="AM44" s="279"/>
      <c r="AN44" s="279"/>
    </row>
    <row r="45" spans="1:40" x14ac:dyDescent="0.35">
      <c r="A45" s="280"/>
      <c r="B45" s="306"/>
      <c r="C45" s="215"/>
      <c r="D45" s="215"/>
      <c r="E45" s="215"/>
      <c r="F45" s="215"/>
      <c r="G45" s="215"/>
      <c r="H45" s="215"/>
      <c r="I45" s="215"/>
      <c r="J45" s="215"/>
      <c r="K45" s="215"/>
      <c r="L45" s="215"/>
      <c r="M45" s="215"/>
      <c r="N45" s="215"/>
      <c r="O45" s="215"/>
      <c r="P45" s="215"/>
      <c r="Q45" s="215"/>
      <c r="S45" s="131"/>
      <c r="T45" s="131"/>
      <c r="U45" s="131"/>
      <c r="V45" s="131"/>
      <c r="W45" s="131"/>
      <c r="X45" s="131"/>
      <c r="Y45" s="131"/>
      <c r="Z45" s="131"/>
      <c r="AJ45" s="279"/>
      <c r="AK45" s="279"/>
      <c r="AL45" s="279"/>
      <c r="AM45" s="279"/>
      <c r="AN45" s="279"/>
    </row>
    <row r="46" spans="1:40" x14ac:dyDescent="0.35">
      <c r="A46" s="280"/>
      <c r="B46" s="362" t="s">
        <v>848</v>
      </c>
      <c r="C46" s="361"/>
      <c r="D46" s="361"/>
      <c r="E46" s="361"/>
      <c r="F46" s="361"/>
      <c r="G46" s="361"/>
      <c r="H46" s="361"/>
      <c r="I46" s="214"/>
      <c r="J46" s="386"/>
      <c r="K46" s="215"/>
      <c r="L46" s="385"/>
      <c r="M46" s="385"/>
      <c r="N46" s="385"/>
      <c r="O46" s="385"/>
      <c r="P46" s="385"/>
      <c r="Q46" s="385"/>
      <c r="S46" s="131"/>
      <c r="T46" s="131"/>
      <c r="U46" s="131"/>
      <c r="V46" s="131"/>
      <c r="W46" s="131"/>
      <c r="X46" s="131"/>
      <c r="Y46" s="131"/>
      <c r="Z46" s="131"/>
      <c r="AJ46" s="279"/>
      <c r="AK46" s="279"/>
      <c r="AL46" s="279"/>
      <c r="AM46" s="279"/>
      <c r="AN46" s="279"/>
    </row>
    <row r="47" spans="1:40" ht="72.5" x14ac:dyDescent="0.35">
      <c r="A47" s="280"/>
      <c r="B47" s="275" t="s">
        <v>771</v>
      </c>
      <c r="C47" s="164" t="s">
        <v>722</v>
      </c>
      <c r="D47" s="382" t="s">
        <v>828</v>
      </c>
      <c r="E47" s="249" t="s">
        <v>676</v>
      </c>
      <c r="F47" s="249" t="s">
        <v>677</v>
      </c>
      <c r="G47" s="163" t="s">
        <v>799</v>
      </c>
      <c r="H47" s="163" t="s">
        <v>800</v>
      </c>
      <c r="I47" s="249" t="s">
        <v>801</v>
      </c>
      <c r="J47" s="280"/>
      <c r="K47" s="489" t="s">
        <v>838</v>
      </c>
      <c r="L47" s="382" t="s">
        <v>828</v>
      </c>
      <c r="M47" s="249" t="s">
        <v>676</v>
      </c>
      <c r="N47" s="249" t="s">
        <v>677</v>
      </c>
      <c r="O47" s="163" t="s">
        <v>799</v>
      </c>
      <c r="P47" s="163" t="s">
        <v>800</v>
      </c>
      <c r="Q47" s="249" t="s">
        <v>801</v>
      </c>
      <c r="S47" s="131"/>
      <c r="T47" s="131"/>
      <c r="U47" s="131"/>
      <c r="V47" s="131"/>
      <c r="W47" s="131"/>
      <c r="X47" s="131"/>
      <c r="Y47" s="131"/>
      <c r="Z47" s="131"/>
      <c r="AJ47" s="279"/>
      <c r="AK47" s="279"/>
      <c r="AL47" s="279"/>
      <c r="AM47" s="279"/>
      <c r="AN47" s="279"/>
    </row>
    <row r="48" spans="1:40" x14ac:dyDescent="0.35">
      <c r="A48" s="280"/>
      <c r="B48" s="323" t="s">
        <v>975</v>
      </c>
      <c r="C48" s="147">
        <f>'Inputs and eligible population'!F76</f>
        <v>30</v>
      </c>
      <c r="D48" s="126">
        <f t="shared" ref="D48:I48" si="18">(D31+D32)*$C48/60</f>
        <v>0</v>
      </c>
      <c r="E48" s="126">
        <f t="shared" si="18"/>
        <v>609.300910141739</v>
      </c>
      <c r="F48" s="126">
        <f t="shared" si="18"/>
        <v>1230.3513444098446</v>
      </c>
      <c r="G48" s="126">
        <f t="shared" si="18"/>
        <v>1863.3212327784454</v>
      </c>
      <c r="H48" s="126">
        <f t="shared" si="18"/>
        <v>1881.2870173483457</v>
      </c>
      <c r="I48" s="126">
        <f t="shared" si="18"/>
        <v>1899.4260245540072</v>
      </c>
      <c r="J48" s="280"/>
      <c r="K48" s="496">
        <f>'Inputs and eligible population'!K76</f>
        <v>42.15</v>
      </c>
      <c r="L48" s="282">
        <f>(D48*$K48)/1000</f>
        <v>0</v>
      </c>
      <c r="M48" s="282">
        <f t="shared" ref="M48:Q49" si="19">(E48*$K48)/1000</f>
        <v>25.682033362474296</v>
      </c>
      <c r="N48" s="282">
        <f t="shared" si="19"/>
        <v>51.859309166874951</v>
      </c>
      <c r="O48" s="282">
        <f t="shared" si="19"/>
        <v>78.538989961611477</v>
      </c>
      <c r="P48" s="282">
        <f t="shared" si="19"/>
        <v>79.296247781232765</v>
      </c>
      <c r="Q48" s="282">
        <f t="shared" si="19"/>
        <v>80.060806934951401</v>
      </c>
      <c r="S48" s="131"/>
      <c r="T48" s="131"/>
      <c r="U48" s="131"/>
      <c r="V48" s="131"/>
      <c r="W48" s="131"/>
      <c r="X48" s="131"/>
      <c r="Y48" s="131"/>
      <c r="Z48" s="131"/>
      <c r="AJ48" s="279"/>
      <c r="AK48" s="279"/>
      <c r="AL48" s="279"/>
      <c r="AM48" s="279"/>
      <c r="AN48" s="279"/>
    </row>
    <row r="49" spans="1:40" x14ac:dyDescent="0.35">
      <c r="A49" s="280"/>
      <c r="B49" s="323" t="s">
        <v>976</v>
      </c>
      <c r="C49" s="147">
        <f>'Inputs and eligible population'!G76</f>
        <v>30</v>
      </c>
      <c r="D49" s="126">
        <f t="shared" ref="D49:I49" si="20">(D33+D34)*$C49/60</f>
        <v>6034.822504747628</v>
      </c>
      <c r="E49" s="126">
        <f t="shared" si="20"/>
        <v>5483.7081912756503</v>
      </c>
      <c r="F49" s="126">
        <f t="shared" si="20"/>
        <v>4921.4053776393785</v>
      </c>
      <c r="G49" s="126">
        <f t="shared" si="20"/>
        <v>4347.7495431497064</v>
      </c>
      <c r="H49" s="126">
        <f t="shared" si="20"/>
        <v>4389.6697071461404</v>
      </c>
      <c r="I49" s="126">
        <f t="shared" si="20"/>
        <v>4431.9940572926835</v>
      </c>
      <c r="J49" s="280"/>
      <c r="K49" s="496">
        <f>'Inputs and eligible population'!K76</f>
        <v>42.15</v>
      </c>
      <c r="L49" s="282">
        <f>(D49*$K49)/1000</f>
        <v>254.36776857511251</v>
      </c>
      <c r="M49" s="282">
        <f t="shared" si="19"/>
        <v>231.13830026226867</v>
      </c>
      <c r="N49" s="282">
        <f t="shared" si="19"/>
        <v>207.4372366674998</v>
      </c>
      <c r="O49" s="282">
        <f t="shared" si="19"/>
        <v>183.2576432437601</v>
      </c>
      <c r="P49" s="282">
        <f t="shared" si="19"/>
        <v>185.0245781562098</v>
      </c>
      <c r="Q49" s="282">
        <f t="shared" si="19"/>
        <v>186.80854951488661</v>
      </c>
      <c r="S49" s="131"/>
      <c r="T49" s="131"/>
      <c r="U49" s="131"/>
      <c r="V49" s="131"/>
      <c r="W49" s="131"/>
      <c r="X49" s="131"/>
      <c r="Y49" s="131"/>
      <c r="Z49" s="131"/>
      <c r="AJ49" s="279"/>
      <c r="AK49" s="279"/>
      <c r="AL49" s="279"/>
      <c r="AM49" s="279"/>
      <c r="AN49" s="279"/>
    </row>
    <row r="50" spans="1:40" x14ac:dyDescent="0.35">
      <c r="A50" s="280"/>
      <c r="B50" s="276"/>
      <c r="C50" s="276"/>
      <c r="D50" s="184">
        <f t="shared" ref="D50:I50" si="21">SUM(D48:D49)</f>
        <v>6034.822504747628</v>
      </c>
      <c r="E50" s="184">
        <f t="shared" si="21"/>
        <v>6093.0091014173895</v>
      </c>
      <c r="F50" s="184">
        <f t="shared" si="21"/>
        <v>6151.7567220492228</v>
      </c>
      <c r="G50" s="184">
        <f t="shared" si="21"/>
        <v>6211.0707759281522</v>
      </c>
      <c r="H50" s="184">
        <f t="shared" si="21"/>
        <v>6270.9567244944865</v>
      </c>
      <c r="I50" s="184">
        <f t="shared" si="21"/>
        <v>6331.4200818466907</v>
      </c>
      <c r="J50" s="280"/>
      <c r="K50" s="280"/>
      <c r="L50" s="283">
        <f t="shared" ref="L50:Q50" si="22">SUM(L48:L49)</f>
        <v>254.36776857511251</v>
      </c>
      <c r="M50" s="283">
        <f t="shared" si="22"/>
        <v>256.82033362474294</v>
      </c>
      <c r="N50" s="283">
        <f t="shared" si="22"/>
        <v>259.29654583437474</v>
      </c>
      <c r="O50" s="283">
        <f t="shared" si="22"/>
        <v>261.79663320537156</v>
      </c>
      <c r="P50" s="283">
        <f t="shared" si="22"/>
        <v>264.32082593744258</v>
      </c>
      <c r="Q50" s="283">
        <f t="shared" si="22"/>
        <v>266.86935644983799</v>
      </c>
      <c r="S50" s="131"/>
      <c r="T50" s="131"/>
      <c r="U50" s="131"/>
      <c r="V50" s="131"/>
      <c r="W50" s="131"/>
      <c r="X50" s="131"/>
      <c r="Y50" s="131"/>
      <c r="Z50" s="131"/>
      <c r="AJ50" s="279"/>
      <c r="AK50" s="279"/>
      <c r="AL50" s="279"/>
      <c r="AM50" s="279"/>
      <c r="AN50" s="279"/>
    </row>
    <row r="51" spans="1:40" x14ac:dyDescent="0.35">
      <c r="A51" s="280"/>
      <c r="B51" s="276"/>
      <c r="C51" s="276"/>
      <c r="D51" s="278" t="s">
        <v>849</v>
      </c>
      <c r="E51" s="184">
        <f>E50-$D$50</f>
        <v>58.186596669761457</v>
      </c>
      <c r="F51" s="184">
        <f>F50-$D$50</f>
        <v>116.9342173015948</v>
      </c>
      <c r="G51" s="184">
        <f>G50-$D$50</f>
        <v>176.24827118052417</v>
      </c>
      <c r="H51" s="184">
        <f>H50-$D$50</f>
        <v>236.13421974685843</v>
      </c>
      <c r="I51" s="184">
        <f>I50-$D$50</f>
        <v>296.59757709906262</v>
      </c>
      <c r="J51" s="280"/>
      <c r="K51" s="280"/>
      <c r="L51" s="480"/>
      <c r="M51" s="283">
        <f>M50-$L$50</f>
        <v>2.4525650496304365</v>
      </c>
      <c r="N51" s="283">
        <f>N50-$L$50</f>
        <v>4.9287772592622332</v>
      </c>
      <c r="O51" s="283">
        <f>O50-$L$50</f>
        <v>7.4288646302590564</v>
      </c>
      <c r="P51" s="283">
        <f>P50-$L$50</f>
        <v>9.9530573623300711</v>
      </c>
      <c r="Q51" s="283">
        <f>Q50-$L$50</f>
        <v>12.501587874725487</v>
      </c>
      <c r="S51" s="131"/>
      <c r="T51" s="131"/>
      <c r="U51" s="131"/>
      <c r="V51" s="131"/>
      <c r="W51" s="131"/>
      <c r="X51" s="131"/>
      <c r="Y51" s="131"/>
      <c r="Z51" s="131"/>
      <c r="AJ51" s="279"/>
      <c r="AK51" s="279"/>
      <c r="AL51" s="279"/>
      <c r="AM51" s="279"/>
      <c r="AN51" s="279"/>
    </row>
    <row r="52" spans="1:40" x14ac:dyDescent="0.35">
      <c r="A52" s="280"/>
      <c r="B52" s="306"/>
      <c r="C52" s="215"/>
      <c r="D52" s="215"/>
      <c r="E52" s="215"/>
      <c r="F52" s="215"/>
      <c r="G52" s="215"/>
      <c r="H52" s="215"/>
      <c r="I52" s="215"/>
      <c r="J52" s="215"/>
      <c r="K52" s="215"/>
      <c r="L52" s="215"/>
      <c r="M52" s="215"/>
      <c r="N52" s="215"/>
      <c r="O52" s="215"/>
      <c r="P52" s="215"/>
      <c r="Q52" s="215"/>
      <c r="S52" s="131"/>
      <c r="T52" s="131"/>
      <c r="U52" s="131"/>
      <c r="V52" s="131"/>
      <c r="W52" s="131"/>
      <c r="X52" s="131"/>
      <c r="Y52" s="131"/>
      <c r="Z52" s="131"/>
      <c r="AJ52" s="279"/>
      <c r="AK52" s="279"/>
      <c r="AL52" s="279"/>
      <c r="AM52" s="279"/>
      <c r="AN52" s="279"/>
    </row>
    <row r="53" spans="1:40" x14ac:dyDescent="0.35">
      <c r="A53" s="280"/>
      <c r="B53" s="362" t="s">
        <v>822</v>
      </c>
      <c r="C53" s="361"/>
      <c r="D53" s="361"/>
      <c r="E53" s="361"/>
      <c r="F53" s="361"/>
      <c r="G53" s="361"/>
      <c r="H53" s="361"/>
      <c r="I53" s="214"/>
      <c r="J53" s="386"/>
      <c r="K53" s="215"/>
      <c r="L53" s="385"/>
      <c r="M53" s="385"/>
      <c r="N53" s="385"/>
      <c r="O53" s="385"/>
      <c r="P53" s="385"/>
      <c r="Q53" s="385"/>
      <c r="V53" s="131"/>
      <c r="AJ53" s="279"/>
      <c r="AK53" s="279"/>
      <c r="AL53" s="279"/>
      <c r="AM53" s="279"/>
      <c r="AN53" s="279"/>
    </row>
    <row r="54" spans="1:40" ht="58" x14ac:dyDescent="0.35">
      <c r="A54" s="280"/>
      <c r="B54" s="275" t="s">
        <v>771</v>
      </c>
      <c r="C54" s="164" t="s">
        <v>723</v>
      </c>
      <c r="D54" s="382" t="s">
        <v>828</v>
      </c>
      <c r="E54" s="249" t="s">
        <v>676</v>
      </c>
      <c r="F54" s="249" t="s">
        <v>677</v>
      </c>
      <c r="G54" s="163" t="s">
        <v>799</v>
      </c>
      <c r="H54" s="163" t="s">
        <v>800</v>
      </c>
      <c r="I54" s="249" t="s">
        <v>801</v>
      </c>
      <c r="J54" s="280"/>
      <c r="K54" s="489" t="s">
        <v>838</v>
      </c>
      <c r="L54" s="382" t="s">
        <v>828</v>
      </c>
      <c r="M54" s="249" t="s">
        <v>676</v>
      </c>
      <c r="N54" s="249" t="s">
        <v>677</v>
      </c>
      <c r="O54" s="163" t="s">
        <v>799</v>
      </c>
      <c r="P54" s="163" t="s">
        <v>800</v>
      </c>
      <c r="Q54" s="249" t="s">
        <v>801</v>
      </c>
      <c r="V54" s="131"/>
      <c r="AJ54" s="279"/>
      <c r="AK54" s="279"/>
      <c r="AL54" s="279"/>
      <c r="AM54" s="279"/>
      <c r="AN54" s="279"/>
    </row>
    <row r="55" spans="1:40" x14ac:dyDescent="0.35">
      <c r="A55" s="280"/>
      <c r="B55" s="323" t="s">
        <v>975</v>
      </c>
      <c r="C55" s="147">
        <f>'Inputs and eligible population'!F77</f>
        <v>30</v>
      </c>
      <c r="D55" s="126">
        <f t="shared" ref="D55:I55" si="23">(D31+D32)*$C55/60</f>
        <v>0</v>
      </c>
      <c r="E55" s="126">
        <f t="shared" si="23"/>
        <v>609.300910141739</v>
      </c>
      <c r="F55" s="126">
        <f t="shared" si="23"/>
        <v>1230.3513444098446</v>
      </c>
      <c r="G55" s="126">
        <f t="shared" si="23"/>
        <v>1863.3212327784454</v>
      </c>
      <c r="H55" s="126">
        <f t="shared" si="23"/>
        <v>1881.2870173483457</v>
      </c>
      <c r="I55" s="126">
        <f t="shared" si="23"/>
        <v>1899.4260245540072</v>
      </c>
      <c r="J55" s="280"/>
      <c r="K55" s="496">
        <f>'Inputs and eligible population'!K77</f>
        <v>42.15</v>
      </c>
      <c r="L55" s="282">
        <f>(D55*$K55)/1000</f>
        <v>0</v>
      </c>
      <c r="M55" s="282">
        <f t="shared" ref="M55:Q56" si="24">(E55*$K55)/1000</f>
        <v>25.682033362474296</v>
      </c>
      <c r="N55" s="282">
        <f t="shared" si="24"/>
        <v>51.859309166874951</v>
      </c>
      <c r="O55" s="282">
        <f t="shared" si="24"/>
        <v>78.538989961611477</v>
      </c>
      <c r="P55" s="282">
        <f t="shared" si="24"/>
        <v>79.296247781232765</v>
      </c>
      <c r="Q55" s="282">
        <f t="shared" si="24"/>
        <v>80.060806934951401</v>
      </c>
      <c r="V55" s="131"/>
      <c r="AJ55" s="279"/>
      <c r="AK55" s="279"/>
      <c r="AL55" s="279"/>
      <c r="AM55" s="279"/>
      <c r="AN55" s="279"/>
    </row>
    <row r="56" spans="1:40" x14ac:dyDescent="0.35">
      <c r="A56" s="280"/>
      <c r="B56" s="323" t="s">
        <v>976</v>
      </c>
      <c r="C56" s="147">
        <f>'Inputs and eligible population'!G77</f>
        <v>30</v>
      </c>
      <c r="D56" s="126">
        <f t="shared" ref="D56:I56" si="25">(D33+D34)*$C56/60</f>
        <v>6034.822504747628</v>
      </c>
      <c r="E56" s="126">
        <f t="shared" si="25"/>
        <v>5483.7081912756503</v>
      </c>
      <c r="F56" s="126">
        <f t="shared" si="25"/>
        <v>4921.4053776393785</v>
      </c>
      <c r="G56" s="126">
        <f t="shared" si="25"/>
        <v>4347.7495431497064</v>
      </c>
      <c r="H56" s="126">
        <f t="shared" si="25"/>
        <v>4389.6697071461404</v>
      </c>
      <c r="I56" s="126">
        <f t="shared" si="25"/>
        <v>4431.9940572926835</v>
      </c>
      <c r="J56" s="280"/>
      <c r="K56" s="496">
        <f>'Inputs and eligible population'!K77</f>
        <v>42.15</v>
      </c>
      <c r="L56" s="282">
        <f>(D56*$K56)/1000</f>
        <v>254.36776857511251</v>
      </c>
      <c r="M56" s="282">
        <f t="shared" si="24"/>
        <v>231.13830026226867</v>
      </c>
      <c r="N56" s="282">
        <f t="shared" si="24"/>
        <v>207.4372366674998</v>
      </c>
      <c r="O56" s="282">
        <f t="shared" si="24"/>
        <v>183.2576432437601</v>
      </c>
      <c r="P56" s="282">
        <f t="shared" si="24"/>
        <v>185.0245781562098</v>
      </c>
      <c r="Q56" s="282">
        <f t="shared" si="24"/>
        <v>186.80854951488661</v>
      </c>
      <c r="V56" s="131"/>
      <c r="AJ56" s="279"/>
      <c r="AK56" s="279"/>
      <c r="AL56" s="279"/>
      <c r="AM56" s="279"/>
      <c r="AN56" s="279"/>
    </row>
    <row r="57" spans="1:40" x14ac:dyDescent="0.35">
      <c r="A57" s="280"/>
      <c r="B57" s="276"/>
      <c r="C57" s="276"/>
      <c r="D57" s="184">
        <f t="shared" ref="D57:I57" si="26">SUM(D55:D56)</f>
        <v>6034.822504747628</v>
      </c>
      <c r="E57" s="184">
        <f t="shared" si="26"/>
        <v>6093.0091014173895</v>
      </c>
      <c r="F57" s="184">
        <f t="shared" si="26"/>
        <v>6151.7567220492228</v>
      </c>
      <c r="G57" s="184">
        <f t="shared" si="26"/>
        <v>6211.0707759281522</v>
      </c>
      <c r="H57" s="184">
        <f t="shared" si="26"/>
        <v>6270.9567244944865</v>
      </c>
      <c r="I57" s="184">
        <f t="shared" si="26"/>
        <v>6331.4200818466907</v>
      </c>
      <c r="J57" s="280"/>
      <c r="K57" s="280"/>
      <c r="L57" s="283">
        <f t="shared" ref="L57:Q57" si="27">SUM(L55:L56)</f>
        <v>254.36776857511251</v>
      </c>
      <c r="M57" s="283">
        <f t="shared" si="27"/>
        <v>256.82033362474294</v>
      </c>
      <c r="N57" s="283">
        <f t="shared" si="27"/>
        <v>259.29654583437474</v>
      </c>
      <c r="O57" s="283">
        <f t="shared" si="27"/>
        <v>261.79663320537156</v>
      </c>
      <c r="P57" s="283">
        <f t="shared" si="27"/>
        <v>264.32082593744258</v>
      </c>
      <c r="Q57" s="283">
        <f t="shared" si="27"/>
        <v>266.86935644983799</v>
      </c>
      <c r="R57" s="131"/>
      <c r="S57" s="131"/>
      <c r="T57" s="131"/>
      <c r="U57" s="131"/>
      <c r="V57" s="131"/>
      <c r="W57" s="131"/>
      <c r="X57" s="131"/>
      <c r="Y57" s="131"/>
      <c r="Z57" s="131"/>
      <c r="AJ57" s="279"/>
      <c r="AK57" s="279"/>
      <c r="AL57" s="279"/>
      <c r="AM57" s="279"/>
      <c r="AN57" s="279"/>
    </row>
    <row r="58" spans="1:40" x14ac:dyDescent="0.35">
      <c r="A58" s="280"/>
      <c r="B58" s="299"/>
      <c r="C58" s="276"/>
      <c r="D58" s="278" t="s">
        <v>850</v>
      </c>
      <c r="E58" s="184">
        <f>E57-$D$57</f>
        <v>58.186596669761457</v>
      </c>
      <c r="F58" s="184">
        <f>F57-$D$57</f>
        <v>116.9342173015948</v>
      </c>
      <c r="G58" s="184">
        <f>G57-$D$57</f>
        <v>176.24827118052417</v>
      </c>
      <c r="H58" s="184">
        <f>H57-$D$57</f>
        <v>236.13421974685843</v>
      </c>
      <c r="I58" s="184">
        <f>I57-$D$57</f>
        <v>296.59757709906262</v>
      </c>
      <c r="J58" s="280"/>
      <c r="K58" s="280"/>
      <c r="L58" s="480"/>
      <c r="M58" s="283">
        <f>M57-$L$57</f>
        <v>2.4525650496304365</v>
      </c>
      <c r="N58" s="283">
        <f>N57-$L$57</f>
        <v>4.9287772592622332</v>
      </c>
      <c r="O58" s="283">
        <f>O57-$L$57</f>
        <v>7.4288646302590564</v>
      </c>
      <c r="P58" s="283">
        <f>P57-$L$57</f>
        <v>9.9530573623300711</v>
      </c>
      <c r="Q58" s="283">
        <f>Q57-$L$57</f>
        <v>12.501587874725487</v>
      </c>
      <c r="R58" s="131"/>
      <c r="S58" s="131"/>
      <c r="T58" s="131"/>
      <c r="U58" s="131"/>
      <c r="V58" s="131"/>
      <c r="W58" s="131"/>
      <c r="X58" s="131"/>
      <c r="Y58" s="131"/>
      <c r="Z58" s="131"/>
      <c r="AJ58" s="279"/>
      <c r="AK58" s="279"/>
      <c r="AL58" s="279"/>
      <c r="AM58" s="279"/>
      <c r="AN58" s="279"/>
    </row>
    <row r="59" spans="1:40" x14ac:dyDescent="0.35">
      <c r="A59" s="280"/>
      <c r="B59" s="306"/>
      <c r="C59" s="215"/>
      <c r="D59" s="215"/>
      <c r="E59" s="215"/>
      <c r="F59" s="215"/>
      <c r="G59" s="215"/>
      <c r="H59" s="215"/>
      <c r="I59" s="215"/>
      <c r="J59" s="280"/>
      <c r="K59" s="280"/>
      <c r="L59" s="215"/>
      <c r="M59" s="215"/>
      <c r="N59" s="215"/>
      <c r="O59" s="215"/>
      <c r="P59" s="215"/>
      <c r="Q59" s="215"/>
      <c r="R59" s="131"/>
      <c r="S59" s="131"/>
      <c r="T59" s="131"/>
      <c r="U59" s="131"/>
      <c r="V59" s="131"/>
      <c r="W59" s="131"/>
      <c r="X59" s="131"/>
      <c r="Y59" s="131"/>
      <c r="Z59" s="131"/>
      <c r="AJ59" s="279"/>
      <c r="AK59" s="279"/>
      <c r="AL59" s="279"/>
      <c r="AM59" s="279"/>
      <c r="AN59" s="279"/>
    </row>
    <row r="60" spans="1:40" x14ac:dyDescent="0.35">
      <c r="A60" s="638"/>
      <c r="B60" s="644" t="s">
        <v>851</v>
      </c>
      <c r="C60" s="639"/>
      <c r="D60" s="640"/>
      <c r="E60" s="639"/>
      <c r="F60" s="641"/>
      <c r="G60" s="642"/>
      <c r="H60" s="642"/>
      <c r="I60" s="643"/>
      <c r="J60" s="638"/>
      <c r="K60" s="638"/>
      <c r="L60" s="638"/>
      <c r="M60" s="638"/>
      <c r="N60" s="638"/>
      <c r="O60" s="638"/>
      <c r="P60" s="638"/>
      <c r="Q60" s="638"/>
      <c r="R60" s="131"/>
      <c r="S60" s="131"/>
      <c r="T60" s="131"/>
      <c r="U60" s="131"/>
      <c r="V60" s="131"/>
      <c r="W60" s="131"/>
      <c r="X60" s="131"/>
      <c r="Y60" s="131"/>
      <c r="Z60" s="131"/>
      <c r="AJ60" s="279"/>
      <c r="AK60" s="279"/>
      <c r="AL60" s="279"/>
      <c r="AM60" s="279"/>
      <c r="AN60" s="279"/>
    </row>
    <row r="61" spans="1:40" x14ac:dyDescent="0.35">
      <c r="A61" s="281"/>
      <c r="B61" s="363" t="s">
        <v>852</v>
      </c>
      <c r="C61" s="364"/>
      <c r="D61" s="364"/>
      <c r="E61" s="364"/>
      <c r="F61" s="364"/>
      <c r="G61" s="364"/>
      <c r="H61" s="364"/>
      <c r="I61" s="216"/>
      <c r="J61" s="281"/>
      <c r="K61" s="281"/>
      <c r="L61" s="281"/>
      <c r="M61" s="281"/>
      <c r="N61" s="281"/>
      <c r="O61" s="281"/>
      <c r="P61" s="281"/>
      <c r="Q61" s="281"/>
      <c r="V61" s="131"/>
    </row>
    <row r="62" spans="1:40" ht="43.5" x14ac:dyDescent="0.35">
      <c r="A62" s="281"/>
      <c r="B62" s="272" t="s">
        <v>771</v>
      </c>
      <c r="C62" s="164" t="s">
        <v>853</v>
      </c>
      <c r="D62" s="382" t="s">
        <v>828</v>
      </c>
      <c r="E62" s="249" t="s">
        <v>676</v>
      </c>
      <c r="F62" s="249" t="s">
        <v>677</v>
      </c>
      <c r="G62" s="163" t="s">
        <v>799</v>
      </c>
      <c r="H62" s="163" t="s">
        <v>800</v>
      </c>
      <c r="I62" s="249" t="s">
        <v>801</v>
      </c>
      <c r="J62" s="281"/>
      <c r="K62" s="489" t="s">
        <v>838</v>
      </c>
      <c r="L62" s="382" t="s">
        <v>828</v>
      </c>
      <c r="M62" s="249" t="s">
        <v>676</v>
      </c>
      <c r="N62" s="249" t="s">
        <v>677</v>
      </c>
      <c r="O62" s="163" t="s">
        <v>799</v>
      </c>
      <c r="P62" s="163" t="s">
        <v>800</v>
      </c>
      <c r="Q62" s="249" t="s">
        <v>801</v>
      </c>
      <c r="V62" s="131"/>
    </row>
    <row r="63" spans="1:40" x14ac:dyDescent="0.35">
      <c r="A63" s="281"/>
      <c r="B63" s="323" t="s">
        <v>975</v>
      </c>
      <c r="C63" s="147">
        <f>'Inputs and eligible population'!F78</f>
        <v>15</v>
      </c>
      <c r="D63" s="126">
        <f t="shared" ref="D63:I63" si="28">(D31+D32)*$C63/60</f>
        <v>0</v>
      </c>
      <c r="E63" s="126">
        <f t="shared" si="28"/>
        <v>304.6504550708695</v>
      </c>
      <c r="F63" s="126">
        <f t="shared" si="28"/>
        <v>615.17567220492231</v>
      </c>
      <c r="G63" s="126">
        <f t="shared" si="28"/>
        <v>931.6606163892227</v>
      </c>
      <c r="H63" s="126">
        <f t="shared" si="28"/>
        <v>940.64350867417284</v>
      </c>
      <c r="I63" s="126">
        <f t="shared" si="28"/>
        <v>949.7130122770036</v>
      </c>
      <c r="J63" s="281"/>
      <c r="K63" s="496">
        <f>'Inputs and eligible population'!K78</f>
        <v>46.77</v>
      </c>
      <c r="L63" s="282">
        <f>(D63*$K63)/1000</f>
        <v>0</v>
      </c>
      <c r="M63" s="282">
        <f t="shared" ref="M63:Q64" si="29">(E63*$K63)/1000</f>
        <v>14.248501783664567</v>
      </c>
      <c r="N63" s="282">
        <f t="shared" si="29"/>
        <v>28.77176618902422</v>
      </c>
      <c r="O63" s="282">
        <f t="shared" si="29"/>
        <v>43.573767028523953</v>
      </c>
      <c r="P63" s="282">
        <f t="shared" si="29"/>
        <v>43.993896900691063</v>
      </c>
      <c r="Q63" s="282">
        <f t="shared" si="29"/>
        <v>44.418077584195458</v>
      </c>
      <c r="V63" s="131"/>
    </row>
    <row r="64" spans="1:40" x14ac:dyDescent="0.35">
      <c r="A64" s="281"/>
      <c r="B64" s="323" t="s">
        <v>976</v>
      </c>
      <c r="C64" s="147">
        <f>'Inputs and eligible population'!G78</f>
        <v>15</v>
      </c>
      <c r="D64" s="126">
        <f t="shared" ref="D64:I64" si="30">(D33+D34)*$C64/60</f>
        <v>3017.411252373814</v>
      </c>
      <c r="E64" s="126">
        <f t="shared" si="30"/>
        <v>2741.8540956378251</v>
      </c>
      <c r="F64" s="126">
        <f t="shared" si="30"/>
        <v>2460.7026888196892</v>
      </c>
      <c r="G64" s="126">
        <f t="shared" si="30"/>
        <v>2173.8747715748532</v>
      </c>
      <c r="H64" s="126">
        <f t="shared" si="30"/>
        <v>2194.8348535730702</v>
      </c>
      <c r="I64" s="126">
        <f t="shared" si="30"/>
        <v>2215.9970286463417</v>
      </c>
      <c r="J64" s="281"/>
      <c r="K64" s="496">
        <f>'Inputs and eligible population'!K78</f>
        <v>46.77</v>
      </c>
      <c r="L64" s="282">
        <f>(D64*$K64)/1000</f>
        <v>141.12432427352329</v>
      </c>
      <c r="M64" s="282">
        <f t="shared" si="29"/>
        <v>128.2365160529811</v>
      </c>
      <c r="N64" s="282">
        <f t="shared" si="29"/>
        <v>115.08706475609688</v>
      </c>
      <c r="O64" s="282">
        <f t="shared" si="29"/>
        <v>101.67212306655588</v>
      </c>
      <c r="P64" s="282">
        <f t="shared" si="29"/>
        <v>102.65242610161249</v>
      </c>
      <c r="Q64" s="282">
        <f t="shared" si="29"/>
        <v>103.64218102978941</v>
      </c>
      <c r="V64" s="131"/>
    </row>
    <row r="65" spans="1:40" x14ac:dyDescent="0.35">
      <c r="A65" s="281"/>
      <c r="B65" s="276"/>
      <c r="C65" s="205"/>
      <c r="D65" s="184">
        <f t="shared" ref="D65:I65" si="31">SUM(D63:D64)</f>
        <v>3017.411252373814</v>
      </c>
      <c r="E65" s="184">
        <f t="shared" si="31"/>
        <v>3046.5045507086948</v>
      </c>
      <c r="F65" s="184">
        <f t="shared" si="31"/>
        <v>3075.8783610246114</v>
      </c>
      <c r="G65" s="184">
        <f t="shared" si="31"/>
        <v>3105.5353879640761</v>
      </c>
      <c r="H65" s="184">
        <f t="shared" si="31"/>
        <v>3135.4783622472432</v>
      </c>
      <c r="I65" s="184">
        <f t="shared" si="31"/>
        <v>3165.7100409233453</v>
      </c>
      <c r="J65" s="281"/>
      <c r="K65" s="281"/>
      <c r="L65" s="283">
        <f t="shared" ref="L65:Q65" si="32">SUM(L63:L64)</f>
        <v>141.12432427352329</v>
      </c>
      <c r="M65" s="283">
        <f t="shared" si="32"/>
        <v>142.48501783664568</v>
      </c>
      <c r="N65" s="283">
        <f t="shared" si="32"/>
        <v>143.8588309451211</v>
      </c>
      <c r="O65" s="283">
        <f t="shared" si="32"/>
        <v>145.24589009507983</v>
      </c>
      <c r="P65" s="283">
        <f t="shared" si="32"/>
        <v>146.64632300230355</v>
      </c>
      <c r="Q65" s="283">
        <f t="shared" si="32"/>
        <v>148.06025861398487</v>
      </c>
      <c r="V65" s="131"/>
    </row>
    <row r="66" spans="1:40" x14ac:dyDescent="0.35">
      <c r="A66" s="281"/>
      <c r="B66" s="299"/>
      <c r="C66" s="218"/>
      <c r="D66" s="278" t="s">
        <v>824</v>
      </c>
      <c r="E66" s="184">
        <f>E65-$D$65</f>
        <v>29.093298334880728</v>
      </c>
      <c r="F66" s="184">
        <f>F65-$D$65</f>
        <v>58.4671086507974</v>
      </c>
      <c r="G66" s="184">
        <f>G65-$D$65</f>
        <v>88.124135590262085</v>
      </c>
      <c r="H66" s="184">
        <f>H65-$D$65</f>
        <v>118.06710987342922</v>
      </c>
      <c r="I66" s="184">
        <f>I65-$D$65</f>
        <v>148.29878854953131</v>
      </c>
      <c r="J66" s="281"/>
      <c r="K66" s="281"/>
      <c r="L66" s="481"/>
      <c r="M66" s="283">
        <f>M65-$L$65</f>
        <v>1.3606935631223962</v>
      </c>
      <c r="N66" s="283">
        <f>N65-$L$65</f>
        <v>2.7345066715978135</v>
      </c>
      <c r="O66" s="283">
        <f>O65-$L$65</f>
        <v>4.1215658215565441</v>
      </c>
      <c r="P66" s="283">
        <f>P65-$L$65</f>
        <v>5.521998728780261</v>
      </c>
      <c r="Q66" s="283">
        <f>Q65-$L$65</f>
        <v>6.9359343404615856</v>
      </c>
      <c r="V66" s="131"/>
    </row>
    <row r="67" spans="1:40" x14ac:dyDescent="0.35">
      <c r="A67" s="281"/>
      <c r="B67" s="307"/>
      <c r="C67" s="817"/>
      <c r="D67" s="217"/>
      <c r="E67" s="217"/>
      <c r="F67" s="217"/>
      <c r="G67" s="217"/>
      <c r="H67" s="217"/>
      <c r="I67" s="217"/>
      <c r="J67" s="217"/>
      <c r="K67" s="217"/>
      <c r="L67" s="217"/>
      <c r="M67" s="217"/>
      <c r="N67" s="217"/>
      <c r="O67" s="217"/>
      <c r="P67" s="217"/>
      <c r="Q67" s="217"/>
      <c r="R67" s="131"/>
      <c r="S67" s="131"/>
      <c r="T67" s="131"/>
      <c r="U67" s="131"/>
      <c r="V67" s="131"/>
      <c r="W67" s="131"/>
      <c r="X67" s="131"/>
      <c r="Y67" s="131"/>
      <c r="Z67" s="131"/>
      <c r="AJ67" s="279"/>
      <c r="AK67" s="279"/>
      <c r="AL67" s="279"/>
      <c r="AM67" s="279"/>
      <c r="AN67" s="279"/>
    </row>
    <row r="68" spans="1:40" x14ac:dyDescent="0.35">
      <c r="B68"/>
    </row>
    <row r="69" spans="1:40" x14ac:dyDescent="0.35">
      <c r="B69"/>
    </row>
    <row r="70" spans="1:40" x14ac:dyDescent="0.35">
      <c r="B70"/>
    </row>
    <row r="71" spans="1:40" x14ac:dyDescent="0.35">
      <c r="B71"/>
    </row>
    <row r="72" spans="1:40" x14ac:dyDescent="0.35">
      <c r="B72"/>
    </row>
  </sheetData>
  <sheetProtection algorithmName="SHA-512" hashValue="ELjxpQjapmlHOmFjb/B0Ko67jGTdeR/u9n1P7I9oAxnuNH6tAvXfB0NhktoWl2zRQ2584CO8t8cJHWrHY7gjmA==" saltValue="3/X0O36Sf6H92LlUmRH/8g=="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http://purl.org/dc/dcmitype/"/>
    <ds:schemaRef ds:uri="0eb656aa-4e79-4e95-9076-bc119a23e0cc"/>
    <ds:schemaRef ds:uri="http://schemas.microsoft.com/office/2006/metadata/properties"/>
    <ds:schemaRef ds:uri="http://www.w3.org/XML/1998/namespace"/>
    <ds:schemaRef ds:uri="http://schemas.microsoft.com/office/2006/documentManagement/types"/>
    <ds:schemaRef ds:uri="http://purl.org/dc/elements/1.1/"/>
    <ds:schemaRef ds:uri="c1f338ac-e338-414f-952c-f74dcc6d59e1"/>
    <ds:schemaRef ds:uri="http://schemas.openxmlformats.org/package/2006/metadata/core-properties"/>
    <ds:schemaRef ds:uri="http://purl.org/dc/terms/"/>
    <ds:schemaRef ds:uri="http://schemas.microsoft.com/office/infopath/2007/PartnerControls"/>
    <ds:schemaRef ds:uri="acaf4567-dc07-471f-892c-2bcb86ef35ae"/>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TA1041 Durvalumab with etoposide and either carboplatin or cisplatin for untreated extensive-stage small-cell lung cancer: resource impact template 19/02/2025</dc:title>
  <dc:subject/>
  <dc:creator/>
  <cp:keywords/>
  <dc:description/>
  <cp:lastModifiedBy/>
  <cp:revision/>
  <dcterms:created xsi:type="dcterms:W3CDTF">2022-07-27T12:38:28Z</dcterms:created>
  <dcterms:modified xsi:type="dcterms:W3CDTF">2025-02-18T13:32:35Z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