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6F736E92-A947-4549-B552-52DDEC4D754E}" xr6:coauthVersionLast="47" xr6:coauthVersionMax="47" xr10:uidLastSave="{00000000-0000-0000-0000-000000000000}"/>
  <bookViews>
    <workbookView xWindow="28680" yWindow="-120" windowWidth="29040" windowHeight="1584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Financial impact (cash)" sheetId="42" r:id="rId7"/>
    <sheet name="Summary" sheetId="47"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6">'[1]Population selection'!$L$12:$L$19</definedName>
    <definedName name="ORGTYPE" localSheetId="7">'[1]Population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prices)'!$B$1:$S$150</definedName>
    <definedName name="_xlnm.Print_Area" localSheetId="9">'Capacity (national prices)'!$B$1:$S$41</definedName>
    <definedName name="_xlnm.Print_Area" localSheetId="3">Contents!$A$1:$P$29</definedName>
    <definedName name="_xlnm.Print_Area" localSheetId="2">Cover!$A$1:$F$30</definedName>
    <definedName name="_xlnm.Print_Area" localSheetId="6">'Financial impact (cash)'!$B$1:$J$43</definedName>
    <definedName name="_xlnm.Print_Area" localSheetId="4">'Inputs and eligible population'!$A$2:$S$179</definedName>
    <definedName name="_xlnm.Print_Area" localSheetId="0">'Population selection'!$B$11:$J$17</definedName>
    <definedName name="_xlnm.Print_Area" localSheetId="7">Summary!$B$1:$K$81</definedName>
    <definedName name="_xlnm.Print_Area" localSheetId="5">'Unit costs'!$B$1:$T$82</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50" l="1"/>
  <c r="K177" i="46"/>
  <c r="K176" i="46"/>
  <c r="K184" i="46"/>
  <c r="K183" i="46"/>
  <c r="B14" i="56"/>
  <c r="G60" i="50"/>
  <c r="K38" i="56"/>
  <c r="K37" i="56"/>
  <c r="G67" i="50" l="1"/>
  <c r="H63" i="50"/>
  <c r="E38" i="56"/>
  <c r="E37" i="56"/>
  <c r="M37" i="56" s="1"/>
  <c r="M38" i="56" l="1"/>
  <c r="M39" i="56" s="1"/>
  <c r="E39" i="56"/>
  <c r="E15" i="56" l="1"/>
  <c r="M15" i="56"/>
  <c r="K31" i="56"/>
  <c r="K30" i="56"/>
  <c r="J111" i="50"/>
  <c r="I111" i="50"/>
  <c r="H111" i="50"/>
  <c r="G111" i="50"/>
  <c r="F111" i="50"/>
  <c r="E111" i="50"/>
  <c r="C30" i="56" l="1"/>
  <c r="C21" i="56"/>
  <c r="C183" i="46"/>
  <c r="C146" i="46"/>
  <c r="C153" i="46"/>
  <c r="C161" i="46"/>
  <c r="C168" i="46"/>
  <c r="C176" i="46"/>
  <c r="C114" i="46"/>
  <c r="C106" i="46"/>
  <c r="C98" i="46"/>
  <c r="C90" i="46"/>
  <c r="C83" i="46"/>
  <c r="C76" i="46"/>
  <c r="C69" i="46"/>
  <c r="C62" i="46"/>
  <c r="C55" i="46"/>
  <c r="C48" i="46"/>
  <c r="C41" i="46"/>
  <c r="B34" i="46" l="1"/>
  <c r="B33" i="46"/>
  <c r="C199" i="46"/>
  <c r="C198" i="46"/>
  <c r="C192" i="46"/>
  <c r="C191" i="46"/>
  <c r="B30" i="46" l="1"/>
  <c r="K24" i="56"/>
  <c r="L24" i="56" s="1"/>
  <c r="K23" i="56"/>
  <c r="L23" i="56" s="1"/>
  <c r="C24" i="56"/>
  <c r="C23" i="56"/>
  <c r="C131" i="46"/>
  <c r="C22" i="56"/>
  <c r="H22" i="56" s="1"/>
  <c r="D21" i="56"/>
  <c r="B13" i="56"/>
  <c r="B26" i="46"/>
  <c r="B25" i="46"/>
  <c r="C139" i="46"/>
  <c r="D139" i="46" s="1"/>
  <c r="C130" i="46"/>
  <c r="F130" i="46" s="1"/>
  <c r="C138" i="46"/>
  <c r="C132" i="46"/>
  <c r="C129" i="46"/>
  <c r="E129" i="46" s="1"/>
  <c r="C31" i="56"/>
  <c r="B32" i="46"/>
  <c r="B31" i="46"/>
  <c r="B29" i="46"/>
  <c r="B28" i="46"/>
  <c r="B27" i="46"/>
  <c r="C162" i="46"/>
  <c r="C154" i="46"/>
  <c r="C147" i="46"/>
  <c r="C184" i="46"/>
  <c r="C177" i="46"/>
  <c r="B24" i="46"/>
  <c r="B23" i="46"/>
  <c r="B22" i="46"/>
  <c r="B21" i="46"/>
  <c r="C123" i="46"/>
  <c r="C122" i="46"/>
  <c r="C115" i="46"/>
  <c r="C107" i="46"/>
  <c r="C99" i="46"/>
  <c r="I99" i="46" s="1"/>
  <c r="G98" i="46"/>
  <c r="B20" i="46"/>
  <c r="B19" i="46"/>
  <c r="B18" i="46"/>
  <c r="B17" i="46"/>
  <c r="B16" i="46"/>
  <c r="C91" i="46"/>
  <c r="C84" i="46"/>
  <c r="G84" i="46" s="1"/>
  <c r="E83" i="46"/>
  <c r="C77" i="46"/>
  <c r="C70" i="46"/>
  <c r="G70" i="46" s="1"/>
  <c r="G69" i="46"/>
  <c r="D129" i="46" l="1"/>
  <c r="I21" i="56"/>
  <c r="F21" i="56"/>
  <c r="G21" i="56"/>
  <c r="G129" i="46"/>
  <c r="F129" i="46"/>
  <c r="E21" i="56"/>
  <c r="E130" i="46"/>
  <c r="D130" i="46"/>
  <c r="H21" i="56"/>
  <c r="E22" i="56"/>
  <c r="I22" i="56"/>
  <c r="D22" i="56"/>
  <c r="F22" i="56"/>
  <c r="G22" i="56"/>
  <c r="I130" i="46"/>
  <c r="H130" i="46"/>
  <c r="I129" i="46"/>
  <c r="G130" i="46"/>
  <c r="H129" i="46"/>
  <c r="G106" i="46"/>
  <c r="D98" i="46"/>
  <c r="D106" i="46" s="1"/>
  <c r="H98" i="46"/>
  <c r="H106" i="46" s="1"/>
  <c r="I98" i="46"/>
  <c r="I106" i="46" s="1"/>
  <c r="F99" i="46"/>
  <c r="F107" i="46" s="1"/>
  <c r="I107" i="46"/>
  <c r="D99" i="46"/>
  <c r="D107" i="46" s="1"/>
  <c r="E99" i="46"/>
  <c r="E107" i="46" s="1"/>
  <c r="E98" i="46"/>
  <c r="E106" i="46" s="1"/>
  <c r="G99" i="46"/>
  <c r="G107" i="46" s="1"/>
  <c r="F98" i="46"/>
  <c r="F106" i="46" s="1"/>
  <c r="H99" i="46"/>
  <c r="H107" i="46" s="1"/>
  <c r="E90" i="46"/>
  <c r="G91" i="46"/>
  <c r="F83" i="46"/>
  <c r="F90" i="46" s="1"/>
  <c r="G83" i="46"/>
  <c r="G90" i="46" s="1"/>
  <c r="H83" i="46"/>
  <c r="H90" i="46" s="1"/>
  <c r="F84" i="46"/>
  <c r="F91" i="46" s="1"/>
  <c r="I84" i="46"/>
  <c r="I91" i="46" s="1"/>
  <c r="E69" i="46"/>
  <c r="E76" i="46" s="1"/>
  <c r="D69" i="46"/>
  <c r="H84" i="46"/>
  <c r="H91" i="46" s="1"/>
  <c r="D83" i="46"/>
  <c r="I83" i="46"/>
  <c r="I90" i="46" s="1"/>
  <c r="D84" i="46"/>
  <c r="D91" i="46" s="1"/>
  <c r="E84" i="46"/>
  <c r="E91" i="46" s="1"/>
  <c r="H69" i="46"/>
  <c r="H76" i="46" s="1"/>
  <c r="I69" i="46"/>
  <c r="F69" i="46"/>
  <c r="H70" i="46"/>
  <c r="H77" i="46" s="1"/>
  <c r="I70" i="46"/>
  <c r="I77" i="46" s="1"/>
  <c r="E70" i="46"/>
  <c r="E77" i="46" s="1"/>
  <c r="D70" i="46"/>
  <c r="D77" i="46" s="1"/>
  <c r="F70" i="46"/>
  <c r="F77" i="46" s="1"/>
  <c r="G77" i="46"/>
  <c r="L25" i="56" l="1"/>
  <c r="L13" i="56" s="1"/>
  <c r="I138" i="46"/>
  <c r="F138" i="46"/>
  <c r="G138" i="46"/>
  <c r="H138" i="46"/>
  <c r="D138" i="46"/>
  <c r="E138" i="46"/>
  <c r="D25" i="56"/>
  <c r="D13" i="56" s="1"/>
  <c r="D133" i="46"/>
  <c r="D25" i="46" s="1"/>
  <c r="I108" i="46"/>
  <c r="G108" i="46"/>
  <c r="D108" i="46"/>
  <c r="D22" i="46" s="1"/>
  <c r="E108" i="46"/>
  <c r="H108" i="46"/>
  <c r="F108" i="46"/>
  <c r="E85" i="46"/>
  <c r="F85" i="46"/>
  <c r="H85" i="46"/>
  <c r="I85" i="46"/>
  <c r="E92" i="46"/>
  <c r="G85" i="46"/>
  <c r="D90" i="46"/>
  <c r="D85" i="46"/>
  <c r="E78" i="46"/>
  <c r="G76" i="46"/>
  <c r="G71" i="46"/>
  <c r="E71" i="46"/>
  <c r="D76" i="46"/>
  <c r="D71" i="46"/>
  <c r="H78" i="46"/>
  <c r="I76" i="46"/>
  <c r="I71" i="46"/>
  <c r="I72" i="46" s="1"/>
  <c r="F71" i="46"/>
  <c r="F76" i="46"/>
  <c r="H71" i="46"/>
  <c r="H72" i="46" l="1"/>
  <c r="E72" i="46"/>
  <c r="I86" i="46"/>
  <c r="G72" i="46"/>
  <c r="F72" i="46"/>
  <c r="H86" i="46"/>
  <c r="F86" i="46"/>
  <c r="E86" i="46"/>
  <c r="E20" i="46"/>
  <c r="G22" i="46"/>
  <c r="G109" i="46"/>
  <c r="I22" i="46"/>
  <c r="I109" i="46"/>
  <c r="E18" i="46"/>
  <c r="F22" i="46"/>
  <c r="F109" i="46"/>
  <c r="H18" i="46"/>
  <c r="H22" i="46"/>
  <c r="H109" i="46"/>
  <c r="G86" i="46"/>
  <c r="E22" i="46"/>
  <c r="E109" i="46"/>
  <c r="D140" i="46"/>
  <c r="D26" i="46" s="1"/>
  <c r="F17" i="46"/>
  <c r="F19" i="46"/>
  <c r="G17" i="46"/>
  <c r="G19" i="46"/>
  <c r="E17" i="46"/>
  <c r="E19" i="46"/>
  <c r="I19" i="46"/>
  <c r="I17" i="46"/>
  <c r="D17" i="46"/>
  <c r="D19" i="46"/>
  <c r="H19" i="46"/>
  <c r="H17" i="46"/>
  <c r="I92" i="46"/>
  <c r="H92" i="46"/>
  <c r="F92" i="46"/>
  <c r="D92" i="46"/>
  <c r="D20" i="46" s="1"/>
  <c r="G92" i="46"/>
  <c r="D78" i="46"/>
  <c r="D18" i="46" s="1"/>
  <c r="F78" i="46"/>
  <c r="I78" i="46"/>
  <c r="G78" i="46"/>
  <c r="G18" i="46" l="1"/>
  <c r="G79" i="46"/>
  <c r="H79" i="46"/>
  <c r="G20" i="46"/>
  <c r="G93" i="46"/>
  <c r="E93" i="46"/>
  <c r="H20" i="46"/>
  <c r="H93" i="46"/>
  <c r="I20" i="46"/>
  <c r="I93" i="46"/>
  <c r="I18" i="46"/>
  <c r="I79" i="46"/>
  <c r="F18" i="46"/>
  <c r="F79" i="46"/>
  <c r="F20" i="46"/>
  <c r="F93" i="46"/>
  <c r="E79" i="46"/>
  <c r="M68" i="21" l="1"/>
  <c r="R70" i="21"/>
  <c r="R69" i="21"/>
  <c r="R68" i="21"/>
  <c r="P70" i="21"/>
  <c r="P69" i="21"/>
  <c r="P68" i="21"/>
  <c r="H70" i="21"/>
  <c r="H69" i="21"/>
  <c r="H68" i="21" l="1"/>
  <c r="K60" i="50" l="1"/>
  <c r="I38" i="56" s="1"/>
  <c r="Q38" i="56" s="1"/>
  <c r="Q39" i="56" s="1"/>
  <c r="J60" i="50"/>
  <c r="H38" i="56" s="1"/>
  <c r="P38" i="56" s="1"/>
  <c r="P39" i="56" s="1"/>
  <c r="I60" i="50"/>
  <c r="G38" i="56" s="1"/>
  <c r="O38" i="56" s="1"/>
  <c r="O39" i="56" s="1"/>
  <c r="H60" i="50"/>
  <c r="F60" i="50"/>
  <c r="K59" i="50"/>
  <c r="I37" i="56" s="1"/>
  <c r="J59" i="50"/>
  <c r="H37" i="56" s="1"/>
  <c r="I59" i="50"/>
  <c r="G37" i="56" s="1"/>
  <c r="H59" i="50"/>
  <c r="F59" i="50"/>
  <c r="C63" i="46"/>
  <c r="C56" i="46"/>
  <c r="C49" i="46"/>
  <c r="C42" i="46"/>
  <c r="L16" i="21"/>
  <c r="L15" i="21"/>
  <c r="G57" i="21"/>
  <c r="F57" i="21"/>
  <c r="D37" i="56" l="1"/>
  <c r="L37" i="56" s="1"/>
  <c r="F131" i="46"/>
  <c r="F23" i="56"/>
  <c r="D38" i="56"/>
  <c r="L38" i="56" s="1"/>
  <c r="L39" i="56" s="1"/>
  <c r="O40" i="56" s="1"/>
  <c r="F24" i="56"/>
  <c r="N24" i="56" s="1"/>
  <c r="F132" i="46"/>
  <c r="F38" i="56"/>
  <c r="N38" i="56" s="1"/>
  <c r="N39" i="56" s="1"/>
  <c r="N15" i="56" s="1"/>
  <c r="G24" i="56"/>
  <c r="O24" i="56" s="1"/>
  <c r="G132" i="46"/>
  <c r="F37" i="56"/>
  <c r="N37" i="56" s="1"/>
  <c r="G131" i="46"/>
  <c r="G23" i="56"/>
  <c r="G39" i="56"/>
  <c r="O37" i="56"/>
  <c r="O15" i="56"/>
  <c r="H39" i="56"/>
  <c r="P37" i="56"/>
  <c r="I39" i="56"/>
  <c r="Q37" i="56"/>
  <c r="M40" i="56"/>
  <c r="P15" i="56"/>
  <c r="Q15" i="56"/>
  <c r="G63" i="50"/>
  <c r="I132" i="46"/>
  <c r="H132" i="46"/>
  <c r="E24" i="56"/>
  <c r="E132" i="46"/>
  <c r="H24" i="56"/>
  <c r="I24" i="56"/>
  <c r="I131" i="46"/>
  <c r="H23" i="56"/>
  <c r="I23" i="56"/>
  <c r="H131" i="46"/>
  <c r="E131" i="46"/>
  <c r="E23" i="56"/>
  <c r="L177" i="46"/>
  <c r="L184" i="46"/>
  <c r="M177" i="46"/>
  <c r="M184" i="46"/>
  <c r="N177" i="46"/>
  <c r="N184" i="46"/>
  <c r="M183" i="46"/>
  <c r="M176" i="46"/>
  <c r="O177" i="46"/>
  <c r="O184" i="46"/>
  <c r="N183" i="46"/>
  <c r="N176" i="46"/>
  <c r="P177" i="46"/>
  <c r="P184" i="46"/>
  <c r="L183" i="46"/>
  <c r="L176" i="46"/>
  <c r="O183" i="46"/>
  <c r="O176" i="46"/>
  <c r="Q177" i="46"/>
  <c r="Q184" i="46"/>
  <c r="P183" i="46"/>
  <c r="P176" i="46"/>
  <c r="Q183" i="46"/>
  <c r="Q176" i="46"/>
  <c r="D31" i="56"/>
  <c r="L31" i="56" s="1"/>
  <c r="E31" i="56"/>
  <c r="M31" i="56" s="1"/>
  <c r="F31" i="56"/>
  <c r="N31" i="56" s="1"/>
  <c r="E30" i="56"/>
  <c r="G31" i="56"/>
  <c r="O31" i="56" s="1"/>
  <c r="D30" i="56"/>
  <c r="F30" i="56"/>
  <c r="H31" i="56"/>
  <c r="P31" i="56" s="1"/>
  <c r="G30" i="56"/>
  <c r="I31" i="56"/>
  <c r="Q31" i="56" s="1"/>
  <c r="H30" i="56"/>
  <c r="I30" i="56"/>
  <c r="D162" i="46"/>
  <c r="D147" i="46"/>
  <c r="D154" i="46" s="1"/>
  <c r="D184" i="46"/>
  <c r="E147" i="46"/>
  <c r="E154" i="46" s="1"/>
  <c r="E184" i="46"/>
  <c r="E162" i="46"/>
  <c r="D161" i="46"/>
  <c r="D146" i="46"/>
  <c r="D183" i="46"/>
  <c r="F162" i="46"/>
  <c r="F184" i="46"/>
  <c r="F147" i="46"/>
  <c r="F154" i="46" s="1"/>
  <c r="E176" i="46"/>
  <c r="E183" i="46"/>
  <c r="E146" i="46"/>
  <c r="E161" i="46"/>
  <c r="G147" i="46"/>
  <c r="G154" i="46" s="1"/>
  <c r="G184" i="46"/>
  <c r="G162" i="46"/>
  <c r="F183" i="46"/>
  <c r="F161" i="46"/>
  <c r="F146" i="46"/>
  <c r="H184" i="46"/>
  <c r="H162" i="46"/>
  <c r="H147" i="46"/>
  <c r="H154" i="46" s="1"/>
  <c r="G176" i="46"/>
  <c r="G183" i="46"/>
  <c r="G161" i="46"/>
  <c r="G146" i="46"/>
  <c r="I184" i="46"/>
  <c r="I162" i="46"/>
  <c r="I147" i="46"/>
  <c r="I154" i="46" s="1"/>
  <c r="H176" i="46"/>
  <c r="H161" i="46"/>
  <c r="H146" i="46"/>
  <c r="H183" i="46"/>
  <c r="I161" i="46"/>
  <c r="I183" i="46"/>
  <c r="I146" i="46"/>
  <c r="F68" i="50"/>
  <c r="C15" i="47" s="1"/>
  <c r="D177" i="46"/>
  <c r="G68" i="50"/>
  <c r="D15" i="47" s="1"/>
  <c r="E177" i="46"/>
  <c r="H68" i="50"/>
  <c r="E15" i="47" s="1"/>
  <c r="F177" i="46"/>
  <c r="F12" i="47"/>
  <c r="G177" i="46"/>
  <c r="C11" i="47"/>
  <c r="D176" i="46"/>
  <c r="H67" i="50"/>
  <c r="F176" i="46"/>
  <c r="G12" i="47"/>
  <c r="H177" i="46"/>
  <c r="H12" i="47"/>
  <c r="I177" i="46"/>
  <c r="K67" i="50"/>
  <c r="H14" i="47" s="1"/>
  <c r="I176" i="46"/>
  <c r="F41" i="46"/>
  <c r="F48" i="46" s="1"/>
  <c r="E41" i="46"/>
  <c r="E48" i="46" s="1"/>
  <c r="D41" i="46"/>
  <c r="D48" i="46" s="1"/>
  <c r="I41" i="46"/>
  <c r="I48" i="46" s="1"/>
  <c r="G41" i="46"/>
  <c r="H41" i="46"/>
  <c r="H48" i="46" s="1"/>
  <c r="I42" i="46"/>
  <c r="I49" i="46" s="1"/>
  <c r="H42" i="46"/>
  <c r="H49" i="46" s="1"/>
  <c r="G42" i="46"/>
  <c r="G49" i="46" s="1"/>
  <c r="F42" i="46"/>
  <c r="F49" i="46" s="1"/>
  <c r="E42" i="46"/>
  <c r="E49" i="46" s="1"/>
  <c r="D42" i="46"/>
  <c r="D49" i="46" s="1"/>
  <c r="G55" i="46"/>
  <c r="G62" i="46" s="1"/>
  <c r="F55" i="46"/>
  <c r="F62" i="46" s="1"/>
  <c r="E55" i="46"/>
  <c r="E62" i="46" s="1"/>
  <c r="D55" i="46"/>
  <c r="D62" i="46" s="1"/>
  <c r="I55" i="46"/>
  <c r="I62" i="46" s="1"/>
  <c r="H55" i="46"/>
  <c r="H62" i="46" s="1"/>
  <c r="I56" i="46"/>
  <c r="I63" i="46" s="1"/>
  <c r="H56" i="46"/>
  <c r="H63" i="46" s="1"/>
  <c r="G56" i="46"/>
  <c r="G63" i="46" s="1"/>
  <c r="F56" i="46"/>
  <c r="F63" i="46" s="1"/>
  <c r="E56" i="46"/>
  <c r="E63" i="46" s="1"/>
  <c r="D56" i="46"/>
  <c r="D63" i="46" s="1"/>
  <c r="G11" i="47"/>
  <c r="K68" i="50"/>
  <c r="H15" i="47" s="1"/>
  <c r="C12" i="47"/>
  <c r="F63" i="50"/>
  <c r="D11" i="47"/>
  <c r="H66" i="50"/>
  <c r="F11" i="47"/>
  <c r="E11" i="47"/>
  <c r="I67" i="50"/>
  <c r="J67" i="50"/>
  <c r="F67" i="50"/>
  <c r="I68" i="50"/>
  <c r="F15" i="47" s="1"/>
  <c r="J68" i="50"/>
  <c r="G15" i="47" s="1"/>
  <c r="H11" i="47"/>
  <c r="D12" i="47"/>
  <c r="E12" i="47"/>
  <c r="J61" i="50"/>
  <c r="F61" i="50"/>
  <c r="K61" i="50"/>
  <c r="G61" i="50"/>
  <c r="H61" i="50"/>
  <c r="I61" i="50"/>
  <c r="E25" i="56" l="1"/>
  <c r="E26" i="56" s="1"/>
  <c r="L15" i="56"/>
  <c r="N40" i="56"/>
  <c r="Q40" i="56"/>
  <c r="F39" i="56"/>
  <c r="P40" i="56"/>
  <c r="D39" i="56"/>
  <c r="I40" i="56" s="1"/>
  <c r="F139" i="46"/>
  <c r="F133" i="46"/>
  <c r="E66" i="47"/>
  <c r="D66" i="47"/>
  <c r="N23" i="56"/>
  <c r="N25" i="56" s="1"/>
  <c r="F25" i="56"/>
  <c r="H25" i="56"/>
  <c r="H26" i="56" s="1"/>
  <c r="G66" i="47"/>
  <c r="H66" i="47"/>
  <c r="F66" i="47"/>
  <c r="G139" i="46"/>
  <c r="G133" i="46"/>
  <c r="O23" i="56"/>
  <c r="O25" i="56" s="1"/>
  <c r="G25" i="56"/>
  <c r="H40" i="56"/>
  <c r="H15" i="56"/>
  <c r="I15" i="56"/>
  <c r="G15" i="56"/>
  <c r="H114" i="46"/>
  <c r="H115" i="46"/>
  <c r="G114" i="46"/>
  <c r="G115" i="46"/>
  <c r="N32" i="56"/>
  <c r="N30" i="56"/>
  <c r="L32" i="56"/>
  <c r="L14" i="56" s="1"/>
  <c r="L30" i="56"/>
  <c r="F115" i="46"/>
  <c r="F114" i="46"/>
  <c r="O32" i="56"/>
  <c r="O30" i="56"/>
  <c r="Q32" i="56"/>
  <c r="Q30" i="56"/>
  <c r="M32" i="56"/>
  <c r="M33" i="56" s="1"/>
  <c r="M30" i="56"/>
  <c r="E115" i="46"/>
  <c r="E114" i="46"/>
  <c r="I114" i="46"/>
  <c r="I115" i="46"/>
  <c r="D114" i="46"/>
  <c r="D115" i="46"/>
  <c r="P32" i="56"/>
  <c r="P33" i="56" s="1"/>
  <c r="P30" i="56"/>
  <c r="G191" i="46"/>
  <c r="G192" i="46"/>
  <c r="F191" i="46"/>
  <c r="F192" i="46"/>
  <c r="E191" i="46"/>
  <c r="E192" i="46"/>
  <c r="G48" i="46"/>
  <c r="G43" i="46"/>
  <c r="D192" i="46"/>
  <c r="D199" i="46" s="1"/>
  <c r="D191" i="46"/>
  <c r="I191" i="46"/>
  <c r="I192" i="46"/>
  <c r="H191" i="46"/>
  <c r="H192" i="46"/>
  <c r="F14" i="42"/>
  <c r="E14" i="47"/>
  <c r="P23" i="56"/>
  <c r="I139" i="46"/>
  <c r="I133" i="46"/>
  <c r="I134" i="46" s="1"/>
  <c r="Q24" i="56"/>
  <c r="P24" i="56"/>
  <c r="M23" i="56"/>
  <c r="E139" i="46"/>
  <c r="E133" i="46"/>
  <c r="E134" i="46" s="1"/>
  <c r="M24" i="56"/>
  <c r="H139" i="46"/>
  <c r="H133" i="46"/>
  <c r="H134" i="46" s="1"/>
  <c r="I25" i="56"/>
  <c r="I26" i="56" s="1"/>
  <c r="Q23" i="56"/>
  <c r="O185" i="46"/>
  <c r="O32" i="46" s="1"/>
  <c r="C16" i="47"/>
  <c r="M185" i="46"/>
  <c r="M32" i="46" s="1"/>
  <c r="N185" i="46"/>
  <c r="N32" i="46" s="1"/>
  <c r="L185" i="46"/>
  <c r="L32" i="46" s="1"/>
  <c r="L178" i="46"/>
  <c r="L31" i="46" s="1"/>
  <c r="M178" i="46"/>
  <c r="M31" i="46" s="1"/>
  <c r="Q178" i="46"/>
  <c r="P185" i="46"/>
  <c r="Q185" i="46"/>
  <c r="D16" i="47"/>
  <c r="N178" i="46"/>
  <c r="O178" i="46"/>
  <c r="P178" i="46"/>
  <c r="F32" i="56"/>
  <c r="G32" i="56"/>
  <c r="I32" i="56"/>
  <c r="H32" i="56"/>
  <c r="D32" i="56"/>
  <c r="D14" i="56" s="1"/>
  <c r="E32" i="56"/>
  <c r="E163" i="46"/>
  <c r="D148" i="46"/>
  <c r="D27" i="46" s="1"/>
  <c r="D153" i="46"/>
  <c r="I153" i="46"/>
  <c r="I148" i="46"/>
  <c r="E148" i="46"/>
  <c r="E153" i="46"/>
  <c r="D163" i="46"/>
  <c r="D29" i="46" s="1"/>
  <c r="F153" i="46"/>
  <c r="F148" i="46"/>
  <c r="I163" i="46"/>
  <c r="G153" i="46"/>
  <c r="G148" i="46"/>
  <c r="F163" i="46"/>
  <c r="G163" i="46"/>
  <c r="H153" i="46"/>
  <c r="H148" i="46"/>
  <c r="H163" i="46"/>
  <c r="G14" i="47"/>
  <c r="F14" i="47"/>
  <c r="F21" i="42"/>
  <c r="H13" i="47"/>
  <c r="G13" i="47"/>
  <c r="I14" i="42"/>
  <c r="F13" i="47"/>
  <c r="E13" i="47"/>
  <c r="D13" i="47"/>
  <c r="C13" i="47"/>
  <c r="G64" i="50"/>
  <c r="G66" i="50"/>
  <c r="F64" i="50"/>
  <c r="F66" i="50"/>
  <c r="I63" i="50"/>
  <c r="I66" i="50" s="1"/>
  <c r="H64" i="50"/>
  <c r="E16" i="47"/>
  <c r="F16" i="47" s="1"/>
  <c r="G16" i="47" s="1"/>
  <c r="H16" i="47" s="1"/>
  <c r="H14" i="42"/>
  <c r="D14" i="47"/>
  <c r="E14" i="42"/>
  <c r="C14" i="47"/>
  <c r="D14" i="42"/>
  <c r="G14" i="42"/>
  <c r="P29" i="21"/>
  <c r="N29" i="21"/>
  <c r="H29" i="21"/>
  <c r="F149" i="46" l="1"/>
  <c r="E40" i="56"/>
  <c r="G40" i="56"/>
  <c r="D15" i="56"/>
  <c r="F40" i="56"/>
  <c r="F15" i="56"/>
  <c r="L16" i="56"/>
  <c r="I164" i="46"/>
  <c r="G149" i="46"/>
  <c r="F140" i="46"/>
  <c r="G67" i="47"/>
  <c r="F26" i="56"/>
  <c r="F13" i="56"/>
  <c r="N26" i="56"/>
  <c r="N13" i="56"/>
  <c r="E67" i="47"/>
  <c r="F67" i="47"/>
  <c r="F25" i="46"/>
  <c r="F134" i="46"/>
  <c r="H67" i="47"/>
  <c r="G26" i="56"/>
  <c r="G13" i="56"/>
  <c r="O26" i="56"/>
  <c r="O13" i="56"/>
  <c r="G25" i="46"/>
  <c r="G134" i="46"/>
  <c r="G140" i="46"/>
  <c r="I149" i="46"/>
  <c r="H164" i="46"/>
  <c r="H149" i="46"/>
  <c r="E164" i="46"/>
  <c r="G164" i="46"/>
  <c r="F164" i="46"/>
  <c r="E149" i="46"/>
  <c r="Q33" i="56"/>
  <c r="N33" i="56"/>
  <c r="O33" i="56"/>
  <c r="G33" i="56"/>
  <c r="F33" i="56"/>
  <c r="H33" i="56"/>
  <c r="I33" i="56"/>
  <c r="E33" i="56"/>
  <c r="Q25" i="56"/>
  <c r="M25" i="56"/>
  <c r="M26" i="56" s="1"/>
  <c r="P25" i="56"/>
  <c r="M14" i="56"/>
  <c r="P14" i="56"/>
  <c r="Q14" i="56"/>
  <c r="O14" i="56"/>
  <c r="O16" i="56" s="1"/>
  <c r="N14" i="56"/>
  <c r="E13" i="56"/>
  <c r="E83" i="47"/>
  <c r="F198" i="46"/>
  <c r="F193" i="46"/>
  <c r="H13" i="56"/>
  <c r="F199" i="46"/>
  <c r="E84" i="47"/>
  <c r="F84" i="47"/>
  <c r="G199" i="46"/>
  <c r="I13" i="56"/>
  <c r="D84" i="47"/>
  <c r="E199" i="46"/>
  <c r="F83" i="47"/>
  <c r="G198" i="46"/>
  <c r="G193" i="46"/>
  <c r="D198" i="46"/>
  <c r="D193" i="46"/>
  <c r="D33" i="46" s="1"/>
  <c r="D83" i="47"/>
  <c r="E193" i="46"/>
  <c r="E198" i="46"/>
  <c r="H84" i="47"/>
  <c r="I199" i="46"/>
  <c r="I193" i="46"/>
  <c r="H83" i="47"/>
  <c r="I198" i="46"/>
  <c r="G84" i="47"/>
  <c r="H199" i="46"/>
  <c r="G83" i="47"/>
  <c r="H193" i="46"/>
  <c r="H198" i="46"/>
  <c r="E25" i="46"/>
  <c r="D58" i="47"/>
  <c r="E140" i="46"/>
  <c r="I25" i="46"/>
  <c r="I140" i="46"/>
  <c r="H25" i="46"/>
  <c r="H140" i="46"/>
  <c r="N186" i="46"/>
  <c r="M186" i="46"/>
  <c r="O186" i="46"/>
  <c r="M179" i="46"/>
  <c r="N179" i="46"/>
  <c r="N31" i="46"/>
  <c r="Q32" i="46"/>
  <c r="Q186" i="46"/>
  <c r="P31" i="46"/>
  <c r="P179" i="46"/>
  <c r="O31" i="46"/>
  <c r="O179" i="46"/>
  <c r="P32" i="46"/>
  <c r="P186" i="46"/>
  <c r="Q31" i="46"/>
  <c r="Q179" i="46"/>
  <c r="H14" i="56"/>
  <c r="F14" i="56"/>
  <c r="I14" i="56"/>
  <c r="G14" i="56"/>
  <c r="E14" i="56"/>
  <c r="G29" i="46"/>
  <c r="I27" i="46"/>
  <c r="F27" i="46"/>
  <c r="I155" i="46"/>
  <c r="H29" i="46"/>
  <c r="F155" i="46"/>
  <c r="D155" i="46"/>
  <c r="F29" i="46"/>
  <c r="H27" i="46"/>
  <c r="G27" i="46"/>
  <c r="E29" i="46"/>
  <c r="H155" i="46"/>
  <c r="G155" i="46"/>
  <c r="E155" i="46"/>
  <c r="I29" i="46"/>
  <c r="E27" i="46"/>
  <c r="D21" i="42"/>
  <c r="F185" i="46"/>
  <c r="G21" i="42"/>
  <c r="E21" i="42"/>
  <c r="F122" i="46"/>
  <c r="I122" i="46"/>
  <c r="G122" i="46"/>
  <c r="D122" i="46"/>
  <c r="H122" i="46"/>
  <c r="E122" i="46"/>
  <c r="F19" i="42"/>
  <c r="F20" i="42"/>
  <c r="D19" i="42"/>
  <c r="D20" i="42"/>
  <c r="E19" i="42"/>
  <c r="E20" i="42"/>
  <c r="J63" i="50"/>
  <c r="J66" i="50" s="1"/>
  <c r="I64" i="50"/>
  <c r="H57" i="21"/>
  <c r="N16" i="56" l="1"/>
  <c r="E194" i="46"/>
  <c r="E58" i="47"/>
  <c r="F194" i="46"/>
  <c r="F26" i="46"/>
  <c r="F141" i="46"/>
  <c r="E61" i="47" s="1"/>
  <c r="G26" i="46"/>
  <c r="G141" i="46"/>
  <c r="F61" i="47" s="1"/>
  <c r="E26" i="46"/>
  <c r="E141" i="46"/>
  <c r="D61" i="47" s="1"/>
  <c r="F32" i="46"/>
  <c r="I194" i="46"/>
  <c r="G194" i="46"/>
  <c r="H26" i="46"/>
  <c r="H141" i="46"/>
  <c r="G61" i="47" s="1"/>
  <c r="I26" i="46"/>
  <c r="I141" i="46"/>
  <c r="H194" i="46"/>
  <c r="M13" i="56"/>
  <c r="M16" i="56" s="1"/>
  <c r="P13" i="56"/>
  <c r="P16" i="56" s="1"/>
  <c r="P26" i="56"/>
  <c r="Q13" i="56"/>
  <c r="Q16" i="56" s="1"/>
  <c r="Q26" i="56"/>
  <c r="G33" i="46"/>
  <c r="F85" i="47"/>
  <c r="G200" i="46"/>
  <c r="F86" i="47"/>
  <c r="D85" i="47"/>
  <c r="E200" i="46"/>
  <c r="D86" i="47"/>
  <c r="F33" i="46"/>
  <c r="E33" i="46"/>
  <c r="E85" i="47"/>
  <c r="F200" i="46"/>
  <c r="E86" i="47"/>
  <c r="D200" i="46"/>
  <c r="D34" i="46" s="1"/>
  <c r="H85" i="47"/>
  <c r="I200" i="46"/>
  <c r="I33" i="46"/>
  <c r="H86" i="47"/>
  <c r="G85" i="47"/>
  <c r="H200" i="46"/>
  <c r="H33" i="46"/>
  <c r="G86" i="47"/>
  <c r="F58" i="47"/>
  <c r="D28" i="46"/>
  <c r="H61" i="47"/>
  <c r="H28" i="46"/>
  <c r="H156" i="46"/>
  <c r="G62" i="47" s="1"/>
  <c r="I156" i="46"/>
  <c r="H62" i="47" s="1"/>
  <c r="I28" i="46"/>
  <c r="E156" i="46"/>
  <c r="D62" i="47" s="1"/>
  <c r="E28" i="46"/>
  <c r="F28" i="46"/>
  <c r="F156" i="46"/>
  <c r="E62" i="47" s="1"/>
  <c r="G28" i="46"/>
  <c r="G156" i="46"/>
  <c r="F62" i="47" s="1"/>
  <c r="E185" i="46"/>
  <c r="G185" i="46"/>
  <c r="D185" i="46"/>
  <c r="D32" i="46" s="1"/>
  <c r="H21" i="42"/>
  <c r="G19" i="42"/>
  <c r="G20" i="42"/>
  <c r="K63" i="50"/>
  <c r="J64" i="50"/>
  <c r="H201" i="46" l="1"/>
  <c r="E201" i="46"/>
  <c r="F186" i="46"/>
  <c r="I201" i="46"/>
  <c r="F201" i="46"/>
  <c r="E32" i="46"/>
  <c r="E186" i="46"/>
  <c r="G201" i="46"/>
  <c r="G32" i="46"/>
  <c r="G186" i="46"/>
  <c r="G34" i="46"/>
  <c r="F34" i="46"/>
  <c r="E34" i="46"/>
  <c r="I34" i="46"/>
  <c r="H34" i="46"/>
  <c r="G58" i="47"/>
  <c r="H185" i="46"/>
  <c r="H19" i="42"/>
  <c r="H58" i="47" s="1"/>
  <c r="H20" i="42"/>
  <c r="K64" i="50"/>
  <c r="K66" i="50"/>
  <c r="N15" i="21"/>
  <c r="N17" i="21"/>
  <c r="N16" i="21"/>
  <c r="J16" i="21"/>
  <c r="M16" i="21" s="1"/>
  <c r="J15" i="21"/>
  <c r="H32" i="46" l="1"/>
  <c r="H186" i="46"/>
  <c r="I21" i="42"/>
  <c r="I19" i="42"/>
  <c r="I20" i="42"/>
  <c r="J9" i="21"/>
  <c r="I9" i="21"/>
  <c r="E101" i="50"/>
  <c r="E102" i="50" s="1"/>
  <c r="C45" i="50"/>
  <c r="C44" i="50"/>
  <c r="I57" i="21"/>
  <c r="I59" i="21" s="1"/>
  <c r="O16" i="21"/>
  <c r="C30" i="42" s="1"/>
  <c r="H16" i="21"/>
  <c r="M15" i="21"/>
  <c r="H15" i="21"/>
  <c r="D123" i="46" l="1"/>
  <c r="D124" i="46" s="1"/>
  <c r="D24" i="46" s="1"/>
  <c r="D116" i="46"/>
  <c r="D23" i="46" s="1"/>
  <c r="H123" i="46"/>
  <c r="H124" i="46" s="1"/>
  <c r="H116" i="46"/>
  <c r="E123" i="46"/>
  <c r="E124" i="46" s="1"/>
  <c r="E116" i="46"/>
  <c r="F123" i="46"/>
  <c r="F124" i="46" s="1"/>
  <c r="F116" i="46"/>
  <c r="G123" i="46"/>
  <c r="G124" i="46" s="1"/>
  <c r="G116" i="46"/>
  <c r="I123" i="46"/>
  <c r="I124" i="46" s="1"/>
  <c r="I116" i="46"/>
  <c r="I185" i="46"/>
  <c r="C36" i="42"/>
  <c r="E36" i="42" s="1"/>
  <c r="O15" i="21"/>
  <c r="K9" i="21"/>
  <c r="I24" i="46" l="1"/>
  <c r="I125" i="46"/>
  <c r="H24" i="46"/>
  <c r="H125" i="46"/>
  <c r="G24" i="46"/>
  <c r="G125" i="46"/>
  <c r="F24" i="46"/>
  <c r="F125" i="46"/>
  <c r="E24" i="46"/>
  <c r="E125" i="46"/>
  <c r="E23" i="46"/>
  <c r="E117" i="46"/>
  <c r="I23" i="46"/>
  <c r="I117" i="46"/>
  <c r="H23" i="46"/>
  <c r="H117" i="46"/>
  <c r="F23" i="46"/>
  <c r="F117" i="46"/>
  <c r="I32" i="46"/>
  <c r="I186" i="46"/>
  <c r="G23" i="46"/>
  <c r="G117" i="46"/>
  <c r="H36" i="42"/>
  <c r="I36" i="42"/>
  <c r="F36" i="42"/>
  <c r="D36" i="42"/>
  <c r="G36" i="42"/>
  <c r="K11" i="21"/>
  <c r="C28" i="42"/>
  <c r="O18" i="21"/>
  <c r="C29" i="42"/>
  <c r="G142" i="50" l="1"/>
  <c r="D102" i="50"/>
  <c r="F102" i="50" s="1"/>
  <c r="F101" i="50"/>
  <c r="B1" i="56"/>
  <c r="B1" i="46"/>
  <c r="B1" i="42"/>
  <c r="B1" i="47"/>
  <c r="B1" i="21"/>
  <c r="C169" i="46" l="1"/>
  <c r="F103" i="50"/>
  <c r="I168" i="46" l="1"/>
  <c r="E168" i="46"/>
  <c r="D168" i="46"/>
  <c r="F168" i="46"/>
  <c r="G168" i="46"/>
  <c r="H168" i="46"/>
  <c r="I169" i="46"/>
  <c r="H169" i="46"/>
  <c r="D169" i="46"/>
  <c r="G169" i="46"/>
  <c r="E169" i="46"/>
  <c r="F169" i="46"/>
  <c r="J29" i="21"/>
  <c r="K29" i="21" s="1"/>
  <c r="M29" i="21" s="1"/>
  <c r="O29" i="21" s="1"/>
  <c r="Q29" i="21" s="1"/>
  <c r="Q31" i="21" s="1"/>
  <c r="C31" i="42" s="1"/>
  <c r="D31" i="42" s="1"/>
  <c r="J69" i="21"/>
  <c r="K69" i="21" s="1"/>
  <c r="L69" i="21" s="1"/>
  <c r="N69" i="21" s="1"/>
  <c r="Q69" i="21" s="1"/>
  <c r="S69" i="21" s="1"/>
  <c r="J68" i="21"/>
  <c r="K68" i="21" s="1"/>
  <c r="L68" i="21" s="1"/>
  <c r="N68" i="21" s="1"/>
  <c r="Q68" i="21" s="1"/>
  <c r="S68" i="21" s="1"/>
  <c r="J70" i="21"/>
  <c r="K70" i="21" s="1"/>
  <c r="L70" i="21" s="1"/>
  <c r="N70" i="21" s="1"/>
  <c r="Q70" i="21" s="1"/>
  <c r="S70" i="21" s="1"/>
  <c r="J531" i="32"/>
  <c r="J530" i="32"/>
  <c r="J529" i="32"/>
  <c r="J528" i="32"/>
  <c r="J527" i="32"/>
  <c r="J526" i="32"/>
  <c r="J525" i="32"/>
  <c r="J524" i="32"/>
  <c r="J523" i="32"/>
  <c r="J522" i="32"/>
  <c r="J521" i="32"/>
  <c r="J519" i="32"/>
  <c r="J518" i="32"/>
  <c r="J517" i="32"/>
  <c r="J516" i="32"/>
  <c r="J515" i="32"/>
  <c r="J514" i="32"/>
  <c r="J513" i="32"/>
  <c r="J512" i="32"/>
  <c r="J511" i="32"/>
  <c r="J510" i="32"/>
  <c r="J509" i="32"/>
  <c r="J508" i="32"/>
  <c r="J507" i="32"/>
  <c r="J506" i="32"/>
  <c r="J505" i="32"/>
  <c r="J504" i="32"/>
  <c r="J503" i="32"/>
  <c r="J502" i="32"/>
  <c r="J501" i="32"/>
  <c r="J500" i="32"/>
  <c r="J499" i="32"/>
  <c r="J498" i="32"/>
  <c r="J496" i="32"/>
  <c r="J495" i="32"/>
  <c r="J494" i="32"/>
  <c r="J493" i="32"/>
  <c r="J492" i="32"/>
  <c r="J491" i="32"/>
  <c r="J490" i="32"/>
  <c r="J489" i="32"/>
  <c r="J488" i="32"/>
  <c r="J487" i="32"/>
  <c r="J486" i="32"/>
  <c r="J485" i="32"/>
  <c r="J484" i="32"/>
  <c r="J483" i="32"/>
  <c r="J482" i="32"/>
  <c r="J481" i="32"/>
  <c r="J480" i="32"/>
  <c r="J479" i="32"/>
  <c r="J478" i="32"/>
  <c r="J477" i="32"/>
  <c r="J476" i="32"/>
  <c r="J475" i="32"/>
  <c r="J474" i="32"/>
  <c r="J473" i="32"/>
  <c r="J472" i="32"/>
  <c r="J471" i="32"/>
  <c r="J470" i="32"/>
  <c r="J469" i="32"/>
  <c r="J468" i="32"/>
  <c r="J467" i="32"/>
  <c r="J466" i="32"/>
  <c r="J465" i="32"/>
  <c r="J464" i="32"/>
  <c r="J463" i="32"/>
  <c r="J462" i="32"/>
  <c r="J461" i="32"/>
  <c r="J460" i="32"/>
  <c r="J459" i="32"/>
  <c r="J458" i="32"/>
  <c r="J457" i="32"/>
  <c r="J456" i="32"/>
  <c r="J455" i="32"/>
  <c r="J454" i="32"/>
  <c r="J453" i="32"/>
  <c r="J452" i="32"/>
  <c r="J451" i="32"/>
  <c r="J450" i="32"/>
  <c r="J449" i="32"/>
  <c r="J448" i="32"/>
  <c r="J447" i="32"/>
  <c r="J446" i="32"/>
  <c r="J445" i="32"/>
  <c r="J444" i="32"/>
  <c r="J443" i="32"/>
  <c r="J442" i="32"/>
  <c r="J441" i="32"/>
  <c r="J440" i="32"/>
  <c r="J439" i="32"/>
  <c r="J438" i="32"/>
  <c r="J437" i="32"/>
  <c r="J436" i="32"/>
  <c r="J435" i="32"/>
  <c r="J434" i="32"/>
  <c r="J433" i="32"/>
  <c r="J432" i="32"/>
  <c r="J431" i="32"/>
  <c r="J430" i="32"/>
  <c r="J429" i="32"/>
  <c r="J428" i="32"/>
  <c r="J427" i="32"/>
  <c r="J426" i="32"/>
  <c r="J425" i="32"/>
  <c r="J424" i="32"/>
  <c r="J423" i="32"/>
  <c r="J422" i="32"/>
  <c r="J421" i="32"/>
  <c r="J420" i="32"/>
  <c r="J419" i="32"/>
  <c r="J418" i="32"/>
  <c r="J417" i="32"/>
  <c r="J416" i="32"/>
  <c r="J415" i="32"/>
  <c r="J414" i="32"/>
  <c r="J413" i="32"/>
  <c r="J412" i="32"/>
  <c r="J411" i="32"/>
  <c r="J410" i="32"/>
  <c r="J409" i="32"/>
  <c r="J408" i="32"/>
  <c r="J407" i="32"/>
  <c r="J406" i="32"/>
  <c r="J405" i="32"/>
  <c r="J404" i="32"/>
  <c r="J403" i="32"/>
  <c r="J402" i="32"/>
  <c r="J401" i="32"/>
  <c r="J400" i="32"/>
  <c r="J399" i="32"/>
  <c r="J398" i="32"/>
  <c r="J397" i="32"/>
  <c r="J396" i="32"/>
  <c r="J395" i="32"/>
  <c r="J394" i="32"/>
  <c r="J393" i="32"/>
  <c r="J392" i="32"/>
  <c r="J391" i="32"/>
  <c r="J390" i="32"/>
  <c r="J389" i="32"/>
  <c r="J388" i="32"/>
  <c r="J387" i="32"/>
  <c r="J386" i="32"/>
  <c r="J385" i="32"/>
  <c r="J384" i="32"/>
  <c r="J383" i="32"/>
  <c r="J382" i="32"/>
  <c r="J381" i="32"/>
  <c r="J380" i="32"/>
  <c r="J379" i="32"/>
  <c r="J378" i="32"/>
  <c r="J377" i="32"/>
  <c r="J376" i="32"/>
  <c r="J375" i="32"/>
  <c r="J374" i="32"/>
  <c r="J373" i="32"/>
  <c r="J372" i="32"/>
  <c r="J371" i="32"/>
  <c r="J370" i="32"/>
  <c r="J369" i="32"/>
  <c r="J368" i="32"/>
  <c r="J367" i="32"/>
  <c r="J366" i="32"/>
  <c r="J365" i="32"/>
  <c r="J364" i="32"/>
  <c r="J363" i="32"/>
  <c r="J362" i="32"/>
  <c r="J361" i="32"/>
  <c r="J360" i="32"/>
  <c r="J359" i="32"/>
  <c r="J358" i="32"/>
  <c r="J357" i="32"/>
  <c r="J356" i="32"/>
  <c r="J355" i="32"/>
  <c r="J354" i="32"/>
  <c r="J353" i="32"/>
  <c r="J352" i="32"/>
  <c r="J351" i="32"/>
  <c r="J350" i="32"/>
  <c r="J349" i="32"/>
  <c r="J348" i="32"/>
  <c r="J347" i="32"/>
  <c r="J346" i="32"/>
  <c r="J345" i="32"/>
  <c r="J344" i="32"/>
  <c r="J343" i="32"/>
  <c r="J342" i="32"/>
  <c r="J341" i="32"/>
  <c r="J340" i="32"/>
  <c r="J339" i="32"/>
  <c r="J338" i="32"/>
  <c r="J337" i="32"/>
  <c r="J336" i="32"/>
  <c r="J335" i="32"/>
  <c r="J334" i="32"/>
  <c r="J333" i="32"/>
  <c r="J332" i="32"/>
  <c r="J331" i="32"/>
  <c r="J330" i="32"/>
  <c r="J329" i="32"/>
  <c r="J328" i="32"/>
  <c r="J327" i="32"/>
  <c r="J326" i="32"/>
  <c r="J325" i="32"/>
  <c r="J324" i="32"/>
  <c r="J323" i="32"/>
  <c r="J322" i="32"/>
  <c r="J321" i="32"/>
  <c r="J320" i="32"/>
  <c r="J319" i="32"/>
  <c r="J318" i="32"/>
  <c r="J317" i="32"/>
  <c r="J316" i="32"/>
  <c r="J315" i="32"/>
  <c r="J314" i="32"/>
  <c r="J313" i="32"/>
  <c r="J312" i="32"/>
  <c r="J311" i="32"/>
  <c r="J310" i="32"/>
  <c r="J309" i="32"/>
  <c r="J308" i="32"/>
  <c r="J307" i="32"/>
  <c r="J306" i="32"/>
  <c r="J305" i="32"/>
  <c r="J304" i="32"/>
  <c r="J303" i="32"/>
  <c r="J302" i="32"/>
  <c r="J301" i="32"/>
  <c r="J300" i="32"/>
  <c r="J299" i="32"/>
  <c r="J298" i="32"/>
  <c r="J297" i="32"/>
  <c r="J296" i="32"/>
  <c r="J295" i="32"/>
  <c r="J294" i="32"/>
  <c r="J293" i="32"/>
  <c r="J292" i="32"/>
  <c r="J291" i="32"/>
  <c r="J290" i="32"/>
  <c r="J289" i="32"/>
  <c r="J288" i="32"/>
  <c r="J287" i="32"/>
  <c r="J286" i="32"/>
  <c r="J285" i="32"/>
  <c r="J284" i="32"/>
  <c r="J283" i="32"/>
  <c r="J282" i="32"/>
  <c r="J281" i="32"/>
  <c r="J280" i="32"/>
  <c r="J279" i="32"/>
  <c r="J278" i="32"/>
  <c r="J277" i="32"/>
  <c r="J276" i="32"/>
  <c r="J275" i="32"/>
  <c r="J274" i="32"/>
  <c r="J273" i="32"/>
  <c r="J272" i="32"/>
  <c r="J271" i="32"/>
  <c r="J270" i="32"/>
  <c r="J269" i="32"/>
  <c r="J268" i="32"/>
  <c r="J267" i="32"/>
  <c r="J266" i="32"/>
  <c r="J265" i="32"/>
  <c r="J264" i="32"/>
  <c r="J263" i="32"/>
  <c r="J262" i="32"/>
  <c r="J261" i="32"/>
  <c r="J260" i="32"/>
  <c r="J259" i="32"/>
  <c r="J258" i="32"/>
  <c r="J257" i="32"/>
  <c r="J256" i="32"/>
  <c r="J255" i="32"/>
  <c r="J254" i="32"/>
  <c r="J253" i="32"/>
  <c r="J252" i="32"/>
  <c r="J251" i="32"/>
  <c r="J250" i="32"/>
  <c r="J249" i="32"/>
  <c r="J248" i="32"/>
  <c r="J247" i="32"/>
  <c r="J246" i="32"/>
  <c r="J245" i="32"/>
  <c r="J244" i="32"/>
  <c r="J243" i="32"/>
  <c r="J242" i="32"/>
  <c r="J241" i="32"/>
  <c r="J240" i="32"/>
  <c r="J239" i="32"/>
  <c r="J238" i="32"/>
  <c r="J237" i="32"/>
  <c r="J236" i="32"/>
  <c r="J235" i="32"/>
  <c r="J234" i="32"/>
  <c r="J233" i="32"/>
  <c r="J232" i="32"/>
  <c r="J231" i="32"/>
  <c r="J230" i="32"/>
  <c r="J229" i="32"/>
  <c r="J228" i="32"/>
  <c r="J227" i="32"/>
  <c r="J226" i="32"/>
  <c r="J225" i="32"/>
  <c r="J224" i="32"/>
  <c r="J223" i="32"/>
  <c r="J222" i="32"/>
  <c r="J221" i="32"/>
  <c r="J220" i="32"/>
  <c r="J219" i="32"/>
  <c r="J218" i="32"/>
  <c r="J217" i="32"/>
  <c r="J216" i="32"/>
  <c r="J215" i="32"/>
  <c r="J214" i="32"/>
  <c r="J213" i="32"/>
  <c r="J212" i="32"/>
  <c r="J211" i="32"/>
  <c r="J210" i="32"/>
  <c r="J209" i="32"/>
  <c r="J208" i="32"/>
  <c r="J207" i="32"/>
  <c r="J206" i="32"/>
  <c r="J205" i="32"/>
  <c r="J204" i="32"/>
  <c r="J203" i="32"/>
  <c r="J202" i="32"/>
  <c r="J201" i="32"/>
  <c r="J199" i="32"/>
  <c r="J198" i="32"/>
  <c r="J197" i="32"/>
  <c r="J196" i="32"/>
  <c r="J195" i="32"/>
  <c r="J194" i="32"/>
  <c r="J193" i="32"/>
  <c r="J192" i="32"/>
  <c r="J191" i="32"/>
  <c r="J190" i="32"/>
  <c r="J189" i="32"/>
  <c r="J188" i="32"/>
  <c r="J187" i="32"/>
  <c r="J186" i="32"/>
  <c r="J185" i="32"/>
  <c r="J184" i="32"/>
  <c r="J183" i="32"/>
  <c r="J182" i="32"/>
  <c r="J181" i="32"/>
  <c r="J180" i="32"/>
  <c r="J179" i="32"/>
  <c r="J178" i="32"/>
  <c r="J177" i="32"/>
  <c r="J176" i="32"/>
  <c r="J175" i="32"/>
  <c r="J174" i="32"/>
  <c r="J173" i="32"/>
  <c r="J172" i="32"/>
  <c r="J171" i="32"/>
  <c r="J170" i="32"/>
  <c r="J169" i="32"/>
  <c r="J168" i="32"/>
  <c r="J167" i="32"/>
  <c r="J166" i="32"/>
  <c r="J165" i="32"/>
  <c r="J164" i="32"/>
  <c r="J163" i="32"/>
  <c r="J162" i="32"/>
  <c r="J161" i="32"/>
  <c r="J160" i="32"/>
  <c r="J159" i="32"/>
  <c r="J158" i="32"/>
  <c r="J156" i="32"/>
  <c r="J155" i="32"/>
  <c r="J154" i="32"/>
  <c r="J153" i="32"/>
  <c r="J152" i="32"/>
  <c r="J151" i="32"/>
  <c r="J150" i="32"/>
  <c r="J148" i="32"/>
  <c r="J147" i="32"/>
  <c r="J146" i="32"/>
  <c r="J145" i="32"/>
  <c r="J144" i="32"/>
  <c r="J142" i="32"/>
  <c r="J141" i="32"/>
  <c r="J140" i="32"/>
  <c r="J139" i="32"/>
  <c r="J138" i="32"/>
  <c r="J137" i="32"/>
  <c r="J136" i="32"/>
  <c r="J134" i="32"/>
  <c r="J133" i="32"/>
  <c r="J132" i="32"/>
  <c r="J131" i="32"/>
  <c r="J130" i="32"/>
  <c r="J129" i="32"/>
  <c r="J128" i="32"/>
  <c r="J127" i="32"/>
  <c r="J126" i="32"/>
  <c r="J125" i="32"/>
  <c r="J124" i="32"/>
  <c r="J123" i="32"/>
  <c r="J122" i="32"/>
  <c r="J121" i="32"/>
  <c r="J120" i="32"/>
  <c r="J119" i="32"/>
  <c r="J118" i="32"/>
  <c r="J117" i="32"/>
  <c r="J116" i="32"/>
  <c r="J115" i="32"/>
  <c r="J114" i="32"/>
  <c r="J113" i="32"/>
  <c r="J112" i="32"/>
  <c r="J111" i="32"/>
  <c r="J110" i="32"/>
  <c r="J109" i="32"/>
  <c r="J108" i="32"/>
  <c r="J107" i="32"/>
  <c r="J106" i="32"/>
  <c r="J105" i="32"/>
  <c r="J104" i="32"/>
  <c r="J103" i="32"/>
  <c r="J102" i="32"/>
  <c r="J101" i="32"/>
  <c r="J100" i="32"/>
  <c r="J99" i="32"/>
  <c r="J98" i="32"/>
  <c r="J97" i="32"/>
  <c r="J96" i="32"/>
  <c r="J95" i="32"/>
  <c r="J94" i="32"/>
  <c r="J93" i="32"/>
  <c r="J92" i="32"/>
  <c r="J91" i="32"/>
  <c r="J90" i="32"/>
  <c r="J89" i="32"/>
  <c r="J88" i="32"/>
  <c r="J87" i="32"/>
  <c r="J86" i="32"/>
  <c r="J85" i="32"/>
  <c r="J84" i="32"/>
  <c r="J83" i="32"/>
  <c r="J82" i="32"/>
  <c r="J81" i="32"/>
  <c r="J80" i="32"/>
  <c r="J79" i="32"/>
  <c r="J78" i="32"/>
  <c r="J77" i="32"/>
  <c r="J76" i="32"/>
  <c r="J75" i="32"/>
  <c r="J74" i="32"/>
  <c r="J73" i="32"/>
  <c r="J72" i="32"/>
  <c r="J71" i="32"/>
  <c r="J70" i="32"/>
  <c r="J69" i="32"/>
  <c r="J68" i="32"/>
  <c r="J67" i="32"/>
  <c r="J66" i="32"/>
  <c r="J65" i="32"/>
  <c r="J64" i="32"/>
  <c r="J63" i="32"/>
  <c r="J62" i="32"/>
  <c r="J61" i="32"/>
  <c r="J60" i="32"/>
  <c r="J59" i="32"/>
  <c r="J58" i="32"/>
  <c r="J57" i="32"/>
  <c r="J56" i="32"/>
  <c r="J55" i="32"/>
  <c r="J54" i="32"/>
  <c r="J53" i="32"/>
  <c r="J52" i="32"/>
  <c r="J51" i="32"/>
  <c r="J50" i="32"/>
  <c r="J49" i="32"/>
  <c r="J48" i="32"/>
  <c r="J47" i="32"/>
  <c r="J46" i="32"/>
  <c r="J45" i="32"/>
  <c r="J44" i="32"/>
  <c r="J43" i="32"/>
  <c r="J42" i="32"/>
  <c r="J41" i="32"/>
  <c r="J40" i="32"/>
  <c r="J39" i="32"/>
  <c r="J38" i="32"/>
  <c r="J37" i="32"/>
  <c r="J36" i="32"/>
  <c r="J35" i="32"/>
  <c r="J34" i="32"/>
  <c r="J33" i="32"/>
  <c r="J32" i="32"/>
  <c r="J31" i="32"/>
  <c r="J30" i="32"/>
  <c r="J29" i="32"/>
  <c r="J27" i="32"/>
  <c r="J26" i="32"/>
  <c r="J25" i="32"/>
  <c r="I27" i="32"/>
  <c r="I26" i="32"/>
  <c r="I25" i="32"/>
  <c r="I531" i="32"/>
  <c r="I530" i="32"/>
  <c r="I529" i="32"/>
  <c r="I528" i="32"/>
  <c r="I527" i="32"/>
  <c r="I526" i="32"/>
  <c r="I525" i="32"/>
  <c r="I524" i="32"/>
  <c r="I523" i="32"/>
  <c r="I522" i="32"/>
  <c r="I521" i="32"/>
  <c r="I519" i="32"/>
  <c r="I518" i="32"/>
  <c r="I517" i="32"/>
  <c r="I516" i="32"/>
  <c r="I515" i="32"/>
  <c r="I514" i="32"/>
  <c r="I513" i="32"/>
  <c r="I512" i="32"/>
  <c r="I511" i="32"/>
  <c r="I510" i="32"/>
  <c r="I509" i="32"/>
  <c r="I508" i="32"/>
  <c r="I507" i="32"/>
  <c r="I506" i="32"/>
  <c r="I505" i="32"/>
  <c r="I504" i="32"/>
  <c r="I503" i="32"/>
  <c r="I502" i="32"/>
  <c r="I501" i="32"/>
  <c r="I500" i="32"/>
  <c r="I499" i="32"/>
  <c r="I498" i="32"/>
  <c r="I496" i="32"/>
  <c r="I495" i="32"/>
  <c r="I494" i="32"/>
  <c r="I493" i="32"/>
  <c r="I492" i="32"/>
  <c r="I491" i="32"/>
  <c r="I490" i="32"/>
  <c r="I489" i="32"/>
  <c r="I488" i="32"/>
  <c r="I487" i="32"/>
  <c r="I486" i="32"/>
  <c r="I485" i="32"/>
  <c r="I484" i="32"/>
  <c r="I483" i="32"/>
  <c r="I482" i="32"/>
  <c r="I481" i="32"/>
  <c r="I480" i="32"/>
  <c r="I479" i="32"/>
  <c r="I478" i="32"/>
  <c r="I477" i="32"/>
  <c r="I476" i="32"/>
  <c r="I475" i="32"/>
  <c r="I474" i="32"/>
  <c r="I473" i="32"/>
  <c r="I472" i="32"/>
  <c r="I471" i="32"/>
  <c r="I470" i="32"/>
  <c r="I469" i="32"/>
  <c r="I468" i="32"/>
  <c r="I467" i="32"/>
  <c r="I466" i="32"/>
  <c r="I465" i="32"/>
  <c r="I464" i="32"/>
  <c r="I463" i="32"/>
  <c r="I462" i="32"/>
  <c r="I461" i="32"/>
  <c r="I460" i="32"/>
  <c r="I459" i="32"/>
  <c r="I458" i="32"/>
  <c r="I457" i="32"/>
  <c r="I456" i="32"/>
  <c r="I455" i="32"/>
  <c r="I454" i="32"/>
  <c r="I453" i="32"/>
  <c r="I452" i="32"/>
  <c r="I451" i="32"/>
  <c r="I450" i="32"/>
  <c r="I449" i="32"/>
  <c r="I448" i="32"/>
  <c r="I447" i="32"/>
  <c r="I446" i="32"/>
  <c r="I445" i="32"/>
  <c r="I444" i="32"/>
  <c r="I443" i="32"/>
  <c r="I442" i="32"/>
  <c r="I441" i="32"/>
  <c r="I440" i="32"/>
  <c r="I439" i="32"/>
  <c r="I438" i="32"/>
  <c r="I437" i="32"/>
  <c r="I436" i="32"/>
  <c r="I435" i="32"/>
  <c r="I434" i="32"/>
  <c r="I433" i="32"/>
  <c r="I432" i="32"/>
  <c r="I431" i="32"/>
  <c r="I430" i="32"/>
  <c r="I429" i="32"/>
  <c r="I428" i="32"/>
  <c r="I427" i="32"/>
  <c r="I426" i="32"/>
  <c r="I425" i="32"/>
  <c r="I424" i="32"/>
  <c r="I423" i="32"/>
  <c r="I422" i="32"/>
  <c r="I421" i="32"/>
  <c r="I420" i="32"/>
  <c r="I419" i="32"/>
  <c r="I418" i="32"/>
  <c r="I417" i="32"/>
  <c r="I416" i="32"/>
  <c r="I415" i="32"/>
  <c r="I414" i="32"/>
  <c r="I413" i="32"/>
  <c r="I412" i="32"/>
  <c r="I411" i="32"/>
  <c r="I410" i="32"/>
  <c r="I409" i="32"/>
  <c r="I408" i="32"/>
  <c r="I407" i="32"/>
  <c r="I406" i="32"/>
  <c r="I405" i="32"/>
  <c r="I404" i="32"/>
  <c r="I403" i="32"/>
  <c r="I402" i="32"/>
  <c r="I401" i="32"/>
  <c r="I400" i="32"/>
  <c r="I399" i="32"/>
  <c r="I398" i="32"/>
  <c r="I397" i="32"/>
  <c r="I396" i="32"/>
  <c r="I395" i="32"/>
  <c r="I394" i="32"/>
  <c r="I393" i="32"/>
  <c r="I392" i="32"/>
  <c r="I391" i="32"/>
  <c r="I390" i="32"/>
  <c r="I389" i="32"/>
  <c r="I388" i="32"/>
  <c r="I387" i="32"/>
  <c r="I386" i="32"/>
  <c r="I385" i="32"/>
  <c r="I384" i="32"/>
  <c r="I383" i="32"/>
  <c r="I382" i="32"/>
  <c r="I381" i="32"/>
  <c r="I380" i="32"/>
  <c r="I379" i="32"/>
  <c r="I378" i="32"/>
  <c r="I377" i="32"/>
  <c r="I376" i="32"/>
  <c r="I375" i="32"/>
  <c r="I374" i="32"/>
  <c r="I373" i="32"/>
  <c r="I372" i="32"/>
  <c r="I371" i="32"/>
  <c r="I370" i="32"/>
  <c r="I369" i="32"/>
  <c r="I368" i="32"/>
  <c r="I367" i="32"/>
  <c r="I366" i="32"/>
  <c r="I365" i="32"/>
  <c r="I364" i="32"/>
  <c r="I363" i="32"/>
  <c r="I362" i="32"/>
  <c r="I361" i="32"/>
  <c r="I360" i="32"/>
  <c r="I359" i="32"/>
  <c r="I358" i="32"/>
  <c r="I357" i="32"/>
  <c r="I356" i="32"/>
  <c r="I355" i="32"/>
  <c r="I354" i="32"/>
  <c r="I353" i="32"/>
  <c r="I352" i="32"/>
  <c r="I351" i="32"/>
  <c r="I350" i="32"/>
  <c r="I349" i="32"/>
  <c r="I348" i="32"/>
  <c r="I347" i="32"/>
  <c r="I346" i="32"/>
  <c r="I345" i="32"/>
  <c r="I344" i="32"/>
  <c r="I343" i="32"/>
  <c r="I342" i="32"/>
  <c r="I341" i="32"/>
  <c r="I340" i="32"/>
  <c r="I339" i="32"/>
  <c r="I338" i="32"/>
  <c r="I337" i="32"/>
  <c r="I336" i="32"/>
  <c r="I335" i="32"/>
  <c r="I334" i="32"/>
  <c r="I333" i="32"/>
  <c r="I332" i="32"/>
  <c r="I331" i="32"/>
  <c r="I330" i="32"/>
  <c r="I329" i="32"/>
  <c r="I328" i="32"/>
  <c r="I327" i="32"/>
  <c r="I326" i="32"/>
  <c r="I325" i="32"/>
  <c r="I324" i="32"/>
  <c r="I323" i="32"/>
  <c r="I322" i="32"/>
  <c r="I321" i="32"/>
  <c r="I320" i="32"/>
  <c r="I319" i="32"/>
  <c r="I318" i="32"/>
  <c r="I317" i="32"/>
  <c r="I316" i="32"/>
  <c r="I315" i="32"/>
  <c r="I314" i="32"/>
  <c r="I313" i="32"/>
  <c r="I312" i="32"/>
  <c r="I311" i="32"/>
  <c r="I310" i="32"/>
  <c r="I309" i="32"/>
  <c r="I308" i="32"/>
  <c r="I307" i="32"/>
  <c r="I306" i="32"/>
  <c r="I305" i="32"/>
  <c r="I304" i="32"/>
  <c r="I303" i="32"/>
  <c r="I302" i="32"/>
  <c r="I301" i="32"/>
  <c r="I300" i="32"/>
  <c r="I299" i="32"/>
  <c r="I298" i="32"/>
  <c r="I297" i="32"/>
  <c r="I296" i="32"/>
  <c r="I295" i="32"/>
  <c r="I294" i="32"/>
  <c r="I293" i="32"/>
  <c r="I292" i="32"/>
  <c r="I291" i="32"/>
  <c r="I290" i="32"/>
  <c r="I289" i="32"/>
  <c r="I288" i="32"/>
  <c r="I287" i="32"/>
  <c r="I286" i="32"/>
  <c r="I285" i="32"/>
  <c r="I284" i="32"/>
  <c r="I283" i="32"/>
  <c r="I282" i="32"/>
  <c r="I281" i="32"/>
  <c r="I280" i="32"/>
  <c r="I279" i="32"/>
  <c r="I278" i="32"/>
  <c r="I277" i="32"/>
  <c r="I276" i="32"/>
  <c r="I275" i="32"/>
  <c r="I274" i="32"/>
  <c r="I273" i="32"/>
  <c r="I272" i="32"/>
  <c r="I271" i="32"/>
  <c r="I270" i="32"/>
  <c r="I269" i="32"/>
  <c r="I268" i="32"/>
  <c r="I267" i="32"/>
  <c r="I266" i="32"/>
  <c r="I265" i="32"/>
  <c r="I264" i="32"/>
  <c r="I263" i="32"/>
  <c r="I262" i="32"/>
  <c r="I261" i="32"/>
  <c r="I260" i="32"/>
  <c r="I259" i="32"/>
  <c r="I258" i="32"/>
  <c r="I257" i="32"/>
  <c r="I256" i="32"/>
  <c r="I255" i="32"/>
  <c r="I254" i="32"/>
  <c r="I253" i="32"/>
  <c r="I252" i="32"/>
  <c r="I251" i="32"/>
  <c r="I250" i="32"/>
  <c r="I249" i="32"/>
  <c r="I248" i="32"/>
  <c r="I247" i="32"/>
  <c r="I246" i="32"/>
  <c r="I245" i="32"/>
  <c r="I244" i="32"/>
  <c r="I243" i="32"/>
  <c r="I242" i="32"/>
  <c r="I241" i="32"/>
  <c r="I240" i="32"/>
  <c r="I239" i="32"/>
  <c r="I238" i="32"/>
  <c r="I237" i="32"/>
  <c r="I236" i="32"/>
  <c r="I235" i="32"/>
  <c r="I234" i="32"/>
  <c r="I233" i="32"/>
  <c r="I232" i="32"/>
  <c r="I231" i="32"/>
  <c r="I230" i="32"/>
  <c r="I229" i="32"/>
  <c r="I228" i="32"/>
  <c r="I227" i="32"/>
  <c r="I226" i="32"/>
  <c r="I225" i="32"/>
  <c r="I224" i="32"/>
  <c r="I223" i="32"/>
  <c r="I222" i="32"/>
  <c r="I221" i="32"/>
  <c r="I220" i="32"/>
  <c r="I219" i="32"/>
  <c r="I218" i="32"/>
  <c r="I217" i="32"/>
  <c r="I216" i="32"/>
  <c r="I215" i="32"/>
  <c r="I214" i="32"/>
  <c r="I213" i="32"/>
  <c r="I212" i="32"/>
  <c r="I211" i="32"/>
  <c r="I210" i="32"/>
  <c r="I209" i="32"/>
  <c r="I208" i="32"/>
  <c r="I207" i="32"/>
  <c r="I206" i="32"/>
  <c r="I205" i="32"/>
  <c r="I204" i="32"/>
  <c r="I203" i="32"/>
  <c r="I202" i="32"/>
  <c r="I201" i="32"/>
  <c r="I158" i="32"/>
  <c r="I156" i="32"/>
  <c r="I155" i="32"/>
  <c r="I154" i="32"/>
  <c r="I153" i="32"/>
  <c r="I152" i="32"/>
  <c r="I151" i="32"/>
  <c r="I150" i="32"/>
  <c r="I148" i="32"/>
  <c r="I147" i="32"/>
  <c r="I146" i="32"/>
  <c r="I145" i="32"/>
  <c r="I144" i="32"/>
  <c r="I142" i="32"/>
  <c r="I141" i="32"/>
  <c r="I140" i="32"/>
  <c r="I139" i="32"/>
  <c r="I138" i="32"/>
  <c r="I137" i="32"/>
  <c r="I136" i="32"/>
  <c r="I134" i="32"/>
  <c r="I133" i="32"/>
  <c r="I132" i="32"/>
  <c r="I131" i="32"/>
  <c r="I130" i="32"/>
  <c r="I129" i="32"/>
  <c r="I128" i="32"/>
  <c r="I127" i="32"/>
  <c r="I126" i="32"/>
  <c r="I125" i="32"/>
  <c r="I124" i="32"/>
  <c r="I123" i="32"/>
  <c r="I122" i="32"/>
  <c r="I121" i="32"/>
  <c r="I120" i="32"/>
  <c r="I119" i="32"/>
  <c r="I118" i="32"/>
  <c r="I117" i="32"/>
  <c r="I116" i="32"/>
  <c r="I115" i="32"/>
  <c r="I114" i="32"/>
  <c r="I113" i="32"/>
  <c r="I112" i="32"/>
  <c r="I111" i="32"/>
  <c r="I110" i="32"/>
  <c r="I109" i="32"/>
  <c r="I108" i="32"/>
  <c r="I107" i="32"/>
  <c r="I106" i="32"/>
  <c r="I105" i="32"/>
  <c r="I104" i="32"/>
  <c r="I103" i="32"/>
  <c r="I102" i="32"/>
  <c r="I101" i="32"/>
  <c r="I100" i="32"/>
  <c r="I99" i="32"/>
  <c r="I98" i="32"/>
  <c r="I97" i="32"/>
  <c r="I96" i="32"/>
  <c r="I95" i="32"/>
  <c r="I94" i="32"/>
  <c r="I93" i="32"/>
  <c r="I92" i="32"/>
  <c r="I91" i="32"/>
  <c r="I90" i="32"/>
  <c r="I89" i="32"/>
  <c r="I88" i="32"/>
  <c r="I87" i="32"/>
  <c r="I86" i="32"/>
  <c r="I85" i="32"/>
  <c r="I84" i="32"/>
  <c r="I83" i="32"/>
  <c r="I82" i="32"/>
  <c r="I81" i="32"/>
  <c r="I80" i="32"/>
  <c r="I79" i="32"/>
  <c r="I78" i="32"/>
  <c r="I77" i="32"/>
  <c r="I76" i="32"/>
  <c r="I75" i="32"/>
  <c r="I74" i="32"/>
  <c r="I73" i="32"/>
  <c r="I72" i="32"/>
  <c r="I71" i="32"/>
  <c r="I70" i="32"/>
  <c r="I69" i="32"/>
  <c r="I68" i="32"/>
  <c r="I67" i="32"/>
  <c r="I66" i="32"/>
  <c r="I65" i="32"/>
  <c r="I64" i="32"/>
  <c r="I63" i="32"/>
  <c r="I62" i="32"/>
  <c r="I61" i="32"/>
  <c r="I60" i="32"/>
  <c r="I59" i="32"/>
  <c r="I58" i="32"/>
  <c r="I57" i="32"/>
  <c r="I56" i="32"/>
  <c r="I55" i="32"/>
  <c r="I54" i="32"/>
  <c r="I53" i="32"/>
  <c r="I52" i="32"/>
  <c r="I51" i="32"/>
  <c r="I50" i="32"/>
  <c r="I49" i="32"/>
  <c r="I48" i="32"/>
  <c r="I47" i="32"/>
  <c r="I46" i="32"/>
  <c r="I45" i="32"/>
  <c r="I44" i="32"/>
  <c r="I43" i="32"/>
  <c r="I42" i="32"/>
  <c r="I41" i="32"/>
  <c r="I40" i="32"/>
  <c r="I39" i="32"/>
  <c r="I38" i="32"/>
  <c r="I37" i="32"/>
  <c r="I36" i="32"/>
  <c r="I35" i="32"/>
  <c r="I34" i="32"/>
  <c r="I33" i="32"/>
  <c r="I32" i="32"/>
  <c r="I31" i="32"/>
  <c r="I30" i="32"/>
  <c r="I29" i="32"/>
  <c r="E542" i="32"/>
  <c r="I31" i="42" l="1"/>
  <c r="H31" i="42"/>
  <c r="F31" i="42"/>
  <c r="G31" i="42"/>
  <c r="E31" i="42"/>
  <c r="F170" i="46"/>
  <c r="D170" i="46"/>
  <c r="D30" i="46" s="1"/>
  <c r="E170" i="46"/>
  <c r="I170" i="46"/>
  <c r="H170" i="46"/>
  <c r="G170" i="46"/>
  <c r="S72" i="21"/>
  <c r="C35" i="42" s="1"/>
  <c r="F35" i="42" s="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C36" i="57"/>
  <c r="E36" i="57" s="1"/>
  <c r="C35" i="57"/>
  <c r="E35" i="57" s="1"/>
  <c r="C34" i="57"/>
  <c r="E34" i="57" s="1"/>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C19" i="57"/>
  <c r="D19" i="57" s="1"/>
  <c r="C18" i="57"/>
  <c r="E18" i="57" s="1"/>
  <c r="C17" i="57"/>
  <c r="D17" i="57" s="1"/>
  <c r="C16" i="57"/>
  <c r="E16" i="57" s="1"/>
  <c r="C15" i="57"/>
  <c r="E15" i="57" s="1"/>
  <c r="C14" i="57"/>
  <c r="E14" i="57" s="1"/>
  <c r="C13" i="57"/>
  <c r="E13" i="57" s="1"/>
  <c r="C12" i="57"/>
  <c r="E12" i="57" s="1"/>
  <c r="D33" i="57" l="1"/>
  <c r="D16" i="57"/>
  <c r="E17" i="57"/>
  <c r="D36" i="57"/>
  <c r="E19" i="57"/>
  <c r="H19" i="57" s="1"/>
  <c r="D13" i="57"/>
  <c r="D14" i="57"/>
  <c r="D15" i="57"/>
  <c r="D34" i="57"/>
  <c r="D18" i="57"/>
  <c r="D12" i="57"/>
  <c r="D35" i="57"/>
  <c r="G171" i="46"/>
  <c r="I171" i="46"/>
  <c r="H63" i="47" s="1"/>
  <c r="E171" i="46"/>
  <c r="D63" i="47" s="1"/>
  <c r="H171" i="46"/>
  <c r="G63" i="47" s="1"/>
  <c r="F171" i="46"/>
  <c r="E63" i="47" s="1"/>
  <c r="C42" i="47"/>
  <c r="H35" i="42"/>
  <c r="I35" i="42"/>
  <c r="H30" i="46"/>
  <c r="I30" i="46"/>
  <c r="G30" i="46"/>
  <c r="F63" i="47"/>
  <c r="E30" i="46"/>
  <c r="F30" i="46"/>
  <c r="G35" i="42"/>
  <c r="E35" i="42"/>
  <c r="D35" i="42"/>
  <c r="H25" i="57"/>
  <c r="F25" i="57"/>
  <c r="G25" i="57"/>
  <c r="H34" i="57"/>
  <c r="G34" i="57"/>
  <c r="F34" i="57"/>
  <c r="H38" i="57"/>
  <c r="F38" i="57"/>
  <c r="G38" i="57"/>
  <c r="G32" i="57"/>
  <c r="F32" i="57"/>
  <c r="H32" i="57"/>
  <c r="H21" i="57"/>
  <c r="F21" i="57"/>
  <c r="G21" i="57"/>
  <c r="H22" i="57"/>
  <c r="G22" i="57"/>
  <c r="F22" i="57"/>
  <c r="G29" i="57"/>
  <c r="F29" i="57"/>
  <c r="H29" i="57"/>
  <c r="H35" i="57"/>
  <c r="G35" i="57"/>
  <c r="F35" i="57"/>
  <c r="H40" i="57"/>
  <c r="F40" i="57"/>
  <c r="G40" i="57"/>
  <c r="H30" i="57"/>
  <c r="G30" i="57"/>
  <c r="F30" i="57"/>
  <c r="I30" i="57" s="1"/>
  <c r="K30" i="57" s="1"/>
  <c r="H46" i="57"/>
  <c r="G46" i="57"/>
  <c r="F46" i="57"/>
  <c r="I46" i="57" s="1"/>
  <c r="K46" i="57" s="1"/>
  <c r="H12" i="57"/>
  <c r="G12" i="57"/>
  <c r="F12" i="57"/>
  <c r="G13" i="57"/>
  <c r="F13" i="57"/>
  <c r="H13" i="57"/>
  <c r="G31" i="57"/>
  <c r="F31" i="57"/>
  <c r="H31" i="57"/>
  <c r="H36" i="57"/>
  <c r="G36" i="57"/>
  <c r="F36" i="57"/>
  <c r="H14" i="57"/>
  <c r="G14" i="57"/>
  <c r="F14" i="57"/>
  <c r="H26" i="57"/>
  <c r="G26" i="57"/>
  <c r="F26" i="57"/>
  <c r="H33" i="57"/>
  <c r="G33" i="57"/>
  <c r="F33" i="57"/>
  <c r="D22" i="57"/>
  <c r="D25" i="57"/>
  <c r="D26" i="57"/>
  <c r="J43" i="57"/>
  <c r="K43" i="57" s="1"/>
  <c r="D21" i="57"/>
  <c r="F17" i="57"/>
  <c r="E20" i="57"/>
  <c r="E23" i="57"/>
  <c r="E24" i="57"/>
  <c r="E28" i="57"/>
  <c r="D29" i="57"/>
  <c r="D30" i="57"/>
  <c r="D31" i="57"/>
  <c r="D32" i="57"/>
  <c r="F16" i="57"/>
  <c r="F19" i="57"/>
  <c r="E27" i="57"/>
  <c r="G16" i="57"/>
  <c r="G18" i="57"/>
  <c r="D38" i="57"/>
  <c r="D40" i="57"/>
  <c r="H15" i="57"/>
  <c r="H16" i="57"/>
  <c r="H17" i="57"/>
  <c r="H18" i="57"/>
  <c r="E37" i="57"/>
  <c r="E39" i="57"/>
  <c r="E41" i="57"/>
  <c r="F42" i="57"/>
  <c r="I42" i="57" s="1"/>
  <c r="K42" i="57" s="1"/>
  <c r="F47" i="57"/>
  <c r="I47" i="57" s="1"/>
  <c r="K47" i="57" s="1"/>
  <c r="F15" i="57"/>
  <c r="F18" i="57"/>
  <c r="G15" i="57"/>
  <c r="G17" i="57"/>
  <c r="G42" i="57"/>
  <c r="F45" i="57"/>
  <c r="I45" i="57" s="1"/>
  <c r="K45" i="57" s="1"/>
  <c r="G47" i="57"/>
  <c r="L142" i="50" l="1"/>
  <c r="L140" i="50"/>
  <c r="L130" i="50"/>
  <c r="I16" i="57"/>
  <c r="K16" i="57" s="1"/>
  <c r="I21" i="57"/>
  <c r="K21" i="57" s="1"/>
  <c r="I34" i="57"/>
  <c r="K34" i="57" s="1"/>
  <c r="G19" i="57"/>
  <c r="I19" i="57" s="1"/>
  <c r="K19" i="57" s="1"/>
  <c r="L128" i="50" s="1"/>
  <c r="I40" i="57"/>
  <c r="K40" i="57" s="1"/>
  <c r="I22" i="57"/>
  <c r="K22" i="57" s="1"/>
  <c r="I12" i="57"/>
  <c r="K12" i="57" s="1"/>
  <c r="L124" i="50"/>
  <c r="I36" i="57"/>
  <c r="K36" i="57" s="1"/>
  <c r="I35" i="57"/>
  <c r="K35" i="57" s="1"/>
  <c r="I17" i="57"/>
  <c r="K17" i="57" s="1"/>
  <c r="I38" i="57"/>
  <c r="K38" i="57" s="1"/>
  <c r="I26" i="57"/>
  <c r="K26" i="57" s="1"/>
  <c r="I31" i="57"/>
  <c r="K31" i="57" s="1"/>
  <c r="I29" i="57"/>
  <c r="K29" i="57" s="1"/>
  <c r="I18" i="57"/>
  <c r="K18" i="57" s="1"/>
  <c r="I14" i="57"/>
  <c r="K14" i="57" s="1"/>
  <c r="I32" i="57"/>
  <c r="K32" i="57" s="1"/>
  <c r="I15" i="57"/>
  <c r="K15" i="57" s="1"/>
  <c r="I33" i="57"/>
  <c r="K33" i="57" s="1"/>
  <c r="I13" i="57"/>
  <c r="K13" i="57" s="1"/>
  <c r="I25" i="57"/>
  <c r="K25" i="57" s="1"/>
  <c r="F42" i="47"/>
  <c r="E42" i="47"/>
  <c r="H42" i="47"/>
  <c r="G42" i="47"/>
  <c r="H27" i="57"/>
  <c r="F27" i="57"/>
  <c r="G27" i="57"/>
  <c r="H23" i="57"/>
  <c r="F23" i="57"/>
  <c r="G23" i="57"/>
  <c r="H20" i="57"/>
  <c r="G20" i="57"/>
  <c r="F20" i="57"/>
  <c r="H41" i="57"/>
  <c r="F41" i="57"/>
  <c r="G41" i="57"/>
  <c r="I41" i="57" s="1"/>
  <c r="K41" i="57" s="1"/>
  <c r="H24" i="57"/>
  <c r="G24" i="57"/>
  <c r="F24" i="57"/>
  <c r="H39" i="57"/>
  <c r="G39" i="57"/>
  <c r="F39" i="57"/>
  <c r="H37" i="57"/>
  <c r="F37" i="57"/>
  <c r="G37" i="57"/>
  <c r="H28" i="57"/>
  <c r="G28" i="57"/>
  <c r="F28" i="57"/>
  <c r="F19" i="50"/>
  <c r="G13" i="50"/>
  <c r="G41" i="50"/>
  <c r="K153" i="46" l="1"/>
  <c r="K154" i="46"/>
  <c r="K168" i="46"/>
  <c r="K169" i="46"/>
  <c r="K107" i="46"/>
  <c r="K106" i="46"/>
  <c r="I20" i="57"/>
  <c r="K20" i="57" s="1"/>
  <c r="L126" i="50"/>
  <c r="K77" i="46" s="1"/>
  <c r="I24" i="57"/>
  <c r="K24" i="57" s="1"/>
  <c r="I28" i="57"/>
  <c r="K28" i="57" s="1"/>
  <c r="I27" i="57"/>
  <c r="K27" i="57" s="1"/>
  <c r="I23" i="57"/>
  <c r="K23" i="57" s="1"/>
  <c r="I37" i="57"/>
  <c r="K37" i="57" s="1"/>
  <c r="K90" i="46"/>
  <c r="K91" i="46"/>
  <c r="I39" i="57"/>
  <c r="K39" i="57" s="1"/>
  <c r="L150" i="50"/>
  <c r="K199" i="46" s="1"/>
  <c r="L149" i="50"/>
  <c r="K198" i="46" s="1"/>
  <c r="L138" i="50"/>
  <c r="K139" i="46" s="1"/>
  <c r="L136" i="50"/>
  <c r="K138" i="46" s="1"/>
  <c r="L134" i="50"/>
  <c r="K123" i="46" s="1"/>
  <c r="L132" i="50"/>
  <c r="K122" i="46" s="1"/>
  <c r="L122" i="50"/>
  <c r="K62" i="46"/>
  <c r="K63" i="46"/>
  <c r="D42" i="47"/>
  <c r="G36" i="50"/>
  <c r="L44"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L154" i="46" l="1"/>
  <c r="N154" i="46"/>
  <c r="M154" i="46"/>
  <c r="Q154" i="46"/>
  <c r="P154" i="46"/>
  <c r="O154" i="46"/>
  <c r="M106" i="46"/>
  <c r="M108" i="46" s="1"/>
  <c r="N106" i="46"/>
  <c r="N108" i="46" s="1"/>
  <c r="Q106" i="46"/>
  <c r="L106" i="46"/>
  <c r="L108" i="46" s="1"/>
  <c r="L22" i="46" s="1"/>
  <c r="P106" i="46"/>
  <c r="O106" i="46"/>
  <c r="L107" i="46"/>
  <c r="Q107" i="46"/>
  <c r="N107" i="46"/>
  <c r="O107" i="46"/>
  <c r="M107" i="46"/>
  <c r="P107" i="46"/>
  <c r="N169" i="46"/>
  <c r="Q169" i="46"/>
  <c r="M169" i="46"/>
  <c r="L169" i="46"/>
  <c r="P169" i="46"/>
  <c r="O169" i="46"/>
  <c r="N168" i="46"/>
  <c r="M168" i="46"/>
  <c r="M170" i="46" s="1"/>
  <c r="P168" i="46"/>
  <c r="L168" i="46"/>
  <c r="L170" i="46" s="1"/>
  <c r="L30" i="46" s="1"/>
  <c r="O168" i="46"/>
  <c r="Q168" i="46"/>
  <c r="L153" i="46"/>
  <c r="L155" i="46" s="1"/>
  <c r="L28" i="46" s="1"/>
  <c r="M153" i="46"/>
  <c r="M155" i="46" s="1"/>
  <c r="P153" i="46"/>
  <c r="O153" i="46"/>
  <c r="O155" i="46" s="1"/>
  <c r="Q153" i="46"/>
  <c r="N153" i="46"/>
  <c r="N155" i="46" s="1"/>
  <c r="K76" i="46"/>
  <c r="M76" i="46" s="1"/>
  <c r="M122" i="46"/>
  <c r="P122" i="46"/>
  <c r="L122" i="46"/>
  <c r="Q122" i="46"/>
  <c r="O122" i="46"/>
  <c r="N122" i="46"/>
  <c r="L90" i="46"/>
  <c r="Q90" i="46"/>
  <c r="M90" i="46"/>
  <c r="O90" i="46"/>
  <c r="P90" i="46"/>
  <c r="N90" i="46"/>
  <c r="P123" i="46"/>
  <c r="Q123" i="46"/>
  <c r="L123" i="46"/>
  <c r="M123" i="46"/>
  <c r="N123" i="46"/>
  <c r="O123" i="46"/>
  <c r="N76" i="46"/>
  <c r="M138" i="46"/>
  <c r="P138" i="46"/>
  <c r="Q138" i="46"/>
  <c r="N138" i="46"/>
  <c r="L138" i="46"/>
  <c r="O138" i="46"/>
  <c r="O77" i="46"/>
  <c r="L77" i="46"/>
  <c r="Q77" i="46"/>
  <c r="N77" i="46"/>
  <c r="M77" i="46"/>
  <c r="P77" i="46"/>
  <c r="L139" i="46"/>
  <c r="P139" i="46"/>
  <c r="N139" i="46"/>
  <c r="M139" i="46"/>
  <c r="M140" i="46" s="1"/>
  <c r="O139" i="46"/>
  <c r="Q139" i="46"/>
  <c r="O91" i="46"/>
  <c r="L91" i="46"/>
  <c r="Q91" i="46"/>
  <c r="M91" i="46"/>
  <c r="N91" i="46"/>
  <c r="P91" i="46"/>
  <c r="K49" i="46"/>
  <c r="K48" i="46"/>
  <c r="L199" i="46"/>
  <c r="M199" i="46"/>
  <c r="P199" i="46"/>
  <c r="N199" i="46"/>
  <c r="Q199" i="46"/>
  <c r="O199" i="46"/>
  <c r="O198" i="46"/>
  <c r="L198" i="46"/>
  <c r="P198" i="46"/>
  <c r="Q198" i="46"/>
  <c r="N198" i="46"/>
  <c r="M198" i="46"/>
  <c r="H12" i="50"/>
  <c r="O124" i="46" l="1"/>
  <c r="M28" i="46"/>
  <c r="M156" i="46"/>
  <c r="N22" i="46"/>
  <c r="N109" i="46"/>
  <c r="N140" i="46"/>
  <c r="N26" i="46" s="1"/>
  <c r="M22" i="46"/>
  <c r="M109" i="46"/>
  <c r="P140" i="46"/>
  <c r="P26" i="46" s="1"/>
  <c r="Q170" i="46"/>
  <c r="M200" i="46"/>
  <c r="M34" i="46" s="1"/>
  <c r="Q92" i="46"/>
  <c r="O170" i="46"/>
  <c r="L92" i="46"/>
  <c r="L20" i="46" s="1"/>
  <c r="O108" i="46"/>
  <c r="N124" i="46"/>
  <c r="N24" i="46" s="1"/>
  <c r="Q155" i="46"/>
  <c r="P170" i="46"/>
  <c r="P108" i="46"/>
  <c r="N28" i="46"/>
  <c r="N156" i="46"/>
  <c r="O156" i="46"/>
  <c r="O28" i="46"/>
  <c r="M171" i="46"/>
  <c r="M30" i="46"/>
  <c r="P155" i="46"/>
  <c r="N170" i="46"/>
  <c r="Q108" i="46"/>
  <c r="O76" i="46"/>
  <c r="O78" i="46" s="1"/>
  <c r="O18" i="46" s="1"/>
  <c r="Q76" i="46"/>
  <c r="Q78" i="46" s="1"/>
  <c r="L76" i="46"/>
  <c r="L78" i="46" s="1"/>
  <c r="L18" i="46" s="1"/>
  <c r="P76" i="46"/>
  <c r="P78" i="46" s="1"/>
  <c r="M78" i="46"/>
  <c r="M18" i="46" s="1"/>
  <c r="Q20" i="46"/>
  <c r="O24" i="46"/>
  <c r="M26" i="46"/>
  <c r="Q200" i="46"/>
  <c r="N92" i="46"/>
  <c r="Q124" i="46"/>
  <c r="N200" i="46"/>
  <c r="P92" i="46"/>
  <c r="L124" i="46"/>
  <c r="L24" i="46" s="1"/>
  <c r="P200" i="46"/>
  <c r="L200" i="46"/>
  <c r="L34" i="46" s="1"/>
  <c r="Q140" i="46"/>
  <c r="P124" i="46"/>
  <c r="L140" i="46"/>
  <c r="L26" i="46" s="1"/>
  <c r="N78" i="46"/>
  <c r="O92" i="46"/>
  <c r="O200" i="46"/>
  <c r="O140" i="46"/>
  <c r="M92" i="46"/>
  <c r="M124" i="46"/>
  <c r="F16" i="50"/>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O125" i="46" l="1"/>
  <c r="Q93" i="46"/>
  <c r="O109" i="46"/>
  <c r="O22" i="46"/>
  <c r="Q156" i="46"/>
  <c r="Q28" i="46"/>
  <c r="O30" i="46"/>
  <c r="O171" i="46"/>
  <c r="Q22" i="46"/>
  <c r="Q109" i="46"/>
  <c r="N171" i="46"/>
  <c r="N30" i="46"/>
  <c r="P22" i="46"/>
  <c r="P109" i="46"/>
  <c r="P28" i="46"/>
  <c r="P156" i="46"/>
  <c r="P171" i="46"/>
  <c r="P30" i="46"/>
  <c r="Q171" i="46"/>
  <c r="Q30" i="46"/>
  <c r="O79" i="46"/>
  <c r="M79" i="46"/>
  <c r="M201" i="46"/>
  <c r="N125" i="46"/>
  <c r="P93" i="46"/>
  <c r="P20" i="46"/>
  <c r="O93" i="46"/>
  <c r="O20" i="46"/>
  <c r="Q26" i="46"/>
  <c r="Q141" i="46"/>
  <c r="N18" i="46"/>
  <c r="N79" i="46"/>
  <c r="N201" i="46"/>
  <c r="N34" i="46"/>
  <c r="P18" i="46"/>
  <c r="P79" i="46"/>
  <c r="M125" i="46"/>
  <c r="M24" i="46"/>
  <c r="N141" i="46"/>
  <c r="Q79" i="46"/>
  <c r="Q18" i="46"/>
  <c r="M141" i="46"/>
  <c r="O141" i="46"/>
  <c r="O26" i="46"/>
  <c r="P201" i="46"/>
  <c r="P34" i="46"/>
  <c r="Q24" i="46"/>
  <c r="Q125" i="46"/>
  <c r="Q34" i="46"/>
  <c r="Q201" i="46"/>
  <c r="P24" i="46"/>
  <c r="P125" i="46"/>
  <c r="M20" i="46"/>
  <c r="M93" i="46"/>
  <c r="P141" i="46"/>
  <c r="O34" i="46"/>
  <c r="O201" i="46"/>
  <c r="N93" i="46"/>
  <c r="N20" i="46"/>
  <c r="B15" i="46"/>
  <c r="B14" i="46"/>
  <c r="B13" i="46"/>
  <c r="C43" i="50" l="1"/>
  <c r="C36" i="50" l="1"/>
  <c r="F17" i="50"/>
  <c r="C17" i="50"/>
  <c r="F15" i="50"/>
  <c r="F20" i="50" l="1"/>
  <c r="H41" i="50" l="1"/>
  <c r="I41" i="50" s="1"/>
  <c r="J41" i="50" s="1"/>
  <c r="K41" i="50" s="1"/>
  <c r="G42" i="50" l="1"/>
  <c r="H42" i="50" l="1"/>
  <c r="I42" i="50" s="1"/>
  <c r="J42" i="50" s="1"/>
  <c r="K42"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E202" i="32"/>
  <c r="D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E187" i="32"/>
  <c r="K187" i="32"/>
  <c r="L187" i="32"/>
  <c r="G164" i="32"/>
  <c r="H164" i="32"/>
  <c r="I164" i="32"/>
  <c r="D164" i="32" s="1"/>
  <c r="E164" i="32"/>
  <c r="K164" i="32"/>
  <c r="L164" i="32"/>
  <c r="G165" i="32"/>
  <c r="H165" i="32"/>
  <c r="I165" i="32"/>
  <c r="D165" i="32" s="1"/>
  <c r="E165" i="32"/>
  <c r="K165" i="32"/>
  <c r="L165" i="32"/>
  <c r="G166" i="32"/>
  <c r="H166" i="32"/>
  <c r="I166" i="32"/>
  <c r="D166" i="32" s="1"/>
  <c r="E166" i="32"/>
  <c r="K166" i="32"/>
  <c r="L166" i="32"/>
  <c r="G167" i="32"/>
  <c r="H167" i="32"/>
  <c r="I167" i="32"/>
  <c r="D167" i="32" s="1"/>
  <c r="E167" i="32"/>
  <c r="K167" i="32"/>
  <c r="L167" i="32"/>
  <c r="G168" i="32"/>
  <c r="H168" i="32"/>
  <c r="F168" i="32" s="1"/>
  <c r="I168" i="32"/>
  <c r="D168" i="32" s="1"/>
  <c r="E168" i="32"/>
  <c r="K168" i="32"/>
  <c r="L168" i="32"/>
  <c r="G169" i="32"/>
  <c r="H169" i="32"/>
  <c r="I169" i="32"/>
  <c r="D169" i="32" s="1"/>
  <c r="E169" i="32"/>
  <c r="K169" i="32"/>
  <c r="L169" i="32"/>
  <c r="G170" i="32"/>
  <c r="H170" i="32"/>
  <c r="I170" i="32"/>
  <c r="D170" i="32" s="1"/>
  <c r="E170" i="32"/>
  <c r="K170" i="32"/>
  <c r="L170" i="32"/>
  <c r="G171" i="32"/>
  <c r="H171" i="32"/>
  <c r="I171" i="32"/>
  <c r="D171" i="32" s="1"/>
  <c r="E171" i="32"/>
  <c r="K171" i="32"/>
  <c r="L171" i="32"/>
  <c r="G172" i="32"/>
  <c r="H172" i="32"/>
  <c r="F172" i="32" s="1"/>
  <c r="I172" i="32"/>
  <c r="D172" i="32" s="1"/>
  <c r="E172" i="32"/>
  <c r="K172" i="32"/>
  <c r="L172" i="32"/>
  <c r="G173" i="32"/>
  <c r="H173" i="32"/>
  <c r="I173" i="32"/>
  <c r="D173" i="32" s="1"/>
  <c r="E173" i="32"/>
  <c r="K173" i="32"/>
  <c r="L173" i="32"/>
  <c r="G174" i="32"/>
  <c r="H174" i="32"/>
  <c r="I174" i="32"/>
  <c r="D174" i="32" s="1"/>
  <c r="E174" i="32"/>
  <c r="K174" i="32"/>
  <c r="L174" i="32"/>
  <c r="G175" i="32"/>
  <c r="H175" i="32"/>
  <c r="I175" i="32"/>
  <c r="D175" i="32" s="1"/>
  <c r="E175" i="32"/>
  <c r="K175" i="32"/>
  <c r="L175" i="32"/>
  <c r="G176" i="32"/>
  <c r="H176" i="32"/>
  <c r="F176" i="32" s="1"/>
  <c r="I176" i="32"/>
  <c r="D176" i="32" s="1"/>
  <c r="E176" i="32"/>
  <c r="K176" i="32"/>
  <c r="L176" i="32"/>
  <c r="G177" i="32"/>
  <c r="H177" i="32"/>
  <c r="I177" i="32"/>
  <c r="D177" i="32" s="1"/>
  <c r="E177" i="32"/>
  <c r="K177" i="32"/>
  <c r="L177" i="32"/>
  <c r="G178" i="32"/>
  <c r="H178" i="32"/>
  <c r="I178" i="32"/>
  <c r="D178" i="32" s="1"/>
  <c r="E178" i="32"/>
  <c r="K178" i="32"/>
  <c r="L178" i="32"/>
  <c r="G179" i="32"/>
  <c r="H179" i="32"/>
  <c r="I179" i="32"/>
  <c r="D179" i="32" s="1"/>
  <c r="E179" i="32"/>
  <c r="K179" i="32"/>
  <c r="L179" i="32"/>
  <c r="G180" i="32"/>
  <c r="H180" i="32"/>
  <c r="I180" i="32"/>
  <c r="D180" i="32" s="1"/>
  <c r="E180" i="32"/>
  <c r="K180" i="32"/>
  <c r="L180" i="32"/>
  <c r="G181" i="32"/>
  <c r="H181" i="32"/>
  <c r="I181" i="32"/>
  <c r="D181" i="32" s="1"/>
  <c r="E181" i="32"/>
  <c r="K181" i="32"/>
  <c r="L181" i="32"/>
  <c r="G182" i="32"/>
  <c r="H182" i="32"/>
  <c r="I182" i="32"/>
  <c r="D182" i="32" s="1"/>
  <c r="E182" i="32"/>
  <c r="K182" i="32"/>
  <c r="L182" i="32"/>
  <c r="G183" i="32"/>
  <c r="H183" i="32"/>
  <c r="I183" i="32"/>
  <c r="D183" i="32" s="1"/>
  <c r="E183" i="32"/>
  <c r="K183" i="32"/>
  <c r="L183" i="32"/>
  <c r="G184" i="32"/>
  <c r="H184" i="32"/>
  <c r="I184" i="32"/>
  <c r="D184" i="32" s="1"/>
  <c r="E184" i="32"/>
  <c r="K184" i="32"/>
  <c r="L184" i="32"/>
  <c r="G185" i="32"/>
  <c r="H185" i="32"/>
  <c r="I185" i="32"/>
  <c r="D185" i="32" s="1"/>
  <c r="E185" i="32"/>
  <c r="K185" i="32"/>
  <c r="L185" i="32"/>
  <c r="G186" i="32"/>
  <c r="H186" i="32"/>
  <c r="I186" i="32"/>
  <c r="D186" i="32" s="1"/>
  <c r="E186" i="32"/>
  <c r="K186" i="32"/>
  <c r="L186" i="32"/>
  <c r="G188" i="32"/>
  <c r="H188" i="32"/>
  <c r="I188" i="32"/>
  <c r="D188" i="32" s="1"/>
  <c r="E188" i="32"/>
  <c r="K188" i="32"/>
  <c r="L188" i="32"/>
  <c r="G194" i="32"/>
  <c r="H194" i="32"/>
  <c r="I194" i="32"/>
  <c r="D194" i="32" s="1"/>
  <c r="E194" i="32"/>
  <c r="K194" i="32"/>
  <c r="L194" i="32"/>
  <c r="G195" i="32"/>
  <c r="H195" i="32"/>
  <c r="I195" i="32"/>
  <c r="D195" i="32" s="1"/>
  <c r="E195" i="32"/>
  <c r="K195" i="32"/>
  <c r="L195" i="32"/>
  <c r="G196" i="32"/>
  <c r="H196" i="32"/>
  <c r="I196" i="32"/>
  <c r="D196" i="32" s="1"/>
  <c r="E196" i="32"/>
  <c r="K196" i="32"/>
  <c r="L196" i="32"/>
  <c r="G197" i="32"/>
  <c r="H197" i="32"/>
  <c r="I197" i="32"/>
  <c r="D197" i="32" s="1"/>
  <c r="E197" i="32"/>
  <c r="K197" i="32"/>
  <c r="L197" i="32"/>
  <c r="G198" i="32"/>
  <c r="H198" i="32"/>
  <c r="I198" i="32"/>
  <c r="D198" i="32" s="1"/>
  <c r="E198" i="32"/>
  <c r="K198" i="32"/>
  <c r="L198" i="32"/>
  <c r="G199" i="32"/>
  <c r="H199" i="32"/>
  <c r="I199" i="32"/>
  <c r="D199" i="32" s="1"/>
  <c r="E199" i="32"/>
  <c r="K199" i="32"/>
  <c r="L199" i="32"/>
  <c r="C194" i="32"/>
  <c r="C195" i="32"/>
  <c r="C196" i="32"/>
  <c r="C197" i="32"/>
  <c r="L514" i="32"/>
  <c r="K514" i="32"/>
  <c r="E514" i="32"/>
  <c r="D514" i="32"/>
  <c r="H514" i="32"/>
  <c r="G514" i="32"/>
  <c r="C514" i="32"/>
  <c r="K158" i="32"/>
  <c r="G159" i="32"/>
  <c r="H159" i="32"/>
  <c r="I159" i="32"/>
  <c r="D159" i="32" s="1"/>
  <c r="K159" i="32"/>
  <c r="L159" i="32"/>
  <c r="G160" i="32"/>
  <c r="H160" i="32"/>
  <c r="I160" i="32"/>
  <c r="D160" i="32" s="1"/>
  <c r="E160" i="32"/>
  <c r="K160" i="32"/>
  <c r="L160" i="32"/>
  <c r="G161" i="32"/>
  <c r="H161" i="32"/>
  <c r="I161" i="32"/>
  <c r="D161" i="32" s="1"/>
  <c r="E161" i="32"/>
  <c r="K161" i="32"/>
  <c r="L161" i="32"/>
  <c r="G162" i="32"/>
  <c r="H162" i="32"/>
  <c r="I162" i="32"/>
  <c r="D162" i="32" s="1"/>
  <c r="E162" i="32"/>
  <c r="K162" i="32"/>
  <c r="L162" i="32"/>
  <c r="G163" i="32"/>
  <c r="H163" i="32"/>
  <c r="I163" i="32"/>
  <c r="D163" i="32" s="1"/>
  <c r="E163" i="32"/>
  <c r="K163" i="32"/>
  <c r="L163" i="32"/>
  <c r="G189" i="32"/>
  <c r="H189" i="32"/>
  <c r="I189" i="32"/>
  <c r="D189" i="32" s="1"/>
  <c r="E189" i="32"/>
  <c r="K189" i="32"/>
  <c r="L189" i="32"/>
  <c r="G190" i="32"/>
  <c r="H190" i="32"/>
  <c r="I190" i="32"/>
  <c r="D190" i="32" s="1"/>
  <c r="E190" i="32"/>
  <c r="K190" i="32"/>
  <c r="L190" i="32"/>
  <c r="G191" i="32"/>
  <c r="H191" i="32"/>
  <c r="I191" i="32"/>
  <c r="D191" i="32" s="1"/>
  <c r="E191" i="32"/>
  <c r="K191" i="32"/>
  <c r="L191" i="32"/>
  <c r="G192" i="32"/>
  <c r="H192" i="32"/>
  <c r="I192" i="32"/>
  <c r="D192" i="32" s="1"/>
  <c r="E192" i="32"/>
  <c r="K192" i="32"/>
  <c r="L192" i="32"/>
  <c r="G193" i="32"/>
  <c r="H193" i="32"/>
  <c r="I193" i="32"/>
  <c r="D193" i="32" s="1"/>
  <c r="E193" i="32"/>
  <c r="K193" i="32"/>
  <c r="L193" i="32"/>
  <c r="L158" i="32"/>
  <c r="D158" i="32"/>
  <c r="H158" i="32"/>
  <c r="C159" i="32"/>
  <c r="C160" i="32"/>
  <c r="C161" i="32"/>
  <c r="C162" i="32"/>
  <c r="C163" i="32"/>
  <c r="C189" i="32"/>
  <c r="C190" i="32"/>
  <c r="C191" i="32"/>
  <c r="C192" i="32"/>
  <c r="C193" i="32"/>
  <c r="C198" i="32"/>
  <c r="C199" i="32"/>
  <c r="C158" i="32"/>
  <c r="E158" i="32"/>
  <c r="G158" i="32"/>
  <c r="G531" i="32"/>
  <c r="H531" i="32"/>
  <c r="D531" i="32"/>
  <c r="E531" i="32"/>
  <c r="K531" i="32"/>
  <c r="L531" i="32"/>
  <c r="G521" i="32"/>
  <c r="H521" i="32"/>
  <c r="K521" i="32"/>
  <c r="L521" i="32"/>
  <c r="G522" i="32"/>
  <c r="H522" i="32"/>
  <c r="D522" i="32"/>
  <c r="E522" i="32"/>
  <c r="K522" i="32"/>
  <c r="L522" i="32"/>
  <c r="G523" i="32"/>
  <c r="H523" i="32"/>
  <c r="D523" i="32"/>
  <c r="E523" i="32"/>
  <c r="K523" i="32"/>
  <c r="L523" i="32"/>
  <c r="G524" i="32"/>
  <c r="H524" i="32"/>
  <c r="D524" i="32"/>
  <c r="E524" i="32"/>
  <c r="K524" i="32"/>
  <c r="L524" i="32"/>
  <c r="G525" i="32"/>
  <c r="H525" i="32"/>
  <c r="D525" i="32"/>
  <c r="E525" i="32"/>
  <c r="K525" i="32"/>
  <c r="L525" i="32"/>
  <c r="G526" i="32"/>
  <c r="H526" i="32"/>
  <c r="D526" i="32"/>
  <c r="E526" i="32"/>
  <c r="K526" i="32"/>
  <c r="L526" i="32"/>
  <c r="G527" i="32"/>
  <c r="H527" i="32"/>
  <c r="D527" i="32"/>
  <c r="E527" i="32"/>
  <c r="K527" i="32"/>
  <c r="L527" i="32"/>
  <c r="G528" i="32"/>
  <c r="H528" i="32"/>
  <c r="D528" i="32"/>
  <c r="E528" i="32"/>
  <c r="K528" i="32"/>
  <c r="L528" i="32"/>
  <c r="G529" i="32"/>
  <c r="H529" i="32"/>
  <c r="D529" i="32"/>
  <c r="E529" i="32"/>
  <c r="K529" i="32"/>
  <c r="L529" i="32"/>
  <c r="G530" i="32"/>
  <c r="H530" i="32"/>
  <c r="F530" i="32" s="1"/>
  <c r="D530" i="32"/>
  <c r="E530" i="32"/>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D502" i="32"/>
  <c r="E502" i="32"/>
  <c r="K502" i="32"/>
  <c r="L502" i="32"/>
  <c r="G503" i="32"/>
  <c r="H503" i="32"/>
  <c r="D503" i="32"/>
  <c r="E503" i="32"/>
  <c r="K503" i="32"/>
  <c r="L503" i="32"/>
  <c r="G504" i="32"/>
  <c r="H504" i="32"/>
  <c r="D504" i="32"/>
  <c r="E504" i="32"/>
  <c r="K504" i="32"/>
  <c r="L504" i="32"/>
  <c r="G505" i="32"/>
  <c r="H505" i="32"/>
  <c r="D505" i="32"/>
  <c r="E505" i="32"/>
  <c r="K505" i="32"/>
  <c r="L505" i="32"/>
  <c r="G506" i="32"/>
  <c r="H506" i="32"/>
  <c r="D506" i="32"/>
  <c r="E506" i="32"/>
  <c r="K506" i="32"/>
  <c r="L506" i="32"/>
  <c r="G507" i="32"/>
  <c r="H507" i="32"/>
  <c r="D507" i="32"/>
  <c r="E507" i="32"/>
  <c r="K507" i="32"/>
  <c r="L507" i="32"/>
  <c r="G508" i="32"/>
  <c r="H508" i="32"/>
  <c r="D508" i="32"/>
  <c r="E508" i="32"/>
  <c r="K508" i="32"/>
  <c r="L508" i="32"/>
  <c r="G509" i="32"/>
  <c r="H509" i="32"/>
  <c r="D509" i="32"/>
  <c r="E509" i="32"/>
  <c r="K509" i="32"/>
  <c r="L509" i="32"/>
  <c r="G510" i="32"/>
  <c r="H510" i="32"/>
  <c r="D510" i="32"/>
  <c r="E510" i="32"/>
  <c r="K510" i="32"/>
  <c r="L510" i="32"/>
  <c r="G511" i="32"/>
  <c r="H511" i="32"/>
  <c r="D511" i="32"/>
  <c r="E511" i="32"/>
  <c r="K511" i="32"/>
  <c r="L511" i="32"/>
  <c r="G512" i="32"/>
  <c r="H512" i="32"/>
  <c r="D512" i="32"/>
  <c r="E512" i="32"/>
  <c r="K512" i="32"/>
  <c r="L512" i="32"/>
  <c r="G513" i="32"/>
  <c r="H513" i="32"/>
  <c r="D513" i="32"/>
  <c r="E513" i="32"/>
  <c r="K513" i="32"/>
  <c r="L513" i="32"/>
  <c r="G515" i="32"/>
  <c r="H515" i="32"/>
  <c r="D515" i="32"/>
  <c r="E515" i="32"/>
  <c r="K515" i="32"/>
  <c r="L515" i="32"/>
  <c r="G516" i="32"/>
  <c r="H516" i="32"/>
  <c r="D516" i="32"/>
  <c r="E516" i="32"/>
  <c r="K516" i="32"/>
  <c r="L516" i="32"/>
  <c r="G517" i="32"/>
  <c r="H517" i="32"/>
  <c r="D517" i="32"/>
  <c r="E517" i="32"/>
  <c r="K517" i="32"/>
  <c r="L517" i="32"/>
  <c r="G518" i="32"/>
  <c r="H518" i="32"/>
  <c r="D518" i="32"/>
  <c r="E518" i="32"/>
  <c r="K518" i="32"/>
  <c r="L518" i="32"/>
  <c r="G519" i="32"/>
  <c r="H519" i="32"/>
  <c r="D519" i="32"/>
  <c r="E519" i="32"/>
  <c r="K519" i="32"/>
  <c r="L519"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C131" i="32"/>
  <c r="L130" i="32"/>
  <c r="K130" i="32"/>
  <c r="E130" i="32"/>
  <c r="D130" i="32"/>
  <c r="H130" i="32"/>
  <c r="G130" i="32"/>
  <c r="C130" i="32"/>
  <c r="L129" i="32"/>
  <c r="K129" i="32"/>
  <c r="E129" i="32"/>
  <c r="D129" i="32"/>
  <c r="H129" i="32"/>
  <c r="G129" i="32"/>
  <c r="C129" i="32"/>
  <c r="L128" i="32"/>
  <c r="K128" i="32"/>
  <c r="E128" i="32"/>
  <c r="D128" i="32"/>
  <c r="H128" i="32"/>
  <c r="F128" i="32" s="1"/>
  <c r="G128" i="32"/>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E121" i="32"/>
  <c r="D121" i="32"/>
  <c r="H121" i="32"/>
  <c r="G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C116" i="32"/>
  <c r="L115" i="32"/>
  <c r="K115" i="32"/>
  <c r="E115" i="32"/>
  <c r="D115" i="32"/>
  <c r="H115" i="32"/>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F96" i="32" s="1"/>
  <c r="G96" i="32"/>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E73" i="32"/>
  <c r="D73" i="32"/>
  <c r="H73" i="32"/>
  <c r="G73" i="32"/>
  <c r="C73" i="32"/>
  <c r="L72" i="32"/>
  <c r="K72" i="32"/>
  <c r="E72" i="32"/>
  <c r="D72" i="32"/>
  <c r="H72" i="32"/>
  <c r="G72" i="32"/>
  <c r="C72" i="32"/>
  <c r="L71" i="32"/>
  <c r="K71" i="32"/>
  <c r="E71" i="32"/>
  <c r="D71" i="32"/>
  <c r="H71" i="32"/>
  <c r="G71" i="32"/>
  <c r="C71" i="32"/>
  <c r="L70" i="32"/>
  <c r="K70" i="32"/>
  <c r="E70" i="32"/>
  <c r="D70" i="32"/>
  <c r="H70" i="32"/>
  <c r="G70" i="32"/>
  <c r="C70" i="32"/>
  <c r="L69" i="32"/>
  <c r="K69" i="32"/>
  <c r="E69" i="32"/>
  <c r="D69" i="32"/>
  <c r="H69" i="32"/>
  <c r="G69" i="32"/>
  <c r="C69" i="32"/>
  <c r="L68" i="32"/>
  <c r="K68" i="32"/>
  <c r="E68" i="32"/>
  <c r="D68" i="32"/>
  <c r="H68" i="32"/>
  <c r="G68" i="32"/>
  <c r="C68" i="32"/>
  <c r="L67" i="32"/>
  <c r="K67" i="32"/>
  <c r="E67" i="32"/>
  <c r="D67" i="32"/>
  <c r="H67" i="32"/>
  <c r="G67" i="32"/>
  <c r="C67" i="32"/>
  <c r="L66" i="32"/>
  <c r="K66" i="32"/>
  <c r="E66" i="32"/>
  <c r="D66" i="32"/>
  <c r="H66" i="32"/>
  <c r="G66" i="32"/>
  <c r="C66" i="32"/>
  <c r="L65" i="32"/>
  <c r="K65" i="32"/>
  <c r="E65" i="32"/>
  <c r="D65" i="32"/>
  <c r="H65" i="32"/>
  <c r="G65" i="32"/>
  <c r="C65" i="32"/>
  <c r="L64" i="32"/>
  <c r="K64" i="32"/>
  <c r="E64" i="32"/>
  <c r="D64" i="32"/>
  <c r="H64" i="32"/>
  <c r="G64" i="32"/>
  <c r="C64" i="32"/>
  <c r="L63" i="32"/>
  <c r="K63" i="32"/>
  <c r="E63" i="32"/>
  <c r="D63" i="32"/>
  <c r="H63" i="32"/>
  <c r="G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E56" i="32"/>
  <c r="D56" i="32"/>
  <c r="H56" i="32"/>
  <c r="G56" i="32"/>
  <c r="C56" i="32"/>
  <c r="L55" i="32"/>
  <c r="K55" i="32"/>
  <c r="E55" i="32"/>
  <c r="D55" i="32"/>
  <c r="H55" i="32"/>
  <c r="G55" i="32"/>
  <c r="C55" i="32"/>
  <c r="L54" i="32"/>
  <c r="K54" i="32"/>
  <c r="E54" i="32"/>
  <c r="D54" i="32"/>
  <c r="H54" i="32"/>
  <c r="G54" i="32"/>
  <c r="C54" i="32"/>
  <c r="L53" i="32"/>
  <c r="K53" i="32"/>
  <c r="E53" i="32"/>
  <c r="D53" i="32"/>
  <c r="H53" i="32"/>
  <c r="G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E42" i="32"/>
  <c r="D42" i="32"/>
  <c r="H42" i="32"/>
  <c r="G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H37" i="32"/>
  <c r="G37" i="32"/>
  <c r="C37" i="32"/>
  <c r="L36" i="32"/>
  <c r="K36" i="32"/>
  <c r="E36" i="32"/>
  <c r="D36" i="32"/>
  <c r="H36" i="32"/>
  <c r="G36" i="32"/>
  <c r="C36" i="32"/>
  <c r="L35" i="32"/>
  <c r="K35" i="32"/>
  <c r="D35" i="32"/>
  <c r="H35" i="32"/>
  <c r="G35" i="32"/>
  <c r="C35" i="32"/>
  <c r="L34" i="32"/>
  <c r="K34" i="32"/>
  <c r="E34" i="32"/>
  <c r="D34" i="32"/>
  <c r="H34" i="32"/>
  <c r="G34" i="32"/>
  <c r="C34" i="32"/>
  <c r="L33" i="32"/>
  <c r="K33" i="32"/>
  <c r="E33" i="32"/>
  <c r="D33" i="32"/>
  <c r="H33" i="32"/>
  <c r="G33" i="32"/>
  <c r="C33" i="32"/>
  <c r="L32" i="32"/>
  <c r="K32" i="32"/>
  <c r="E32" i="32"/>
  <c r="D32" i="32"/>
  <c r="H32" i="32"/>
  <c r="G32" i="32"/>
  <c r="C32" i="32"/>
  <c r="L31" i="32"/>
  <c r="K31" i="32"/>
  <c r="E31" i="32"/>
  <c r="D31" i="32"/>
  <c r="H31" i="32"/>
  <c r="G31" i="32"/>
  <c r="C31" i="32"/>
  <c r="L30" i="32"/>
  <c r="K30" i="32"/>
  <c r="E30" i="32"/>
  <c r="D30" i="32"/>
  <c r="H30" i="32"/>
  <c r="G30" i="32"/>
  <c r="C30" i="32"/>
  <c r="K29" i="32"/>
  <c r="E29" i="32"/>
  <c r="D29" i="32"/>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E501" i="32"/>
  <c r="D501" i="32"/>
  <c r="H501" i="32"/>
  <c r="G501" i="32"/>
  <c r="L500" i="32"/>
  <c r="K500" i="32"/>
  <c r="E500" i="32"/>
  <c r="D500" i="32"/>
  <c r="H500" i="32"/>
  <c r="G500" i="32"/>
  <c r="L499" i="32"/>
  <c r="K499" i="32"/>
  <c r="E499" i="32"/>
  <c r="D499" i="32"/>
  <c r="H499" i="32"/>
  <c r="G499" i="32"/>
  <c r="L498" i="32"/>
  <c r="K498" i="32"/>
  <c r="E498" i="32"/>
  <c r="D498" i="32"/>
  <c r="H498" i="32"/>
  <c r="G498"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E486" i="32"/>
  <c r="D486" i="32"/>
  <c r="H486" i="32"/>
  <c r="G486" i="32"/>
  <c r="L485" i="32"/>
  <c r="K485" i="32"/>
  <c r="E485" i="32"/>
  <c r="D485" i="32"/>
  <c r="H485" i="32"/>
  <c r="G485" i="32"/>
  <c r="L484" i="32"/>
  <c r="K484" i="32"/>
  <c r="E484" i="32"/>
  <c r="D484" i="32"/>
  <c r="H484" i="32"/>
  <c r="G484" i="32"/>
  <c r="L483" i="32"/>
  <c r="K483" i="32"/>
  <c r="E483" i="32"/>
  <c r="D483" i="32"/>
  <c r="H483" i="32"/>
  <c r="G483" i="32"/>
  <c r="L482" i="32"/>
  <c r="K482" i="32"/>
  <c r="E482" i="32"/>
  <c r="D482" i="32"/>
  <c r="H482" i="32"/>
  <c r="G482" i="32"/>
  <c r="L481" i="32"/>
  <c r="K481" i="32"/>
  <c r="E481" i="32"/>
  <c r="D481" i="32"/>
  <c r="H481" i="32"/>
  <c r="G481" i="32"/>
  <c r="L480" i="32"/>
  <c r="K480" i="32"/>
  <c r="E480" i="32"/>
  <c r="D480" i="32"/>
  <c r="H480" i="32"/>
  <c r="G480" i="32"/>
  <c r="L479" i="32"/>
  <c r="K479" i="32"/>
  <c r="E479" i="32"/>
  <c r="D479" i="32"/>
  <c r="H479" i="32"/>
  <c r="G479" i="32"/>
  <c r="L478" i="32"/>
  <c r="K478" i="32"/>
  <c r="E478" i="32"/>
  <c r="D478" i="32"/>
  <c r="H478" i="32"/>
  <c r="G478" i="32"/>
  <c r="L477" i="32"/>
  <c r="K477" i="32"/>
  <c r="E477" i="32"/>
  <c r="D477" i="32"/>
  <c r="H477" i="32"/>
  <c r="G477" i="32"/>
  <c r="L476" i="32"/>
  <c r="K476" i="32"/>
  <c r="E476" i="32"/>
  <c r="D476" i="32"/>
  <c r="H476" i="32"/>
  <c r="G476" i="32"/>
  <c r="L475" i="32"/>
  <c r="K475" i="32"/>
  <c r="E475" i="32"/>
  <c r="D475" i="32"/>
  <c r="H475" i="32"/>
  <c r="G475" i="32"/>
  <c r="L474" i="32"/>
  <c r="K474" i="32"/>
  <c r="E474" i="32"/>
  <c r="D474" i="32"/>
  <c r="H474" i="32"/>
  <c r="G474" i="32"/>
  <c r="L473" i="32"/>
  <c r="K473" i="32"/>
  <c r="E473" i="32"/>
  <c r="D473" i="32"/>
  <c r="H473" i="32"/>
  <c r="G473" i="32"/>
  <c r="L472" i="32"/>
  <c r="K472" i="32"/>
  <c r="E472" i="32"/>
  <c r="D472" i="32"/>
  <c r="H472" i="32"/>
  <c r="G472" i="32"/>
  <c r="L471" i="32"/>
  <c r="K471" i="32"/>
  <c r="E471" i="32"/>
  <c r="D471" i="32"/>
  <c r="H471" i="32"/>
  <c r="G471" i="32"/>
  <c r="L470" i="32"/>
  <c r="K470" i="32"/>
  <c r="E470" i="32"/>
  <c r="D470" i="32"/>
  <c r="H470" i="32"/>
  <c r="G470" i="32"/>
  <c r="L469" i="32"/>
  <c r="K469" i="32"/>
  <c r="E469" i="32"/>
  <c r="D469" i="32"/>
  <c r="H469" i="32"/>
  <c r="G469" i="32"/>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L464" i="32"/>
  <c r="K464" i="32"/>
  <c r="E464" i="32"/>
  <c r="D464" i="32"/>
  <c r="H464" i="32"/>
  <c r="G464" i="32"/>
  <c r="L463" i="32"/>
  <c r="K463" i="32"/>
  <c r="E463" i="32"/>
  <c r="D463" i="32"/>
  <c r="H463" i="32"/>
  <c r="G463" i="32"/>
  <c r="L462" i="32"/>
  <c r="K462" i="32"/>
  <c r="E462" i="32"/>
  <c r="D462" i="32"/>
  <c r="H462" i="32"/>
  <c r="G462" i="32"/>
  <c r="L461" i="32"/>
  <c r="K461" i="32"/>
  <c r="E461" i="32"/>
  <c r="D461" i="32"/>
  <c r="H461" i="32"/>
  <c r="G461" i="32"/>
  <c r="L460" i="32"/>
  <c r="K460" i="32"/>
  <c r="E460" i="32"/>
  <c r="D460" i="32"/>
  <c r="H460" i="32"/>
  <c r="G460" i="32"/>
  <c r="L459" i="32"/>
  <c r="K459" i="32"/>
  <c r="E459" i="32"/>
  <c r="D459" i="32"/>
  <c r="H459" i="32"/>
  <c r="G459" i="32"/>
  <c r="L458" i="32"/>
  <c r="K458" i="32"/>
  <c r="E458" i="32"/>
  <c r="D458" i="32"/>
  <c r="H458" i="32"/>
  <c r="G458" i="32"/>
  <c r="L457" i="32"/>
  <c r="K457" i="32"/>
  <c r="E457" i="32"/>
  <c r="D457" i="32"/>
  <c r="H457" i="32"/>
  <c r="G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L452" i="32"/>
  <c r="K452" i="32"/>
  <c r="E452" i="32"/>
  <c r="D452" i="32"/>
  <c r="H452" i="32"/>
  <c r="G452" i="32"/>
  <c r="L451" i="32"/>
  <c r="K451" i="32"/>
  <c r="E451" i="32"/>
  <c r="D451" i="32"/>
  <c r="H451" i="32"/>
  <c r="G451" i="32"/>
  <c r="L450" i="32"/>
  <c r="K450" i="32"/>
  <c r="E450" i="32"/>
  <c r="D450" i="32"/>
  <c r="H450" i="32"/>
  <c r="G450" i="32"/>
  <c r="L449" i="32"/>
  <c r="K449" i="32"/>
  <c r="E449" i="32"/>
  <c r="D449" i="32"/>
  <c r="H449" i="32"/>
  <c r="G449" i="32"/>
  <c r="L448" i="32"/>
  <c r="K448" i="32"/>
  <c r="E448" i="32"/>
  <c r="D448" i="32"/>
  <c r="H448" i="32"/>
  <c r="G448" i="32"/>
  <c r="L447" i="32"/>
  <c r="K447" i="32"/>
  <c r="E447" i="32"/>
  <c r="D447" i="32"/>
  <c r="H447" i="32"/>
  <c r="G447" i="32"/>
  <c r="L446" i="32"/>
  <c r="K446" i="32"/>
  <c r="E446" i="32"/>
  <c r="D446" i="32"/>
  <c r="H446" i="32"/>
  <c r="G446" i="32"/>
  <c r="L445" i="32"/>
  <c r="K445" i="32"/>
  <c r="E445" i="32"/>
  <c r="D445" i="32"/>
  <c r="H445" i="32"/>
  <c r="G445" i="32"/>
  <c r="L444" i="32"/>
  <c r="K444" i="32"/>
  <c r="E444" i="32"/>
  <c r="D444" i="32"/>
  <c r="H444" i="32"/>
  <c r="G444" i="32"/>
  <c r="L443" i="32"/>
  <c r="K443" i="32"/>
  <c r="E443" i="32"/>
  <c r="D443" i="32"/>
  <c r="H443" i="32"/>
  <c r="G443" i="32"/>
  <c r="L442" i="32"/>
  <c r="K442" i="32"/>
  <c r="E442" i="32"/>
  <c r="D442" i="32"/>
  <c r="H442" i="32"/>
  <c r="G442" i="32"/>
  <c r="L441" i="32"/>
  <c r="K441" i="32"/>
  <c r="E441" i="32"/>
  <c r="D441" i="32"/>
  <c r="H441" i="32"/>
  <c r="G441" i="32"/>
  <c r="L440" i="32"/>
  <c r="K440" i="32"/>
  <c r="E440" i="32"/>
  <c r="D440" i="32"/>
  <c r="H440" i="32"/>
  <c r="G440" i="32"/>
  <c r="L439" i="32"/>
  <c r="K439" i="32"/>
  <c r="E439" i="32"/>
  <c r="D439" i="32"/>
  <c r="H439" i="32"/>
  <c r="G439" i="32"/>
  <c r="L438" i="32"/>
  <c r="K438" i="32"/>
  <c r="E438" i="32"/>
  <c r="D438" i="32"/>
  <c r="H438" i="32"/>
  <c r="G438" i="32"/>
  <c r="L437" i="32"/>
  <c r="K437" i="32"/>
  <c r="E437" i="32"/>
  <c r="D437" i="32"/>
  <c r="H437" i="32"/>
  <c r="G437" i="32"/>
  <c r="L436" i="32"/>
  <c r="K436" i="32"/>
  <c r="E436" i="32"/>
  <c r="D436" i="32"/>
  <c r="H436" i="32"/>
  <c r="G436" i="32"/>
  <c r="L435" i="32"/>
  <c r="K435" i="32"/>
  <c r="E435" i="32"/>
  <c r="D435" i="32"/>
  <c r="H435" i="32"/>
  <c r="G435" i="32"/>
  <c r="L434" i="32"/>
  <c r="K434" i="32"/>
  <c r="E434" i="32"/>
  <c r="D434" i="32"/>
  <c r="H434" i="32"/>
  <c r="G434" i="32"/>
  <c r="L433" i="32"/>
  <c r="K433" i="32"/>
  <c r="E433" i="32"/>
  <c r="D433" i="32"/>
  <c r="H433" i="32"/>
  <c r="G433" i="32"/>
  <c r="L432" i="32"/>
  <c r="K432" i="32"/>
  <c r="E432" i="32"/>
  <c r="D432" i="32"/>
  <c r="H432" i="32"/>
  <c r="G432" i="32"/>
  <c r="L431" i="32"/>
  <c r="K431" i="32"/>
  <c r="E431" i="32"/>
  <c r="D431" i="32"/>
  <c r="H431" i="32"/>
  <c r="G431" i="32"/>
  <c r="L430" i="32"/>
  <c r="K430" i="32"/>
  <c r="E430" i="32"/>
  <c r="D430" i="32"/>
  <c r="H430" i="32"/>
  <c r="G430" i="32"/>
  <c r="L429" i="32"/>
  <c r="K429" i="32"/>
  <c r="E429" i="32"/>
  <c r="D429" i="32"/>
  <c r="H429" i="32"/>
  <c r="G429" i="32"/>
  <c r="L428" i="32"/>
  <c r="K428" i="32"/>
  <c r="E428" i="32"/>
  <c r="D428" i="32"/>
  <c r="H428" i="32"/>
  <c r="G428" i="32"/>
  <c r="L427" i="32"/>
  <c r="K427" i="32"/>
  <c r="E427" i="32"/>
  <c r="D427" i="32"/>
  <c r="H427" i="32"/>
  <c r="G427" i="32"/>
  <c r="L426" i="32"/>
  <c r="K426" i="32"/>
  <c r="E426" i="32"/>
  <c r="D426" i="32"/>
  <c r="H426" i="32"/>
  <c r="G426" i="32"/>
  <c r="L425" i="32"/>
  <c r="K425" i="32"/>
  <c r="E425" i="32"/>
  <c r="D425" i="32"/>
  <c r="H425" i="32"/>
  <c r="G425" i="32"/>
  <c r="L424" i="32"/>
  <c r="K424" i="32"/>
  <c r="E424" i="32"/>
  <c r="D424" i="32"/>
  <c r="H424" i="32"/>
  <c r="G424" i="32"/>
  <c r="L423" i="32"/>
  <c r="K423" i="32"/>
  <c r="E423" i="32"/>
  <c r="D423" i="32"/>
  <c r="H423" i="32"/>
  <c r="G423" i="32"/>
  <c r="L422" i="32"/>
  <c r="K422" i="32"/>
  <c r="E422" i="32"/>
  <c r="D422" i="32"/>
  <c r="H422" i="32"/>
  <c r="G422" i="32"/>
  <c r="L421" i="32"/>
  <c r="K421" i="32"/>
  <c r="E421" i="32"/>
  <c r="D421" i="32"/>
  <c r="H421" i="32"/>
  <c r="G421" i="32"/>
  <c r="L420" i="32"/>
  <c r="K420" i="32"/>
  <c r="E420" i="32"/>
  <c r="D420" i="32"/>
  <c r="H420" i="32"/>
  <c r="G420" i="32"/>
  <c r="L419" i="32"/>
  <c r="K419" i="32"/>
  <c r="E419" i="32"/>
  <c r="D419" i="32"/>
  <c r="H419" i="32"/>
  <c r="G419" i="32"/>
  <c r="L418" i="32"/>
  <c r="K418" i="32"/>
  <c r="E418" i="32"/>
  <c r="D418" i="32"/>
  <c r="H418" i="32"/>
  <c r="G418" i="32"/>
  <c r="L417" i="32"/>
  <c r="K417" i="32"/>
  <c r="E417" i="32"/>
  <c r="D417" i="32"/>
  <c r="H417" i="32"/>
  <c r="G417" i="32"/>
  <c r="L416" i="32"/>
  <c r="K416" i="32"/>
  <c r="E416" i="32"/>
  <c r="D416" i="32"/>
  <c r="H416" i="32"/>
  <c r="G416" i="32"/>
  <c r="L415" i="32"/>
  <c r="K415" i="32"/>
  <c r="E415" i="32"/>
  <c r="D415" i="32"/>
  <c r="H415" i="32"/>
  <c r="G415" i="32"/>
  <c r="L414" i="32"/>
  <c r="K414" i="32"/>
  <c r="E414" i="32"/>
  <c r="D414" i="32"/>
  <c r="H414" i="32"/>
  <c r="G414" i="32"/>
  <c r="L413" i="32"/>
  <c r="K413" i="32"/>
  <c r="E413" i="32"/>
  <c r="D413" i="32"/>
  <c r="H413" i="32"/>
  <c r="G413" i="32"/>
  <c r="L412" i="32"/>
  <c r="K412" i="32"/>
  <c r="E412" i="32"/>
  <c r="D412" i="32"/>
  <c r="H412" i="32"/>
  <c r="G412" i="32"/>
  <c r="L411" i="32"/>
  <c r="K411" i="32"/>
  <c r="E411" i="32"/>
  <c r="D411" i="32"/>
  <c r="H411" i="32"/>
  <c r="G411" i="32"/>
  <c r="L410" i="32"/>
  <c r="K410" i="32"/>
  <c r="E410" i="32"/>
  <c r="D410" i="32"/>
  <c r="H410" i="32"/>
  <c r="G410" i="32"/>
  <c r="L409" i="32"/>
  <c r="K409" i="32"/>
  <c r="E409" i="32"/>
  <c r="D409" i="32"/>
  <c r="H409" i="32"/>
  <c r="G409" i="32"/>
  <c r="L408" i="32"/>
  <c r="K408" i="32"/>
  <c r="E408" i="32"/>
  <c r="D408" i="32"/>
  <c r="H408" i="32"/>
  <c r="G408" i="32"/>
  <c r="L407" i="32"/>
  <c r="K407" i="32"/>
  <c r="E407" i="32"/>
  <c r="D407" i="32"/>
  <c r="H407" i="32"/>
  <c r="G407" i="32"/>
  <c r="L406" i="32"/>
  <c r="K406" i="32"/>
  <c r="E406" i="32"/>
  <c r="D406" i="32"/>
  <c r="H406" i="32"/>
  <c r="G406" i="32"/>
  <c r="L405" i="32"/>
  <c r="K405" i="32"/>
  <c r="E405" i="32"/>
  <c r="D405" i="32"/>
  <c r="H405" i="32"/>
  <c r="G405" i="32"/>
  <c r="L404" i="32"/>
  <c r="K404" i="32"/>
  <c r="E404" i="32"/>
  <c r="D404" i="32"/>
  <c r="H404" i="32"/>
  <c r="G404" i="32"/>
  <c r="L403" i="32"/>
  <c r="K403" i="32"/>
  <c r="E403" i="32"/>
  <c r="D403" i="32"/>
  <c r="H403" i="32"/>
  <c r="G403" i="32"/>
  <c r="L402" i="32"/>
  <c r="K402" i="32"/>
  <c r="E402" i="32"/>
  <c r="D402" i="32"/>
  <c r="H402" i="32"/>
  <c r="G402" i="32"/>
  <c r="L401" i="32"/>
  <c r="K401" i="32"/>
  <c r="E401" i="32"/>
  <c r="D401" i="32"/>
  <c r="H401" i="32"/>
  <c r="G401" i="32"/>
  <c r="L400" i="32"/>
  <c r="K400" i="32"/>
  <c r="E400" i="32"/>
  <c r="D400" i="32"/>
  <c r="H400" i="32"/>
  <c r="G400" i="32"/>
  <c r="L399" i="32"/>
  <c r="K399" i="32"/>
  <c r="E399" i="32"/>
  <c r="D399" i="32"/>
  <c r="H399" i="32"/>
  <c r="G399" i="32"/>
  <c r="L398" i="32"/>
  <c r="K398" i="32"/>
  <c r="E398" i="32"/>
  <c r="D398" i="32"/>
  <c r="H398" i="32"/>
  <c r="G398" i="32"/>
  <c r="L397" i="32"/>
  <c r="K397" i="32"/>
  <c r="E397" i="32"/>
  <c r="D397" i="32"/>
  <c r="H397" i="32"/>
  <c r="G397" i="32"/>
  <c r="L396" i="32"/>
  <c r="K396" i="32"/>
  <c r="E396" i="32"/>
  <c r="D396" i="32"/>
  <c r="H396" i="32"/>
  <c r="G396" i="32"/>
  <c r="L395" i="32"/>
  <c r="K395" i="32"/>
  <c r="E395" i="32"/>
  <c r="D395" i="32"/>
  <c r="H395" i="32"/>
  <c r="G395" i="32"/>
  <c r="L394" i="32"/>
  <c r="K394" i="32"/>
  <c r="E394" i="32"/>
  <c r="D394" i="32"/>
  <c r="H394" i="32"/>
  <c r="G394" i="32"/>
  <c r="L393" i="32"/>
  <c r="K393" i="32"/>
  <c r="E393" i="32"/>
  <c r="D393" i="32"/>
  <c r="H393" i="32"/>
  <c r="G393" i="32"/>
  <c r="L392" i="32"/>
  <c r="K392" i="32"/>
  <c r="E392" i="32"/>
  <c r="D392" i="32"/>
  <c r="H392" i="32"/>
  <c r="G392" i="32"/>
  <c r="L391" i="32"/>
  <c r="K391" i="32"/>
  <c r="E391" i="32"/>
  <c r="D391" i="32"/>
  <c r="H391" i="32"/>
  <c r="G391" i="32"/>
  <c r="L390" i="32"/>
  <c r="E390" i="32"/>
  <c r="D390" i="32"/>
  <c r="H390" i="32"/>
  <c r="G390" i="32"/>
  <c r="L389" i="32"/>
  <c r="E389" i="32"/>
  <c r="D389" i="32"/>
  <c r="H389" i="32"/>
  <c r="G389" i="32"/>
  <c r="L388" i="32"/>
  <c r="E388" i="32"/>
  <c r="D388" i="32"/>
  <c r="H388" i="32"/>
  <c r="G388" i="32"/>
  <c r="L387" i="32"/>
  <c r="E387" i="32"/>
  <c r="D387" i="32"/>
  <c r="H387" i="32"/>
  <c r="G387" i="32"/>
  <c r="L386" i="32"/>
  <c r="E386" i="32"/>
  <c r="D386" i="32"/>
  <c r="H386" i="32"/>
  <c r="G386" i="32"/>
  <c r="L385" i="32"/>
  <c r="E385" i="32"/>
  <c r="D385" i="32"/>
  <c r="H385" i="32"/>
  <c r="G385" i="32"/>
  <c r="L384" i="32"/>
  <c r="E384" i="32"/>
  <c r="D384" i="32"/>
  <c r="H384" i="32"/>
  <c r="G384" i="32"/>
  <c r="L383" i="32"/>
  <c r="E383" i="32"/>
  <c r="D383" i="32"/>
  <c r="H383" i="32"/>
  <c r="G383" i="32"/>
  <c r="L382" i="32"/>
  <c r="E382" i="32"/>
  <c r="D382" i="32"/>
  <c r="H382" i="32"/>
  <c r="G382" i="32"/>
  <c r="L381" i="32"/>
  <c r="E381" i="32"/>
  <c r="D381" i="32"/>
  <c r="H381" i="32"/>
  <c r="G381" i="32"/>
  <c r="L380" i="32"/>
  <c r="E380" i="32"/>
  <c r="D380" i="32"/>
  <c r="H380" i="32"/>
  <c r="G380" i="32"/>
  <c r="L379" i="32"/>
  <c r="E379" i="32"/>
  <c r="D379" i="32"/>
  <c r="H379" i="32"/>
  <c r="G379" i="32"/>
  <c r="L378" i="32"/>
  <c r="E378" i="32"/>
  <c r="D378" i="32"/>
  <c r="H378" i="32"/>
  <c r="G378" i="32"/>
  <c r="L377" i="32"/>
  <c r="E377" i="32"/>
  <c r="D377" i="32"/>
  <c r="H377" i="32"/>
  <c r="G377" i="32"/>
  <c r="L376" i="32"/>
  <c r="E376" i="32"/>
  <c r="D376" i="32"/>
  <c r="H376" i="32"/>
  <c r="G376" i="32"/>
  <c r="L375" i="32"/>
  <c r="E375" i="32"/>
  <c r="D375" i="32"/>
  <c r="H375" i="32"/>
  <c r="G375" i="32"/>
  <c r="L374" i="32"/>
  <c r="E374" i="32"/>
  <c r="D374" i="32"/>
  <c r="H374" i="32"/>
  <c r="G374" i="32"/>
  <c r="L373" i="32"/>
  <c r="E373" i="32"/>
  <c r="D373" i="32"/>
  <c r="H373" i="32"/>
  <c r="G373" i="32"/>
  <c r="L372" i="32"/>
  <c r="E372" i="32"/>
  <c r="D372" i="32"/>
  <c r="H372" i="32"/>
  <c r="G372" i="32"/>
  <c r="L371" i="32"/>
  <c r="E371" i="32"/>
  <c r="D371" i="32"/>
  <c r="H371" i="32"/>
  <c r="G371" i="32"/>
  <c r="L370" i="32"/>
  <c r="E370" i="32"/>
  <c r="D370" i="32"/>
  <c r="H370" i="32"/>
  <c r="G370" i="32"/>
  <c r="L369" i="32"/>
  <c r="E369" i="32"/>
  <c r="D369" i="32"/>
  <c r="H369" i="32"/>
  <c r="G369" i="32"/>
  <c r="L368" i="32"/>
  <c r="E368" i="32"/>
  <c r="D368" i="32"/>
  <c r="H368" i="32"/>
  <c r="G368" i="32"/>
  <c r="L367" i="32"/>
  <c r="E367" i="32"/>
  <c r="D367" i="32"/>
  <c r="H367" i="32"/>
  <c r="G367" i="32"/>
  <c r="L366" i="32"/>
  <c r="E366" i="32"/>
  <c r="D366" i="32"/>
  <c r="H366" i="32"/>
  <c r="G366" i="32"/>
  <c r="L365" i="32"/>
  <c r="E365" i="32"/>
  <c r="D365" i="32"/>
  <c r="H365" i="32"/>
  <c r="G365" i="32"/>
  <c r="L364" i="32"/>
  <c r="E364" i="32"/>
  <c r="D364" i="32"/>
  <c r="H364" i="32"/>
  <c r="G364" i="32"/>
  <c r="L363" i="32"/>
  <c r="E363" i="32"/>
  <c r="D363" i="32"/>
  <c r="H363" i="32"/>
  <c r="G363" i="32"/>
  <c r="L362" i="32"/>
  <c r="E362" i="32"/>
  <c r="D362" i="32"/>
  <c r="H362" i="32"/>
  <c r="G362" i="32"/>
  <c r="L361" i="32"/>
  <c r="E361" i="32"/>
  <c r="D361" i="32"/>
  <c r="H361" i="32"/>
  <c r="G361" i="32"/>
  <c r="L360" i="32"/>
  <c r="E360" i="32"/>
  <c r="D360" i="32"/>
  <c r="H360" i="32"/>
  <c r="G360" i="32"/>
  <c r="L359" i="32"/>
  <c r="E359" i="32"/>
  <c r="D359" i="32"/>
  <c r="H359" i="32"/>
  <c r="G359" i="32"/>
  <c r="L358" i="32"/>
  <c r="E358" i="32"/>
  <c r="D358" i="32"/>
  <c r="H358" i="32"/>
  <c r="G358" i="32"/>
  <c r="L357" i="32"/>
  <c r="E357" i="32"/>
  <c r="D357" i="32"/>
  <c r="H357" i="32"/>
  <c r="G357" i="32"/>
  <c r="L356" i="32"/>
  <c r="E356" i="32"/>
  <c r="D356" i="32"/>
  <c r="H356" i="32"/>
  <c r="G356" i="32"/>
  <c r="L355" i="32"/>
  <c r="E355" i="32"/>
  <c r="D355" i="32"/>
  <c r="H355" i="32"/>
  <c r="G355" i="32"/>
  <c r="L354" i="32"/>
  <c r="E354" i="32"/>
  <c r="D354" i="32"/>
  <c r="H354" i="32"/>
  <c r="G354" i="32"/>
  <c r="L353" i="32"/>
  <c r="E353" i="32"/>
  <c r="D353" i="32"/>
  <c r="H353" i="32"/>
  <c r="G353" i="32"/>
  <c r="L352" i="32"/>
  <c r="E352" i="32"/>
  <c r="D352" i="32"/>
  <c r="H352" i="32"/>
  <c r="G352" i="32"/>
  <c r="L351" i="32"/>
  <c r="E351" i="32"/>
  <c r="D351" i="32"/>
  <c r="H351" i="32"/>
  <c r="G351" i="32"/>
  <c r="L350" i="32"/>
  <c r="E350" i="32"/>
  <c r="D350" i="32"/>
  <c r="H350" i="32"/>
  <c r="G350" i="32"/>
  <c r="L349" i="32"/>
  <c r="E349" i="32"/>
  <c r="D349" i="32"/>
  <c r="H349" i="32"/>
  <c r="G349" i="32"/>
  <c r="L348" i="32"/>
  <c r="E348" i="32"/>
  <c r="D348" i="32"/>
  <c r="H348" i="32"/>
  <c r="G348" i="32"/>
  <c r="L347" i="32"/>
  <c r="E347" i="32"/>
  <c r="D347" i="32"/>
  <c r="H347" i="32"/>
  <c r="G347" i="32"/>
  <c r="L346" i="32"/>
  <c r="E346" i="32"/>
  <c r="D346" i="32"/>
  <c r="H346" i="32"/>
  <c r="G346" i="32"/>
  <c r="L345" i="32"/>
  <c r="E345" i="32"/>
  <c r="D345" i="32"/>
  <c r="H345" i="32"/>
  <c r="G345" i="32"/>
  <c r="L344" i="32"/>
  <c r="E344" i="32"/>
  <c r="D344" i="32"/>
  <c r="H344" i="32"/>
  <c r="G344" i="32"/>
  <c r="L343" i="32"/>
  <c r="E343" i="32"/>
  <c r="D343" i="32"/>
  <c r="H343" i="32"/>
  <c r="G343" i="32"/>
  <c r="L342" i="32"/>
  <c r="E342" i="32"/>
  <c r="D342" i="32"/>
  <c r="H342" i="32"/>
  <c r="G342" i="32"/>
  <c r="L341" i="32"/>
  <c r="E341" i="32"/>
  <c r="D341" i="32"/>
  <c r="H341" i="32"/>
  <c r="G341" i="32"/>
  <c r="L340" i="32"/>
  <c r="E340" i="32"/>
  <c r="D340" i="32"/>
  <c r="H340" i="32"/>
  <c r="G340" i="32"/>
  <c r="L339" i="32"/>
  <c r="E339" i="32"/>
  <c r="D339" i="32"/>
  <c r="H339" i="32"/>
  <c r="G339" i="32"/>
  <c r="L338" i="32"/>
  <c r="E338" i="32"/>
  <c r="D338" i="32"/>
  <c r="H338" i="32"/>
  <c r="G338" i="32"/>
  <c r="L337" i="32"/>
  <c r="E337" i="32"/>
  <c r="D337" i="32"/>
  <c r="H337" i="32"/>
  <c r="G337" i="32"/>
  <c r="L336" i="32"/>
  <c r="E336" i="32"/>
  <c r="D336" i="32"/>
  <c r="H336" i="32"/>
  <c r="G336" i="32"/>
  <c r="L335" i="32"/>
  <c r="E335" i="32"/>
  <c r="D335" i="32"/>
  <c r="H335" i="32"/>
  <c r="G335" i="32"/>
  <c r="L334" i="32"/>
  <c r="E334" i="32"/>
  <c r="D334" i="32"/>
  <c r="H334" i="32"/>
  <c r="G334" i="32"/>
  <c r="L333" i="32"/>
  <c r="E333" i="32"/>
  <c r="D333" i="32"/>
  <c r="H333" i="32"/>
  <c r="G333" i="32"/>
  <c r="L332" i="32"/>
  <c r="E332" i="32"/>
  <c r="D332" i="32"/>
  <c r="H332" i="32"/>
  <c r="G332" i="32"/>
  <c r="L331" i="32"/>
  <c r="E331" i="32"/>
  <c r="D331" i="32"/>
  <c r="H331" i="32"/>
  <c r="G331" i="32"/>
  <c r="L330" i="32"/>
  <c r="E330" i="32"/>
  <c r="D330" i="32"/>
  <c r="H330" i="32"/>
  <c r="G330" i="32"/>
  <c r="L329" i="32"/>
  <c r="E329" i="32"/>
  <c r="D329" i="32"/>
  <c r="H329" i="32"/>
  <c r="G329" i="32"/>
  <c r="L328" i="32"/>
  <c r="E328" i="32"/>
  <c r="D328" i="32"/>
  <c r="H328" i="32"/>
  <c r="G328" i="32"/>
  <c r="L327" i="32"/>
  <c r="E327" i="32"/>
  <c r="D327" i="32"/>
  <c r="H327" i="32"/>
  <c r="G327" i="32"/>
  <c r="L326" i="32"/>
  <c r="E326" i="32"/>
  <c r="D326" i="32"/>
  <c r="H326" i="32"/>
  <c r="G326" i="32"/>
  <c r="L325" i="32"/>
  <c r="E325" i="32"/>
  <c r="D325" i="32"/>
  <c r="H325" i="32"/>
  <c r="G325" i="32"/>
  <c r="L324" i="32"/>
  <c r="E324" i="32"/>
  <c r="D324" i="32"/>
  <c r="H324" i="32"/>
  <c r="G324" i="32"/>
  <c r="L323" i="32"/>
  <c r="E323" i="32"/>
  <c r="D323" i="32"/>
  <c r="H323" i="32"/>
  <c r="G323" i="32"/>
  <c r="L322" i="32"/>
  <c r="E322" i="32"/>
  <c r="D322" i="32"/>
  <c r="H322" i="32"/>
  <c r="G322" i="32"/>
  <c r="L321" i="32"/>
  <c r="E321" i="32"/>
  <c r="D321" i="32"/>
  <c r="H321" i="32"/>
  <c r="G321" i="32"/>
  <c r="L320" i="32"/>
  <c r="E320" i="32"/>
  <c r="D320" i="32"/>
  <c r="H320" i="32"/>
  <c r="G320" i="32"/>
  <c r="L319" i="32"/>
  <c r="E319" i="32"/>
  <c r="D319" i="32"/>
  <c r="H319" i="32"/>
  <c r="G319" i="32"/>
  <c r="L318" i="32"/>
  <c r="E318" i="32"/>
  <c r="D318" i="32"/>
  <c r="H318" i="32"/>
  <c r="G318" i="32"/>
  <c r="L317" i="32"/>
  <c r="E317" i="32"/>
  <c r="D317" i="32"/>
  <c r="H317" i="32"/>
  <c r="G317" i="32"/>
  <c r="L316" i="32"/>
  <c r="E316" i="32"/>
  <c r="D316" i="32"/>
  <c r="H316" i="32"/>
  <c r="G316" i="32"/>
  <c r="L315" i="32"/>
  <c r="E315" i="32"/>
  <c r="D315" i="32"/>
  <c r="H315" i="32"/>
  <c r="G315" i="32"/>
  <c r="L314" i="32"/>
  <c r="E314" i="32"/>
  <c r="D314" i="32"/>
  <c r="H314" i="32"/>
  <c r="G314" i="32"/>
  <c r="L313" i="32"/>
  <c r="E313" i="32"/>
  <c r="D313" i="32"/>
  <c r="H313" i="32"/>
  <c r="G313" i="32"/>
  <c r="L312" i="32"/>
  <c r="E312" i="32"/>
  <c r="D312" i="32"/>
  <c r="H312" i="32"/>
  <c r="G312" i="32"/>
  <c r="L311" i="32"/>
  <c r="E311" i="32"/>
  <c r="D311" i="32"/>
  <c r="H311" i="32"/>
  <c r="G311" i="32"/>
  <c r="L310" i="32"/>
  <c r="E310" i="32"/>
  <c r="D310" i="32"/>
  <c r="H310" i="32"/>
  <c r="G310" i="32"/>
  <c r="L309" i="32"/>
  <c r="E309" i="32"/>
  <c r="D309" i="32"/>
  <c r="H309" i="32"/>
  <c r="G309" i="32"/>
  <c r="L308" i="32"/>
  <c r="E308" i="32"/>
  <c r="D308" i="32"/>
  <c r="H308" i="32"/>
  <c r="G308" i="32"/>
  <c r="L307" i="32"/>
  <c r="E307" i="32"/>
  <c r="D307" i="32"/>
  <c r="H307" i="32"/>
  <c r="G307" i="32"/>
  <c r="L306" i="32"/>
  <c r="E306" i="32"/>
  <c r="D306" i="32"/>
  <c r="H306" i="32"/>
  <c r="G306" i="32"/>
  <c r="L305" i="32"/>
  <c r="E305" i="32"/>
  <c r="D305" i="32"/>
  <c r="H305" i="32"/>
  <c r="G305" i="32"/>
  <c r="L304" i="32"/>
  <c r="E304" i="32"/>
  <c r="D304" i="32"/>
  <c r="H304" i="32"/>
  <c r="G304" i="32"/>
  <c r="L303" i="32"/>
  <c r="E303" i="32"/>
  <c r="D303" i="32"/>
  <c r="H303" i="32"/>
  <c r="G303" i="32"/>
  <c r="L302" i="32"/>
  <c r="E302" i="32"/>
  <c r="D302" i="32"/>
  <c r="H302" i="32"/>
  <c r="G302" i="32"/>
  <c r="L301" i="32"/>
  <c r="E301" i="32"/>
  <c r="D301" i="32"/>
  <c r="H301" i="32"/>
  <c r="G301" i="32"/>
  <c r="L300" i="32"/>
  <c r="E300" i="32"/>
  <c r="D300" i="32"/>
  <c r="H300" i="32"/>
  <c r="G300" i="32"/>
  <c r="L299" i="32"/>
  <c r="E299" i="32"/>
  <c r="D299" i="32"/>
  <c r="H299" i="32"/>
  <c r="G299" i="32"/>
  <c r="L298" i="32"/>
  <c r="E298" i="32"/>
  <c r="D298" i="32"/>
  <c r="H298" i="32"/>
  <c r="G298" i="32"/>
  <c r="L297" i="32"/>
  <c r="E297" i="32"/>
  <c r="D297" i="32"/>
  <c r="H297" i="32"/>
  <c r="G297" i="32"/>
  <c r="L296" i="32"/>
  <c r="E296" i="32"/>
  <c r="D296" i="32"/>
  <c r="H296" i="32"/>
  <c r="G296" i="32"/>
  <c r="L295" i="32"/>
  <c r="E295" i="32"/>
  <c r="D295" i="32"/>
  <c r="H295" i="32"/>
  <c r="G295" i="32"/>
  <c r="L294" i="32"/>
  <c r="E294" i="32"/>
  <c r="D294" i="32"/>
  <c r="H294" i="32"/>
  <c r="G294" i="32"/>
  <c r="L293" i="32"/>
  <c r="E293" i="32"/>
  <c r="D293" i="32"/>
  <c r="H293" i="32"/>
  <c r="G293" i="32"/>
  <c r="L292" i="32"/>
  <c r="E292" i="32"/>
  <c r="D292" i="32"/>
  <c r="H292" i="32"/>
  <c r="G292" i="32"/>
  <c r="L291" i="32"/>
  <c r="E291" i="32"/>
  <c r="D291" i="32"/>
  <c r="H291" i="32"/>
  <c r="G291" i="32"/>
  <c r="L290" i="32"/>
  <c r="E290" i="32"/>
  <c r="D290" i="32"/>
  <c r="H290" i="32"/>
  <c r="G290" i="32"/>
  <c r="L289" i="32"/>
  <c r="E289" i="32"/>
  <c r="D289" i="32"/>
  <c r="H289" i="32"/>
  <c r="G289" i="32"/>
  <c r="L288" i="32"/>
  <c r="E288" i="32"/>
  <c r="D288" i="32"/>
  <c r="H288" i="32"/>
  <c r="G288" i="32"/>
  <c r="L287" i="32"/>
  <c r="E287" i="32"/>
  <c r="D287" i="32"/>
  <c r="H287" i="32"/>
  <c r="G287" i="32"/>
  <c r="L286" i="32"/>
  <c r="E286" i="32"/>
  <c r="D286" i="32"/>
  <c r="H286" i="32"/>
  <c r="G286" i="32"/>
  <c r="L285" i="32"/>
  <c r="E285" i="32"/>
  <c r="D285" i="32"/>
  <c r="H285" i="32"/>
  <c r="G285" i="32"/>
  <c r="L284" i="32"/>
  <c r="E284" i="32"/>
  <c r="D284" i="32"/>
  <c r="H284" i="32"/>
  <c r="G284" i="32"/>
  <c r="L283" i="32"/>
  <c r="E283" i="32"/>
  <c r="D283" i="32"/>
  <c r="H283" i="32"/>
  <c r="G283" i="32"/>
  <c r="L282" i="32"/>
  <c r="E282" i="32"/>
  <c r="D282" i="32"/>
  <c r="H282" i="32"/>
  <c r="G282" i="32"/>
  <c r="L281" i="32"/>
  <c r="E281" i="32"/>
  <c r="D281" i="32"/>
  <c r="H281" i="32"/>
  <c r="G281" i="32"/>
  <c r="L280" i="32"/>
  <c r="E280" i="32"/>
  <c r="D280" i="32"/>
  <c r="H280" i="32"/>
  <c r="G280" i="32"/>
  <c r="L279" i="32"/>
  <c r="E279" i="32"/>
  <c r="D279" i="32"/>
  <c r="H279" i="32"/>
  <c r="G279" i="32"/>
  <c r="L278" i="32"/>
  <c r="E278" i="32"/>
  <c r="D278" i="32"/>
  <c r="H278" i="32"/>
  <c r="G278" i="32"/>
  <c r="L277" i="32"/>
  <c r="E277" i="32"/>
  <c r="D277" i="32"/>
  <c r="H277" i="32"/>
  <c r="G277" i="32"/>
  <c r="L276" i="32"/>
  <c r="E276" i="32"/>
  <c r="D276" i="32"/>
  <c r="H276" i="32"/>
  <c r="G276" i="32"/>
  <c r="L275" i="32"/>
  <c r="E275" i="32"/>
  <c r="D275" i="32"/>
  <c r="H275" i="32"/>
  <c r="G275" i="32"/>
  <c r="L274" i="32"/>
  <c r="E274" i="32"/>
  <c r="D274" i="32"/>
  <c r="H274" i="32"/>
  <c r="G274" i="32"/>
  <c r="L273" i="32"/>
  <c r="E273" i="32"/>
  <c r="D273" i="32"/>
  <c r="H273" i="32"/>
  <c r="G273" i="32"/>
  <c r="L272" i="32"/>
  <c r="E272" i="32"/>
  <c r="D272" i="32"/>
  <c r="H272" i="32"/>
  <c r="G272" i="32"/>
  <c r="L271" i="32"/>
  <c r="E271" i="32"/>
  <c r="D271" i="32"/>
  <c r="H271" i="32"/>
  <c r="G271" i="32"/>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E265" i="32"/>
  <c r="D265" i="32"/>
  <c r="H265" i="32"/>
  <c r="G265" i="32"/>
  <c r="L264" i="32"/>
  <c r="E264" i="32"/>
  <c r="D264" i="32"/>
  <c r="H264" i="32"/>
  <c r="G264" i="32"/>
  <c r="L263" i="32"/>
  <c r="E263" i="32"/>
  <c r="D263" i="32"/>
  <c r="H263" i="32"/>
  <c r="G263" i="32"/>
  <c r="L262" i="32"/>
  <c r="E262" i="32"/>
  <c r="D262" i="32"/>
  <c r="H262" i="32"/>
  <c r="G262" i="32"/>
  <c r="L261" i="32"/>
  <c r="E261" i="32"/>
  <c r="D261" i="32"/>
  <c r="H261" i="32"/>
  <c r="G261" i="32"/>
  <c r="L260" i="32"/>
  <c r="E260" i="32"/>
  <c r="D260" i="32"/>
  <c r="H260" i="32"/>
  <c r="G260" i="32"/>
  <c r="L259" i="32"/>
  <c r="E259" i="32"/>
  <c r="D259" i="32"/>
  <c r="H259" i="32"/>
  <c r="G259" i="32"/>
  <c r="L258" i="32"/>
  <c r="E258" i="32"/>
  <c r="D258" i="32"/>
  <c r="H258" i="32"/>
  <c r="G258" i="32"/>
  <c r="L257" i="32"/>
  <c r="E257" i="32"/>
  <c r="D257" i="32"/>
  <c r="H257" i="32"/>
  <c r="G257" i="32"/>
  <c r="L256" i="32"/>
  <c r="E256" i="32"/>
  <c r="D256" i="32"/>
  <c r="H256" i="32"/>
  <c r="G256" i="32"/>
  <c r="L255" i="32"/>
  <c r="E255" i="32"/>
  <c r="D255" i="32"/>
  <c r="H255" i="32"/>
  <c r="G255" i="32"/>
  <c r="L254" i="32"/>
  <c r="E254" i="32"/>
  <c r="D254" i="32"/>
  <c r="H254" i="32"/>
  <c r="G254" i="32"/>
  <c r="L253" i="32"/>
  <c r="E253" i="32"/>
  <c r="D253" i="32"/>
  <c r="H253" i="32"/>
  <c r="G253" i="32"/>
  <c r="L252" i="32"/>
  <c r="E252" i="32"/>
  <c r="D252" i="32"/>
  <c r="H252" i="32"/>
  <c r="G252" i="32"/>
  <c r="L251" i="32"/>
  <c r="E251" i="32"/>
  <c r="D251" i="32"/>
  <c r="H251" i="32"/>
  <c r="G251" i="32"/>
  <c r="L250" i="32"/>
  <c r="E250" i="32"/>
  <c r="D250" i="32"/>
  <c r="H250" i="32"/>
  <c r="G250" i="32"/>
  <c r="L249" i="32"/>
  <c r="E249" i="32"/>
  <c r="D249" i="32"/>
  <c r="H249" i="32"/>
  <c r="G249" i="32"/>
  <c r="L248" i="32"/>
  <c r="E248" i="32"/>
  <c r="D248" i="32"/>
  <c r="H248" i="32"/>
  <c r="G248" i="32"/>
  <c r="L247" i="32"/>
  <c r="E247" i="32"/>
  <c r="D247" i="32"/>
  <c r="H247" i="32"/>
  <c r="G247" i="32"/>
  <c r="L246" i="32"/>
  <c r="E246" i="32"/>
  <c r="D246" i="32"/>
  <c r="H246" i="32"/>
  <c r="G246" i="32"/>
  <c r="L245" i="32"/>
  <c r="E245" i="32"/>
  <c r="D245" i="32"/>
  <c r="H245" i="32"/>
  <c r="G245" i="32"/>
  <c r="L244" i="32"/>
  <c r="E244" i="32"/>
  <c r="D244" i="32"/>
  <c r="H244" i="32"/>
  <c r="G244" i="32"/>
  <c r="L243" i="32"/>
  <c r="E243" i="32"/>
  <c r="D243" i="32"/>
  <c r="H243" i="32"/>
  <c r="G243" i="32"/>
  <c r="L242" i="32"/>
  <c r="E242" i="32"/>
  <c r="D242" i="32"/>
  <c r="H242" i="32"/>
  <c r="G242" i="32"/>
  <c r="L241" i="32"/>
  <c r="E241" i="32"/>
  <c r="D241" i="32"/>
  <c r="H241" i="32"/>
  <c r="G241" i="32"/>
  <c r="L240" i="32"/>
  <c r="E240" i="32"/>
  <c r="D240" i="32"/>
  <c r="H240" i="32"/>
  <c r="G240" i="32"/>
  <c r="L239" i="32"/>
  <c r="E239" i="32"/>
  <c r="D239" i="32"/>
  <c r="H239" i="32"/>
  <c r="G239" i="32"/>
  <c r="L238" i="32"/>
  <c r="E238" i="32"/>
  <c r="D238" i="32"/>
  <c r="H238" i="32"/>
  <c r="G238" i="32"/>
  <c r="L237" i="32"/>
  <c r="E237" i="32"/>
  <c r="D237" i="32"/>
  <c r="H237" i="32"/>
  <c r="G237" i="32"/>
  <c r="L236" i="32"/>
  <c r="E236" i="32"/>
  <c r="D236" i="32"/>
  <c r="H236" i="32"/>
  <c r="G236" i="32"/>
  <c r="L235" i="32"/>
  <c r="E235" i="32"/>
  <c r="D235" i="32"/>
  <c r="H235" i="32"/>
  <c r="G235" i="32"/>
  <c r="L234" i="32"/>
  <c r="E234" i="32"/>
  <c r="D234" i="32"/>
  <c r="H234" i="32"/>
  <c r="G234" i="32"/>
  <c r="L233" i="32"/>
  <c r="E233" i="32"/>
  <c r="D233" i="32"/>
  <c r="H233" i="32"/>
  <c r="G233" i="32"/>
  <c r="L232" i="32"/>
  <c r="E232" i="32"/>
  <c r="D232" i="32"/>
  <c r="H232" i="32"/>
  <c r="G232" i="32"/>
  <c r="L231" i="32"/>
  <c r="E231" i="32"/>
  <c r="D231" i="32"/>
  <c r="H231" i="32"/>
  <c r="G231" i="32"/>
  <c r="L230" i="32"/>
  <c r="E230" i="32"/>
  <c r="D230" i="32"/>
  <c r="H230" i="32"/>
  <c r="G230" i="32"/>
  <c r="L229" i="32"/>
  <c r="E229" i="32"/>
  <c r="D229" i="32"/>
  <c r="H229" i="32"/>
  <c r="G229" i="32"/>
  <c r="L228" i="32"/>
  <c r="E228" i="32"/>
  <c r="D228" i="32"/>
  <c r="H228" i="32"/>
  <c r="G228" i="32"/>
  <c r="L227" i="32"/>
  <c r="E227" i="32"/>
  <c r="D227" i="32"/>
  <c r="H227" i="32"/>
  <c r="G227" i="32"/>
  <c r="L226" i="32"/>
  <c r="E226" i="32"/>
  <c r="D226" i="32"/>
  <c r="H226" i="32"/>
  <c r="G226" i="32"/>
  <c r="L225" i="32"/>
  <c r="E225" i="32"/>
  <c r="D225" i="32"/>
  <c r="H225" i="32"/>
  <c r="G225" i="32"/>
  <c r="L224" i="32"/>
  <c r="E224" i="32"/>
  <c r="D224" i="32"/>
  <c r="H224" i="32"/>
  <c r="G224" i="32"/>
  <c r="L223" i="32"/>
  <c r="E223" i="32"/>
  <c r="D223" i="32"/>
  <c r="H223" i="32"/>
  <c r="G223" i="32"/>
  <c r="L222" i="32"/>
  <c r="E222" i="32"/>
  <c r="D222" i="32"/>
  <c r="H222" i="32"/>
  <c r="G222" i="32"/>
  <c r="L221" i="32"/>
  <c r="E221" i="32"/>
  <c r="D221" i="32"/>
  <c r="H221" i="32"/>
  <c r="G221" i="32"/>
  <c r="L220" i="32"/>
  <c r="E220" i="32"/>
  <c r="D220" i="32"/>
  <c r="H220" i="32"/>
  <c r="G220" i="32"/>
  <c r="L219" i="32"/>
  <c r="E219" i="32"/>
  <c r="D219" i="32"/>
  <c r="H219" i="32"/>
  <c r="G219" i="32"/>
  <c r="L218" i="32"/>
  <c r="E218" i="32"/>
  <c r="D218" i="32"/>
  <c r="H218" i="32"/>
  <c r="G218" i="32"/>
  <c r="L217" i="32"/>
  <c r="E217" i="32"/>
  <c r="D217" i="32"/>
  <c r="H217" i="32"/>
  <c r="G217" i="32"/>
  <c r="L216" i="32"/>
  <c r="E216" i="32"/>
  <c r="D216" i="32"/>
  <c r="H216" i="32"/>
  <c r="G216" i="32"/>
  <c r="L215" i="32"/>
  <c r="E215" i="32"/>
  <c r="D215" i="32"/>
  <c r="H215" i="32"/>
  <c r="G215" i="32"/>
  <c r="L214" i="32"/>
  <c r="E214" i="32"/>
  <c r="D214" i="32"/>
  <c r="H214" i="32"/>
  <c r="G214" i="32"/>
  <c r="L213" i="32"/>
  <c r="E213" i="32"/>
  <c r="D213" i="32"/>
  <c r="H213" i="32"/>
  <c r="G213" i="32"/>
  <c r="L212" i="32"/>
  <c r="E212" i="32"/>
  <c r="D212" i="32"/>
  <c r="H212" i="32"/>
  <c r="G212" i="32"/>
  <c r="F212" i="32" s="1"/>
  <c r="L211" i="32"/>
  <c r="E211" i="32"/>
  <c r="D211" i="32"/>
  <c r="H211" i="32"/>
  <c r="G211" i="32"/>
  <c r="L210" i="32"/>
  <c r="E210" i="32"/>
  <c r="D210" i="32"/>
  <c r="H210" i="32"/>
  <c r="G210" i="32"/>
  <c r="L209" i="32"/>
  <c r="E209" i="32"/>
  <c r="D209" i="32"/>
  <c r="H209" i="32"/>
  <c r="G209" i="32"/>
  <c r="L208" i="32"/>
  <c r="E208" i="32"/>
  <c r="D208" i="32"/>
  <c r="H208" i="32"/>
  <c r="G208" i="32"/>
  <c r="L207" i="32"/>
  <c r="E207" i="32"/>
  <c r="D207" i="32"/>
  <c r="H207" i="32"/>
  <c r="G207" i="32"/>
  <c r="L206" i="32"/>
  <c r="E206" i="32"/>
  <c r="D206" i="32"/>
  <c r="H206" i="32"/>
  <c r="G206" i="32"/>
  <c r="L205" i="32"/>
  <c r="E205" i="32"/>
  <c r="D205" i="32"/>
  <c r="H205" i="32"/>
  <c r="G205" i="32"/>
  <c r="L204" i="32"/>
  <c r="E204" i="32"/>
  <c r="D204" i="32"/>
  <c r="H204" i="32"/>
  <c r="G204" i="32"/>
  <c r="L203" i="32"/>
  <c r="E203" i="32"/>
  <c r="D203" i="32"/>
  <c r="H203" i="32"/>
  <c r="G203" i="32"/>
  <c r="L201" i="32"/>
  <c r="D201" i="32"/>
  <c r="H201" i="32"/>
  <c r="G201" i="32"/>
  <c r="L156" i="32"/>
  <c r="K156" i="32"/>
  <c r="E156" i="32"/>
  <c r="D156" i="32"/>
  <c r="H156" i="32"/>
  <c r="G156"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F152" i="32" s="1"/>
  <c r="L151" i="32"/>
  <c r="K151" i="32"/>
  <c r="E151" i="32"/>
  <c r="D151" i="32"/>
  <c r="H151" i="32"/>
  <c r="G151" i="32"/>
  <c r="L150" i="32"/>
  <c r="K150" i="32"/>
  <c r="D150" i="32"/>
  <c r="H150" i="32"/>
  <c r="G150"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H144" i="32"/>
  <c r="G144" i="32"/>
  <c r="L142" i="32"/>
  <c r="K142" i="32"/>
  <c r="E142" i="32"/>
  <c r="D142" i="32"/>
  <c r="H142" i="32"/>
  <c r="G142" i="32"/>
  <c r="L141" i="32"/>
  <c r="K141" i="32"/>
  <c r="E141" i="32"/>
  <c r="D141" i="32"/>
  <c r="H141" i="32"/>
  <c r="G141" i="32"/>
  <c r="L140" i="32"/>
  <c r="K140" i="32"/>
  <c r="E140" i="32"/>
  <c r="D140" i="32"/>
  <c r="H140" i="32"/>
  <c r="G140" i="32"/>
  <c r="L139" i="32"/>
  <c r="K139" i="32"/>
  <c r="E139" i="32"/>
  <c r="D139" i="32"/>
  <c r="H139" i="32"/>
  <c r="G139" i="32"/>
  <c r="L138" i="32"/>
  <c r="K138" i="32"/>
  <c r="E138" i="32"/>
  <c r="D138" i="32"/>
  <c r="H138" i="32"/>
  <c r="G138" i="32"/>
  <c r="L137" i="32"/>
  <c r="K137" i="32"/>
  <c r="E137" i="32"/>
  <c r="D137" i="32"/>
  <c r="H137" i="32"/>
  <c r="G137" i="32"/>
  <c r="L136" i="32"/>
  <c r="K136" i="32"/>
  <c r="E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D27" i="32"/>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K25" i="32"/>
  <c r="G25" i="32"/>
  <c r="F196" i="32"/>
  <c r="E26" i="32"/>
  <c r="F29" i="32"/>
  <c r="G135" i="32"/>
  <c r="H135" i="32"/>
  <c r="F31" i="32"/>
  <c r="F181" i="32"/>
  <c r="K27" i="32"/>
  <c r="D37" i="32"/>
  <c r="D135" i="32" s="1"/>
  <c r="I135" i="32"/>
  <c r="H200" i="32"/>
  <c r="E27" i="32"/>
  <c r="L27" i="32"/>
  <c r="E35" i="32"/>
  <c r="E135" i="32" s="1"/>
  <c r="J135" i="32"/>
  <c r="F186" i="32"/>
  <c r="F182" i="32"/>
  <c r="F178" i="32"/>
  <c r="D187" i="32"/>
  <c r="D200" i="32" s="1"/>
  <c r="I200" i="32"/>
  <c r="K135" i="32"/>
  <c r="E532" i="32"/>
  <c r="F188" i="32"/>
  <c r="F183" i="32"/>
  <c r="F175" i="32"/>
  <c r="G26" i="32"/>
  <c r="D26" i="32"/>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s="1"/>
  <c r="F27" i="50" s="1"/>
  <c r="F28" i="50" s="1"/>
  <c r="F29" i="50" s="1"/>
  <c r="F30" i="50" s="1"/>
  <c r="F31" i="50" s="1"/>
  <c r="F43" i="50" l="1"/>
  <c r="F15" i="32"/>
  <c r="F16" i="32" s="1"/>
  <c r="G43" i="50" l="1"/>
  <c r="K43" i="50" l="1"/>
  <c r="G26" i="50" s="1"/>
  <c r="G27" i="50" s="1"/>
  <c r="G28" i="50" s="1"/>
  <c r="G29" i="50" s="1"/>
  <c r="G30" i="50" s="1"/>
  <c r="G31" i="50" s="1"/>
  <c r="G32" i="50" s="1"/>
  <c r="J43" i="50"/>
  <c r="I43" i="50"/>
  <c r="H43" i="50"/>
  <c r="F32" i="50"/>
  <c r="F44" i="50" s="1"/>
  <c r="F45" i="50" l="1"/>
  <c r="D9" i="56" s="1"/>
  <c r="F46" i="50" l="1"/>
  <c r="D10" i="56" s="1"/>
  <c r="D8" i="46"/>
  <c r="D8" i="56"/>
  <c r="C6" i="47"/>
  <c r="D9" i="46"/>
  <c r="C5" i="47"/>
  <c r="C9" i="47"/>
  <c r="I44" i="50"/>
  <c r="G8" i="56" s="1"/>
  <c r="J44" i="50"/>
  <c r="H44" i="50"/>
  <c r="G44" i="50"/>
  <c r="K44" i="50"/>
  <c r="K45" i="50"/>
  <c r="I9" i="56" s="1"/>
  <c r="J45" i="50"/>
  <c r="H9" i="56" s="1"/>
  <c r="I45" i="50"/>
  <c r="G9" i="56" s="1"/>
  <c r="H45" i="50"/>
  <c r="F9" i="56" s="1"/>
  <c r="G45" i="50"/>
  <c r="E9" i="56" s="1"/>
  <c r="I8" i="46" l="1"/>
  <c r="I8" i="56"/>
  <c r="E8" i="46"/>
  <c r="E8" i="56"/>
  <c r="F8" i="46"/>
  <c r="F8" i="56"/>
  <c r="H8" i="46"/>
  <c r="H8" i="56"/>
  <c r="D178" i="46"/>
  <c r="D31" i="46" s="1"/>
  <c r="G5" i="47"/>
  <c r="C7" i="47"/>
  <c r="F6" i="47"/>
  <c r="G9" i="46"/>
  <c r="G6" i="47"/>
  <c r="H9" i="46"/>
  <c r="F5" i="47"/>
  <c r="G8" i="46"/>
  <c r="H6" i="47"/>
  <c r="I9" i="46"/>
  <c r="D8" i="42"/>
  <c r="D10" i="46"/>
  <c r="D6" i="47"/>
  <c r="E9" i="46"/>
  <c r="E6" i="47"/>
  <c r="F9" i="46"/>
  <c r="L48" i="46"/>
  <c r="C8" i="47"/>
  <c r="C10" i="47" s="1"/>
  <c r="C22" i="47" s="1"/>
  <c r="F9" i="47"/>
  <c r="G9" i="47"/>
  <c r="H9" i="47"/>
  <c r="D9" i="47"/>
  <c r="E9" i="47"/>
  <c r="J46" i="50"/>
  <c r="H10" i="56" s="1"/>
  <c r="E5" i="47"/>
  <c r="H8" i="47"/>
  <c r="K46" i="50"/>
  <c r="I10" i="56" s="1"/>
  <c r="H5" i="47"/>
  <c r="G46" i="50"/>
  <c r="E10" i="56" s="1"/>
  <c r="D5" i="47"/>
  <c r="H46" i="50"/>
  <c r="F10" i="56" s="1"/>
  <c r="F52" i="50"/>
  <c r="I46" i="50"/>
  <c r="G10" i="56" s="1"/>
  <c r="F8" i="47"/>
  <c r="D13" i="42" l="1"/>
  <c r="D16" i="42" s="1"/>
  <c r="F7" i="47"/>
  <c r="H57" i="47"/>
  <c r="F57" i="47"/>
  <c r="D57" i="47"/>
  <c r="E57" i="47"/>
  <c r="G57" i="47"/>
  <c r="H178" i="46"/>
  <c r="H31" i="46" s="1"/>
  <c r="D37" i="42"/>
  <c r="C31" i="47" s="1"/>
  <c r="D22" i="42"/>
  <c r="G8" i="47"/>
  <c r="G7" i="47"/>
  <c r="D7" i="47"/>
  <c r="F8" i="42"/>
  <c r="F10" i="46"/>
  <c r="L63" i="46"/>
  <c r="E8" i="42"/>
  <c r="E10" i="46"/>
  <c r="J52" i="50"/>
  <c r="G8" i="42"/>
  <c r="G10" i="46"/>
  <c r="H8" i="42"/>
  <c r="H10" i="46"/>
  <c r="I8" i="42"/>
  <c r="I10" i="46"/>
  <c r="D8" i="47"/>
  <c r="E8" i="47"/>
  <c r="H7" i="47"/>
  <c r="E7" i="47"/>
  <c r="I52" i="50"/>
  <c r="K52" i="50"/>
  <c r="H52" i="50"/>
  <c r="G52" i="50"/>
  <c r="D18" i="42" l="1"/>
  <c r="C21" i="47" s="1"/>
  <c r="D15" i="42"/>
  <c r="D17" i="42"/>
  <c r="D23" i="42"/>
  <c r="E13" i="42"/>
  <c r="E16" i="42" s="1"/>
  <c r="F13" i="42"/>
  <c r="F17" i="42" s="1"/>
  <c r="I13" i="42"/>
  <c r="I16" i="42" s="1"/>
  <c r="G13" i="42"/>
  <c r="G16" i="42" s="1"/>
  <c r="H13" i="42"/>
  <c r="H16" i="42" s="1"/>
  <c r="G178" i="46"/>
  <c r="G31" i="46" s="1"/>
  <c r="E178" i="46"/>
  <c r="E31" i="46" s="1"/>
  <c r="I178" i="46"/>
  <c r="I31" i="46" s="1"/>
  <c r="F178" i="46"/>
  <c r="F31" i="46" s="1"/>
  <c r="H37" i="42"/>
  <c r="G31" i="47" s="1"/>
  <c r="G37" i="42"/>
  <c r="F31" i="47" s="1"/>
  <c r="I37" i="42"/>
  <c r="H31" i="47" s="1"/>
  <c r="E37" i="42"/>
  <c r="D31" i="47" s="1"/>
  <c r="F37" i="42"/>
  <c r="E31" i="47" s="1"/>
  <c r="H22" i="42"/>
  <c r="F22" i="42"/>
  <c r="G22" i="42"/>
  <c r="I22" i="42"/>
  <c r="E22" i="42"/>
  <c r="E23" i="42" s="1"/>
  <c r="H17" i="42"/>
  <c r="G20" i="47" s="1"/>
  <c r="P48" i="46"/>
  <c r="D43" i="46"/>
  <c r="D13" i="46" s="1"/>
  <c r="L62" i="46"/>
  <c r="L64" i="46" s="1"/>
  <c r="L16" i="46" s="1"/>
  <c r="D64" i="46"/>
  <c r="D16" i="46" s="1"/>
  <c r="M63" i="46"/>
  <c r="M49" i="46"/>
  <c r="D100" i="46"/>
  <c r="D21" i="46" s="1"/>
  <c r="M48" i="46"/>
  <c r="N49" i="46"/>
  <c r="N63" i="46"/>
  <c r="P63" i="46"/>
  <c r="P62" i="46"/>
  <c r="Q49" i="46"/>
  <c r="Q63" i="46"/>
  <c r="O49" i="46"/>
  <c r="O63" i="46"/>
  <c r="L49" i="46"/>
  <c r="L50" i="46" s="1"/>
  <c r="D50" i="46"/>
  <c r="D57" i="46"/>
  <c r="E17" i="42"/>
  <c r="D28" i="42"/>
  <c r="C19" i="47"/>
  <c r="C20" i="47"/>
  <c r="D29" i="42"/>
  <c r="E15" i="42"/>
  <c r="D10" i="47"/>
  <c r="D22" i="47" s="1"/>
  <c r="H57" i="46"/>
  <c r="E18" i="42" l="1"/>
  <c r="I15" i="42"/>
  <c r="I17" i="42"/>
  <c r="I18" i="42"/>
  <c r="F18" i="42"/>
  <c r="I23" i="42"/>
  <c r="F15" i="42"/>
  <c r="G18" i="42"/>
  <c r="G30" i="42" s="1"/>
  <c r="G17" i="42"/>
  <c r="F10" i="47"/>
  <c r="F22" i="47" s="1"/>
  <c r="E10" i="47"/>
  <c r="E22" i="47" s="1"/>
  <c r="D30" i="42"/>
  <c r="F23" i="42"/>
  <c r="H10" i="47"/>
  <c r="H22" i="47" s="1"/>
  <c r="G10" i="47"/>
  <c r="G22" i="47" s="1"/>
  <c r="G15" i="42"/>
  <c r="G28" i="42" s="1"/>
  <c r="G23" i="42"/>
  <c r="F16" i="42"/>
  <c r="H15" i="42"/>
  <c r="H28" i="42" s="1"/>
  <c r="H18" i="42"/>
  <c r="H30" i="42" s="1"/>
  <c r="H23" i="42"/>
  <c r="L14" i="46"/>
  <c r="L35" i="46" s="1"/>
  <c r="D73" i="47"/>
  <c r="H73" i="47"/>
  <c r="G73" i="47"/>
  <c r="F73" i="47"/>
  <c r="E73" i="47"/>
  <c r="D79" i="47"/>
  <c r="H79" i="47"/>
  <c r="E79" i="47"/>
  <c r="G79" i="47"/>
  <c r="F79" i="47"/>
  <c r="D14" i="46"/>
  <c r="G78" i="47"/>
  <c r="D78" i="47"/>
  <c r="E78" i="47"/>
  <c r="F78" i="47"/>
  <c r="H78" i="47"/>
  <c r="H29" i="42"/>
  <c r="H100" i="46"/>
  <c r="H21" i="46" s="1"/>
  <c r="H43" i="46"/>
  <c r="H13" i="46" s="1"/>
  <c r="I100" i="46"/>
  <c r="I21" i="46" s="1"/>
  <c r="E43" i="46"/>
  <c r="E13" i="46" s="1"/>
  <c r="E50" i="46"/>
  <c r="E14" i="46" s="1"/>
  <c r="P64" i="46"/>
  <c r="P65" i="46" s="1"/>
  <c r="H64" i="46"/>
  <c r="H65" i="46" s="1"/>
  <c r="M50" i="46"/>
  <c r="M14" i="46" s="1"/>
  <c r="I43" i="46"/>
  <c r="F64" i="46"/>
  <c r="F65" i="46" s="1"/>
  <c r="N62" i="46"/>
  <c r="N64" i="46" s="1"/>
  <c r="N65" i="46" s="1"/>
  <c r="I64" i="46"/>
  <c r="I65" i="46" s="1"/>
  <c r="Q62" i="46"/>
  <c r="Q64" i="46" s="1"/>
  <c r="Q65" i="46" s="1"/>
  <c r="O62" i="46"/>
  <c r="O64" i="46" s="1"/>
  <c r="O65" i="46" s="1"/>
  <c r="G64" i="46"/>
  <c r="G65" i="46" s="1"/>
  <c r="Q48" i="46"/>
  <c r="Q50" i="46" s="1"/>
  <c r="I50" i="46"/>
  <c r="F43" i="46"/>
  <c r="P49" i="46"/>
  <c r="P50" i="46" s="1"/>
  <c r="H50" i="46"/>
  <c r="O48" i="46"/>
  <c r="O50" i="46" s="1"/>
  <c r="G50" i="46"/>
  <c r="N48" i="46"/>
  <c r="N50" i="46" s="1"/>
  <c r="F50" i="46"/>
  <c r="M62" i="46"/>
  <c r="M64" i="46" s="1"/>
  <c r="M65" i="46" s="1"/>
  <c r="E64" i="46"/>
  <c r="E65" i="46" s="1"/>
  <c r="D15" i="46"/>
  <c r="E57" i="46"/>
  <c r="E58" i="46" s="1"/>
  <c r="D77" i="47" s="1"/>
  <c r="E28" i="42"/>
  <c r="D19" i="47"/>
  <c r="I28" i="42"/>
  <c r="H19" i="47"/>
  <c r="F19" i="47"/>
  <c r="F30" i="42"/>
  <c r="E21" i="47"/>
  <c r="F57" i="46"/>
  <c r="F28" i="42"/>
  <c r="E19" i="47"/>
  <c r="G29" i="42"/>
  <c r="F20" i="47"/>
  <c r="F21" i="47"/>
  <c r="G57" i="46"/>
  <c r="D21" i="47"/>
  <c r="E30" i="42"/>
  <c r="D32" i="42"/>
  <c r="D39" i="42" s="1"/>
  <c r="F29" i="42"/>
  <c r="E20" i="47"/>
  <c r="H21" i="47"/>
  <c r="I30" i="42"/>
  <c r="I57" i="46"/>
  <c r="H20" i="47"/>
  <c r="I29" i="42"/>
  <c r="E29" i="42"/>
  <c r="D20" i="47"/>
  <c r="H179" i="46"/>
  <c r="G56" i="47" s="1"/>
  <c r="F179" i="46"/>
  <c r="E56" i="47" s="1"/>
  <c r="I179" i="46"/>
  <c r="H56" i="47" s="1"/>
  <c r="E179" i="46"/>
  <c r="D56" i="47" s="1"/>
  <c r="G179" i="46"/>
  <c r="F56" i="47" s="1"/>
  <c r="H15" i="46"/>
  <c r="H58" i="46"/>
  <c r="G77" i="47" s="1"/>
  <c r="G19" i="47" l="1"/>
  <c r="G21" i="47"/>
  <c r="N51" i="46"/>
  <c r="N14" i="46"/>
  <c r="O16" i="46"/>
  <c r="Q51" i="46"/>
  <c r="Q14" i="46"/>
  <c r="O51" i="46"/>
  <c r="O14" i="46"/>
  <c r="N16" i="46"/>
  <c r="M16" i="46"/>
  <c r="M35" i="46" s="1"/>
  <c r="P51" i="46"/>
  <c r="P14" i="46"/>
  <c r="Q16" i="46"/>
  <c r="P16" i="46"/>
  <c r="E100" i="46"/>
  <c r="G100" i="46"/>
  <c r="F100" i="46"/>
  <c r="H16" i="46"/>
  <c r="I16" i="46"/>
  <c r="G16" i="46"/>
  <c r="F16" i="46"/>
  <c r="E16" i="46"/>
  <c r="H101" i="46"/>
  <c r="H44" i="46"/>
  <c r="G76" i="47" s="1"/>
  <c r="I101" i="46"/>
  <c r="H70" i="47" s="1"/>
  <c r="E51" i="46"/>
  <c r="E44" i="46"/>
  <c r="D76" i="47" s="1"/>
  <c r="M51" i="46"/>
  <c r="F51" i="46"/>
  <c r="F14" i="46"/>
  <c r="C30" i="47"/>
  <c r="G14" i="46"/>
  <c r="G51" i="46"/>
  <c r="I13" i="46"/>
  <c r="I44" i="46"/>
  <c r="H76" i="47" s="1"/>
  <c r="H14" i="46"/>
  <c r="H51" i="46"/>
  <c r="F13" i="46"/>
  <c r="F44" i="46"/>
  <c r="E76" i="47" s="1"/>
  <c r="G44" i="46"/>
  <c r="F76" i="47" s="1"/>
  <c r="G13" i="46"/>
  <c r="I14" i="46"/>
  <c r="I51" i="46"/>
  <c r="E15" i="46"/>
  <c r="G58" i="46"/>
  <c r="F77" i="47" s="1"/>
  <c r="G15" i="46"/>
  <c r="F15" i="46"/>
  <c r="F58" i="46"/>
  <c r="E77" i="47" s="1"/>
  <c r="I15" i="46"/>
  <c r="I58" i="46"/>
  <c r="H77" i="47" s="1"/>
  <c r="H32" i="42"/>
  <c r="H39" i="42" s="1"/>
  <c r="H41" i="42" s="1"/>
  <c r="G32" i="47" s="1"/>
  <c r="I32" i="42"/>
  <c r="I39" i="42" s="1"/>
  <c r="I41" i="42" s="1"/>
  <c r="H32" i="47" s="1"/>
  <c r="F32" i="42"/>
  <c r="F39" i="42" s="1"/>
  <c r="F41" i="42" s="1"/>
  <c r="E32" i="47" s="1"/>
  <c r="E32" i="42"/>
  <c r="G32" i="42"/>
  <c r="G39" i="42" s="1"/>
  <c r="G41" i="42" s="1"/>
  <c r="F32" i="47" s="1"/>
  <c r="N35" i="46" l="1"/>
  <c r="Q35" i="46"/>
  <c r="P35" i="46"/>
  <c r="O35" i="46"/>
  <c r="F101" i="46"/>
  <c r="E70" i="47" s="1"/>
  <c r="F21" i="46"/>
  <c r="G101" i="46"/>
  <c r="F70" i="47" s="1"/>
  <c r="G21" i="46"/>
  <c r="E101" i="46"/>
  <c r="D70" i="47" s="1"/>
  <c r="E21" i="46"/>
  <c r="G70" i="47"/>
  <c r="C48" i="47"/>
  <c r="E42" i="42"/>
  <c r="D33" i="47" s="1"/>
  <c r="E39" i="42"/>
  <c r="E41" i="42" s="1"/>
  <c r="D32" i="47" s="1"/>
  <c r="G42" i="42"/>
  <c r="F33" i="47" s="1"/>
  <c r="F42" i="42"/>
  <c r="E33" i="47" s="1"/>
  <c r="D30" i="47"/>
  <c r="F30" i="47"/>
  <c r="H30" i="47"/>
  <c r="H48" i="47" s="1"/>
  <c r="G30" i="47"/>
  <c r="E30" i="47"/>
  <c r="G48" i="47" l="1"/>
  <c r="G49" i="47" s="1"/>
  <c r="I42" i="42"/>
  <c r="H33" i="47" s="1"/>
  <c r="H42" i="42"/>
  <c r="G33" i="47" s="1"/>
  <c r="E48" i="47"/>
  <c r="D48" i="47"/>
  <c r="H49" i="47"/>
  <c r="H43" i="47"/>
  <c r="H44" i="47"/>
  <c r="G43" i="47"/>
  <c r="F44" i="47" l="1"/>
  <c r="E49" i="47"/>
  <c r="E50" i="47"/>
  <c r="D50" i="47"/>
  <c r="D49" i="47"/>
  <c r="G44" i="47"/>
  <c r="E44" i="47"/>
  <c r="D44" i="47"/>
  <c r="D43" i="47"/>
  <c r="E43" i="47"/>
  <c r="F48" i="47"/>
  <c r="F43" i="47"/>
  <c r="H50" i="47"/>
  <c r="F49" i="47" l="1"/>
  <c r="G50" i="47"/>
  <c r="F50"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<sst xmlns="http://schemas.openxmlformats.org/spreadsheetml/2006/main" count="2631" uniqueCount="1273">
  <si>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</si>
  <si>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</si>
  <si>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</si>
  <si>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</si>
  <si>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</si>
  <si>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</si>
  <si>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</si>
  <si>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</si>
  <si>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</si>
  <si>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</si>
  <si>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</si>
  <si>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</si>
  <si>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</si>
  <si>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</si>
  <si>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</si>
  <si>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</si>
  <si>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</si>
  <si>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</si>
  <si>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</si>
  <si>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</si>
  <si>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</si>
  <si>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</si>
  <si>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</si>
  <si>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</si>
  <si>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</si>
  <si>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</si>
  <si>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</si>
  <si>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</si>
  <si>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</si>
  <si>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</si>
  <si>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</si>
  <si>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</si>
  <si>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</si>
  <si>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</si>
  <si>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</si>
  <si>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</si>
  <si>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</si>
  <si>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</si>
  <si>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</si>
  <si>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</si>
  <si>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</si>
  <si>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</si>
  <si>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</si>
  <si>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</si>
  <si>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</si>
  <si>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</si>
  <si>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</si>
  <si>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</si>
  <si>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</si>
  <si>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</si>
  <si>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</si>
  <si>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</si>
  <si>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</si>
  <si>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</si>
  <si>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</si>
  <si>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</si>
  <si>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</si>
  <si>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</si>
  <si>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</si>
  <si>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</si>
  <si>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</si>
  <si>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</si>
  <si>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</si>
  <si>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</si>
  <si>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</si>
  <si>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</si>
  <si>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</si>
  <si>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</si>
  <si>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</si>
  <si>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</si>
  <si>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</si>
  <si>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</si>
  <si>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</si>
  <si>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</si>
  <si>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</si>
  <si>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</si>
  <si>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</si>
  <si>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</si>
  <si>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</si>
  <si>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</si>
  <si>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</si>
  <si>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</si>
  <si>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</si>
  <si>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</si>
  <si>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</si>
  <si>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</si>
  <si>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</si>
  <si>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</si>
  <si>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</si>
  <si>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</si>
  <si>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</si>
  <si>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</si>
  <si>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</si>
  <si>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</si>
  <si>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</si>
  <si>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</si>
  <si>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</si>
  <si>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</si>
  <si>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</si>
  <si>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</si>
  <si>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</si>
  <si>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</si>
  <si>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</si>
  <si>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</si>
  <si>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</si>
  <si>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</si>
  <si>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</si>
  <si>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</si>
  <si>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</si>
  <si>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</si>
  <si>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</si>
  <si>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</si>
  <si>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</si>
  <si>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</si>
  <si>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</si>
  <si>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</si>
  <si>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</si>
  <si>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</si>
  <si>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</si>
  <si>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</si>
  <si>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</si>
  <si>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</si>
  <si>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</si>
  <si>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</si>
  <si>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</si>
  <si>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</si>
  <si>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</si>
  <si>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</si>
  <si>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</si>
  <si>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</si>
  <si>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</si>
  <si>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</si>
  <si>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</si>
  <si>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</si>
  <si>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</si>
  <si>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</si>
  <si>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</si>
  <si>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</si>
  <si>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</si>
  <si>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</si>
  <si>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</si>
  <si>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</si>
  <si>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</si>
  <si>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</si>
  <si>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</si>
  <si>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</si>
  <si>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</si>
  <si>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</si>
  <si>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</si>
  <si>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</si>
  <si>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</si>
  <si>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</si>
  <si>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</si>
  <si>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</si>
  <si>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</si>
  <si>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</si>
  <si>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</si>
  <si>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</si>
  <si>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</si>
  <si>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</si>
  <si>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</si>
  <si>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</si>
  <si>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</si>
  <si>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</si>
  <si>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</si>
  <si>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</si>
  <si>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</si>
  <si>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</si>
  <si>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</si>
  <si>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</si>
  <si>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</si>
  <si>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</si>
  <si>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</si>
  <si>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</si>
  <si>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</si>
  <si>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</si>
  <si>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</si>
  <si>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</si>
  <si>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</si>
  <si>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</si>
  <si>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</si>
  <si>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</si>
  <si>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</si>
  <si>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</si>
  <si>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</si>
  <si>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</si>
  <si>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</si>
  <si>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</si>
  <si>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</si>
  <si>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</si>
  <si>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</si>
  <si>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</si>
  <si>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</si>
  <si>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</si>
  <si>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</si>
  <si>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</si>
  <si>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</si>
  <si>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</si>
  <si>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</si>
  <si>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</si>
  <si>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</si>
  <si>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</si>
  <si>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</si>
  <si>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</si>
  <si>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</si>
  <si>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</si>
  <si>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</si>
  <si>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</si>
  <si>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</si>
  <si>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</si>
  <si>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</si>
  <si>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</si>
  <si>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</si>
  <si>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</si>
  <si>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</si>
  <si>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</si>
  <si>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</si>
  <si>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</si>
  <si>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</si>
  <si>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</si>
  <si>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</si>
  <si>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</si>
  <si>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</si>
  <si>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</si>
  <si>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</si>
  <si>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</si>
  <si>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</si>
  <si>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</si>
  <si>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</si>
  <si>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</si>
  <si>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</si>
  <si>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</si>
  <si>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</si>
  <si>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</si>
  <si>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</si>
  <si>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</si>
  <si>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</si>
  <si>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</si>
  <si>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</si>
  <si>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</si>
  <si>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</si>
  <si>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</si>
  <si>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</si>
  <si>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</si>
  <si>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</si>
  <si>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</si>
  <si>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</si>
  <si>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</si>
  <si>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</si>
  <si>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</si>
  <si>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</si>
  <si>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</si>
  <si>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</si>
  <si>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</si>
  <si>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</si>
  <si>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</si>
  <si>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</si>
  <si>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</si>
  <si>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</si>
  <si>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</si>
  <si>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</si>
  <si>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</si>
  <si>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</si>
  <si>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</si>
  <si>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</si>
  <si>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</si>
  <si>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</si>
  <si>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</si>
  <si>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</si>
  <si>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</si>
  <si>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</si>
  <si>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</si>
  <si>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</si>
  <si>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</si>
  <si>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</si>
  <si>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</si>
  <si>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</si>
  <si>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</si>
  <si>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</si>
  <si>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</si>
  <si>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</si>
  <si>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</si>
  <si>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</si>
  <si>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</si>
  <si>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</si>
  <si>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</si>
  <si>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</si>
  <si>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</si>
  <si>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</si>
  <si>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</si>
  <si>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</si>
  <si>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</si>
  <si>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</si>
  <si>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</si>
  <si>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</si>
  <si>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</si>
  <si>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</si>
  <si>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</si>
  <si>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</si>
  <si>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</si>
  <si>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</si>
  <si>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</si>
  <si>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</si>
  <si>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</si>
  <si>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</si>
  <si>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</si>
  <si>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</si>
  <si>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</si>
  <si>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</si>
  <si>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</si>
  <si>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</si>
  <si>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</si>
  <si>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</si>
  <si>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</si>
  <si>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</si>
  <si>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</si>
  <si>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</si>
  <si>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</si>
  <si>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</si>
  <si>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</si>
  <si>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</si>
  <si>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</si>
  <si>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</si>
  <si>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</si>
  <si>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</si>
  <si>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</si>
  <si>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</si>
  <si>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</si>
  <si>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</si>
  <si>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</si>
  <si>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</si>
  <si>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</si>
  <si>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</si>
  <si>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</si>
  <si>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</si>
  <si>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</si>
  <si>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</si>
  <si>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</si>
  <si>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</si>
  <si>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</si>
  <si>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</si>
  <si>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</si>
  <si>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</si>
  <si>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</si>
  <si>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</si>
  <si>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</si>
  <si>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</si>
  <si>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</si>
  <si>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</si>
  <si>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</si>
  <si>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</si>
  <si>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</si>
  <si>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</si>
  <si>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</si>
  <si>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</si>
  <si>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</si>
  <si>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</si>
  <si>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</si>
  <si>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</si>
  <si>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</si>
  <si>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</si>
  <si>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</si>
  <si>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</si>
  <si>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</si>
  <si>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</si>
  <si>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</si>
  <si>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</si>
  <si>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</si>
  <si>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</si>
  <si>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</si>
  <si>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</si>
  <si>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</si>
  <si>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</si>
  <si>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</si>
  <si>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</si>
  <si>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</si>
  <si>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</si>
  <si>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</si>
  <si>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</si>
  <si>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</si>
  <si>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</si>
  <si>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</si>
  <si>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</si>
  <si>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</si>
  <si>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</si>
  <si>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</si>
  <si>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</si>
  <si>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</si>
  <si>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</si>
  <si>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</si>
  <si>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</si>
  <si>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</si>
  <si>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</si>
  <si>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</si>
  <si>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</si>
  <si>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</si>
  <si>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</si>
  <si>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</si>
  <si>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</si>
  <si>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</si>
  <si>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</si>
  <si>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</si>
  <si>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</si>
  <si>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</si>
  <si>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</si>
  <si>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</si>
  <si>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</si>
  <si>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</si>
  <si>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</si>
  <si>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</si>
  <si>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</si>
  <si>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</si>
  <si>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</si>
  <si>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</si>
  <si>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</si>
  <si>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</si>
  <si>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</si>
  <si>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</si>
  <si>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</si>
  <si>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</si>
  <si>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</si>
  <si>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</si>
  <si>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</si>
  <si>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</si>
  <si>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</si>
  <si>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</si>
  <si>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</si>
  <si>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</si>
  <si>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</si>
  <si>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</si>
  <si>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</si>
  <si>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</si>
  <si>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</si>
  <si>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</si>
  <si>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</si>
  <si>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</si>
  <si>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</si>
  <si>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</si>
  <si>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</si>
  <si>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</si>
  <si>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</si>
  <si>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</si>
  <si>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</si>
  <si>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</si>
  <si>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</si>
  <si>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</si>
  <si>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</si>
  <si>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</si>
  <si>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</si>
  <si>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</si>
  <si>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</si>
  <si>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</si>
  <si>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</si>
  <si>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</si>
  <si>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</si>
  <si>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</si>
  <si>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</si>
  <si>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</si>
  <si>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</si>
  <si>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</si>
  <si>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</si>
  <si>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</si>
  <si>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</si>
  <si>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</si>
  <si>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</si>
  <si>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</si>
  <si>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</si>
  <si>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</si>
  <si>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</si>
  <si>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</si>
  <si>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</si>
  <si>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</si>
  <si>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</si>
  <si>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</si>
  <si>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</si>
  <si>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</si>
  <si>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</si>
  <si>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</si>
  <si>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</si>
  <si>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</si>
  <si>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</si>
  <si>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</si>
  <si>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</si>
  <si>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</si>
  <si>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</si>
  <si>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</si>
  <si>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</si>
  <si>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</si>
  <si>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</si>
  <si>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</si>
  <si>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</si>
  <si>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</si>
  <si>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</si>
  <si>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</si>
  <si>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</si>
  <si>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</si>
  <si>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</si>
  <si>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</si>
  <si>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</si>
  <si>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</si>
  <si>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</si>
  <si>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</si>
  <si>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</si>
  <si>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</si>
  <si>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</si>
  <si>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</si>
  <si>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</si>
  <si>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</si>
  <si>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</si>
  <si>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</si>
  <si>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</si>
  <si>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</si>
  <si>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</si>
  <si>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</si>
  <si>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</si>
  <si>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</si>
  <si>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</si>
  <si>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</si>
  <si>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</si>
  <si>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</si>
  <si>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</si>
  <si>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</si>
  <si>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</si>
  <si>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</si>
  <si>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</si>
  <si>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</si>
  <si>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</si>
  <si>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</si>
  <si>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</si>
  <si>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</si>
  <si>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</si>
  <si>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</si>
  <si>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</si>
  <si>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</si>
  <si>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</si>
  <si>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</si>
  <si>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</si>
  <si>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</si>
  <si>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</si>
  <si>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</si>
  <si>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</si>
  <si>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</si>
  <si>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</si>
  <si>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</si>
  <si>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</si>
  <si>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</si>
  <si>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</si>
  <si>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</si>
  <si>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</si>
  <si>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</si>
  <si>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</si>
  <si>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</si>
  <si>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</si>
  <si>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</si>
  <si>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</si>
  <si>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</si>
  <si>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</si>
  <si>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</si>
  <si>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</si>
  <si>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</si>
  <si>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</si>
  <si>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</si>
  <si>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</si>
  <si>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</si>
  <si>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</si>
  <si>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</si>
  <si>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</si>
  <si>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</si>
  <si>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</si>
  <si>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</si>
  <si>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</si>
  <si>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</si>
  <si>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</si>
  <si>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</si>
  <si>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</si>
  <si>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</si>
  <si>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</si>
  <si>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</si>
  <si>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</si>
  <si>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</si>
  <si>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</si>
  <si>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</si>
  <si>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</si>
  <si>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</si>
  <si>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</si>
  <si>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</si>
  <si>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</si>
  <si>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</si>
  <si>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</si>
  <si>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</si>
  <si>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</si>
  <si>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</si>
  <si>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</si>
  <si>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</si>
  <si>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</si>
  <si>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</si>
  <si>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</si>
  <si>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</si>
  <si>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</si>
  <si>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</si>
  <si>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</si>
  <si>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</si>
  <si>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</si>
  <si>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</si>
  <si>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</si>
  <si>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</si>
  <si>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</si>
  <si>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</si>
  <si>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</si>
  <si>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</si>
  <si>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</si>
  <si>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</si>
  <si>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</si>
  <si>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</si>
  <si>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</si>
  <si>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</si>
  <si>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</si>
  <si>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</si>
  <si>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</si>
  <si>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</si>
  <si>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</si>
  <si>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</si>
  <si>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</si>
  <si>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</si>
  <si>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</si>
  <si>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</si>
  <si>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</si>
  <si>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</si>
  <si>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</si>
  <si>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</si>
  <si>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</si>
  <si>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</si>
  <si>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</si>
  <si>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</si>
  <si>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</si>
  <si>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</si>
  <si>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</si>
  <si>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</si>
  <si>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</si>
  <si>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</si>
  <si>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</si>
  <si>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</si>
  <si>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</si>
  <si>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</si>
  <si>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</si>
  <si>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</si>
  <si>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</si>
  <si>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</si>
  <si>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</si>
  <si>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</si>
  <si>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</si>
  <si>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</si>
  <si>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</si>
  <si>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</si>
  <si>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</si>
  <si>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</si>
  <si>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</si>
  <si>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</si>
  <si>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</si>
  <si>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</si>
  <si>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</si>
  <si>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</si>
  <si>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</si>
  <si>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</si>
  <si>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</si>
  <si>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</si>
  <si>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</si>
  <si>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</si>
  <si>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</si>
  <si>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See notes below</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</si>
  <si>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</si>
  <si>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</si>
  <si>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</si>
  <si>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</si>
  <si>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</si>
  <si>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</si>
  <si>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</si>
  <si>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</si>
  <si>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</si>
  <si>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</si>
  <si>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</si>
  <si>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cycles year 1</t>
  </si>
  <si>
    <t>Drug</t>
  </si>
  <si>
    <t>Strength, container type, quantity</t>
  </si>
  <si>
    <t>Price</t>
  </si>
  <si>
    <t>VAT rate applicable</t>
  </si>
  <si>
    <t>Source</t>
  </si>
  <si>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</si>
  <si>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</si>
  <si>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</si>
  <si>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</si>
  <si>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</si>
  <si>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</si>
  <si>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</si>
  <si>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</si>
  <si>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</si>
  <si>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</si>
  <si>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</si>
  <si>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</si>
  <si>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</si>
  <si>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</si>
  <si>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</si>
  <si>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</si>
  <si>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</si>
  <si>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Staff time per appointment (minutes)</t>
  </si>
  <si>
    <t>Consultant mid</t>
  </si>
  <si>
    <t>Band 7 Mid</t>
  </si>
  <si>
    <t>Band 8a Bottom</t>
  </si>
  <si>
    <t>Appointments with x specialty</t>
  </si>
  <si>
    <t>pathology / diagnostics / radiology</t>
  </si>
  <si>
    <t>Staff time per test (minutes)</t>
  </si>
  <si>
    <t>Band 6 Mid</t>
  </si>
  <si>
    <t>Band 8a Mid</t>
  </si>
  <si>
    <t>Notes</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</si>
  <si>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</si>
  <si>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</si>
  <si>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</si>
  <si>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</si>
  <si>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</si>
  <si>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</si>
  <si>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</si>
  <si>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</si>
  <si>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</si>
  <si>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</si>
  <si>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</si>
  <si>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</si>
  <si>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</si>
  <si>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Regimen</t>
  </si>
  <si>
    <t>Drug name</t>
  </si>
  <si>
    <t>Admin method</t>
  </si>
  <si>
    <t>Pack type</t>
  </si>
  <si>
    <t>Strength (mg)</t>
  </si>
  <si>
    <t>Quantity in pack</t>
  </si>
  <si>
    <t>Weight (kg)</t>
  </si>
  <si>
    <t>VAT rate</t>
  </si>
  <si>
    <t>Annual cost</t>
  </si>
  <si>
    <t>IV</t>
  </si>
  <si>
    <t>vial</t>
  </si>
  <si>
    <t>&lt;spare row&gt;</t>
  </si>
  <si>
    <t>All components</t>
  </si>
  <si>
    <t>Administrations</t>
  </si>
  <si>
    <t>Treatment option</t>
  </si>
  <si>
    <t>HRG code</t>
  </si>
  <si>
    <t>HRG description</t>
  </si>
  <si>
    <t xml:space="preserve">prices </t>
  </si>
  <si>
    <t>are</t>
  </si>
  <si>
    <t>used</t>
  </si>
  <si>
    <t>on the</t>
  </si>
  <si>
    <t>left.</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</si>
  <si>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</si>
  <si>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</si>
  <si>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</si>
  <si>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</si>
  <si>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</si>
  <si>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</si>
  <si>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</si>
  <si>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</si>
  <si>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</si>
  <si>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</si>
  <si>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</si>
  <si>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</si>
  <si>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</si>
  <si>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</si>
  <si>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worksheet.</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</si>
  <si>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</si>
  <si>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</si>
  <si>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</si>
  <si>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</si>
  <si>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</si>
  <si>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</si>
  <si>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</si>
  <si>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</si>
  <si>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</si>
  <si>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</si>
  <si>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</si>
  <si>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</si>
  <si>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</si>
  <si>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</si>
  <si>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</si>
  <si>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</si>
  <si>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</si>
  <si>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</si>
  <si>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</si>
  <si>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</si>
  <si>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</si>
  <si>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Capacity impact on nursing staffing - hours</t>
  </si>
  <si>
    <t>Capacity impact on pharmacy</t>
  </si>
  <si>
    <t>Capacity impact on pathology/ radiology /diagnostics</t>
  </si>
  <si>
    <t>Imaging MRI scans - change in number to current practice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</si>
  <si>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</si>
  <si>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</si>
  <si>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</si>
  <si>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</si>
  <si>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</si>
  <si>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</si>
  <si>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</si>
  <si>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</si>
  <si>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</si>
  <si>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</si>
  <si>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</si>
  <si>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</si>
  <si>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</si>
  <si>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</si>
  <si>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</si>
  <si>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All options</t>
  </si>
  <si>
    <t>Administrations - change in duration (hours) to current practice</t>
  </si>
  <si>
    <t>Pharmacy</t>
  </si>
  <si>
    <t>Appointments with x specialty - change to current practice</t>
  </si>
  <si>
    <t>Pathology/ radiology/ diagnostics</t>
  </si>
  <si>
    <t>Imaging MRI scans</t>
  </si>
  <si>
    <t>Unit cost</t>
  </si>
  <si>
    <t>Capacity impact (national prices)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</si>
  <si>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</si>
  <si>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</si>
  <si>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</si>
  <si>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</si>
  <si>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</si>
  <si>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</si>
  <si>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</si>
  <si>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</si>
  <si>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</si>
  <si>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</si>
  <si>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</si>
  <si>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</si>
  <si>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</si>
  <si>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</si>
  <si>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</si>
  <si>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</si>
  <si>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</si>
  <si>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</si>
  <si>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</si>
  <si>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</si>
  <si>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</si>
  <si>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</si>
  <si>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</si>
  <si>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</si>
  <si>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</si>
  <si>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</si>
  <si>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</si>
  <si>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</si>
  <si>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</si>
  <si>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</si>
  <si>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</si>
  <si>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</si>
  <si>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</si>
  <si>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</si>
  <si>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</si>
  <si>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</si>
  <si>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</si>
  <si>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</si>
  <si>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</si>
  <si>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</si>
  <si>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</si>
  <si>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</si>
  <si>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</si>
  <si>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</si>
  <si>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</si>
  <si>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</si>
  <si>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</si>
  <si>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</si>
  <si>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</si>
  <si>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</si>
  <si>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</si>
  <si>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</si>
  <si>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</si>
  <si>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</si>
  <si>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</si>
  <si>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</si>
  <si>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</si>
  <si>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</si>
  <si>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</si>
  <si>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</si>
  <si>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</si>
  <si>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</si>
  <si>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</si>
  <si>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</si>
  <si>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</si>
  <si>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</si>
  <si>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</si>
  <si>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</si>
  <si>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</si>
  <si>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</si>
  <si>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</si>
  <si>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</si>
  <si>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</si>
  <si>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</si>
  <si>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</si>
  <si>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</si>
  <si>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</si>
  <si>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</si>
  <si>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</si>
  <si>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</si>
  <si>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</si>
  <si>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</si>
  <si>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</si>
  <si>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</si>
  <si>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</si>
  <si>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</si>
  <si>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</si>
  <si>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</si>
  <si>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</si>
  <si>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</si>
  <si>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</si>
  <si>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</si>
  <si>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</si>
  <si>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</si>
  <si>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</si>
  <si>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</si>
  <si>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</si>
  <si>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</si>
  <si>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</si>
  <si>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</si>
  <si>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</si>
  <si>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</si>
  <si>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</si>
  <si>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</si>
  <si>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</si>
  <si>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</si>
  <si>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</si>
  <si>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</si>
  <si>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</si>
  <si>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</si>
  <si>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 xml:space="preserve">-where a topic publishes in month 6 of a financial year with 90 day implementation, it is assumed: </t>
  </si>
  <si>
    <t>© NICE 2025. All rights reserved. Subject to Notice of rights.</t>
  </si>
  <si>
    <t>Haematology</t>
  </si>
  <si>
    <t>Intravenous</t>
  </si>
  <si>
    <t>NHS England</t>
  </si>
  <si>
    <t>3, Disorders of blood</t>
  </si>
  <si>
    <t>Managed access</t>
  </si>
  <si>
    <t xml:space="preserve">People aged 12 years and over </t>
  </si>
  <si>
    <t>People aged 12 and over forecast at year 5</t>
  </si>
  <si>
    <t>Males aged 12 and over</t>
  </si>
  <si>
    <t>Females aged 12 and over</t>
  </si>
  <si>
    <t>12 years and over</t>
  </si>
  <si>
    <t>Total number of people who have sickle cell aged  ≥ 12 years</t>
  </si>
  <si>
    <t>NHR-Annual-Report-23-24.pdf</t>
  </si>
  <si>
    <t>Sickle cell registrations, National Haemoglobinopathy Registry, Annual Data Report 2023-24.  Page 3 totals 15,031 people for year 23/24.  As per figure 3 on page 5, 78.3% of people appear to be 12 years or older.</t>
  </si>
  <si>
    <t>National Haemoglobinopathy Registry monthly status report for March 24.  Page 5 totals 11,361 with these genotypes out of a total of 16,228</t>
  </si>
  <si>
    <t>NHR_Public_Report</t>
  </si>
  <si>
    <t xml:space="preserve">Of whom a human leukocyte antigen-matched related haematopoietic stem cell donor is not available </t>
  </si>
  <si>
    <t>Based on data from Vertex Internal Forecasts in 2021/22</t>
  </si>
  <si>
    <t>Exagamglogene autotemcel</t>
  </si>
  <si>
    <t>Supportive drug costs - plerixafor</t>
  </si>
  <si>
    <t>Supportive drug costs - defibrotide</t>
  </si>
  <si>
    <t>Treatment day(s)</t>
  </si>
  <si>
    <t>Single dose IV infusion</t>
  </si>
  <si>
    <t>local input</t>
  </si>
  <si>
    <t>Vial for IV infusion:  20 mg fixed dose or 0.24 mg/kg of body weight for patients weighing ≤ 83 kg. 0.24 mg/kg of body weight for patients weighing &gt; 83 kg.</t>
  </si>
  <si>
    <t>NHSE list price</t>
  </si>
  <si>
    <t>Portfolio and prices - Hospitals and Science - NHSBT (blood.co.uk)</t>
  </si>
  <si>
    <t>Blood transfusions</t>
  </si>
  <si>
    <t>Hydroxycarbamide</t>
  </si>
  <si>
    <t>100 x 500mg capsules</t>
  </si>
  <si>
    <t>BNF</t>
  </si>
  <si>
    <t>Average weight (kg) people aged 12-17</t>
  </si>
  <si>
    <t>Average weight (kg) adults aged 18 and over</t>
  </si>
  <si>
    <t>Estimated average weight (amend locally)</t>
  </si>
  <si>
    <t>Kg</t>
  </si>
  <si>
    <t>Proportion of popln</t>
  </si>
  <si>
    <t>Weighted average (kg)</t>
  </si>
  <si>
    <t>Average height and weight - Proxim (groupeproxim.ca)</t>
  </si>
  <si>
    <t>Part 4: Trends - NHS England Digital</t>
  </si>
  <si>
    <t>Mid-point used men/women.</t>
  </si>
  <si>
    <t>Pre-mobilisation</t>
  </si>
  <si>
    <t>per patient/yr</t>
  </si>
  <si>
    <t>Specialty  haematology</t>
  </si>
  <si>
    <t>Screening clinicial assessment visits with haematologist</t>
  </si>
  <si>
    <t>Screening appointments with haematologist</t>
  </si>
  <si>
    <t>Specialty  fertility</t>
  </si>
  <si>
    <t>Fetility preservation</t>
  </si>
  <si>
    <t>per female patient</t>
  </si>
  <si>
    <t>Staff time per oocyte recovery (minutes)</t>
  </si>
  <si>
    <t>per male patient</t>
  </si>
  <si>
    <t>Collection of sperm (mins)</t>
  </si>
  <si>
    <t xml:space="preserve">Medical </t>
  </si>
  <si>
    <t>Stem cell harvesting</t>
  </si>
  <si>
    <t>Duration of procedure (minutes)</t>
  </si>
  <si>
    <t>Exa-cel treatment</t>
  </si>
  <si>
    <t>Dose per patient</t>
  </si>
  <si>
    <t>Treatment</t>
  </si>
  <si>
    <t>Average duration of infusion</t>
  </si>
  <si>
    <t>Post Exa-cel treatment</t>
  </si>
  <si>
    <t>Inpatient post infusion care (days)</t>
  </si>
  <si>
    <t>Number of transfusions standard care</t>
  </si>
  <si>
    <t>per patient per year</t>
  </si>
  <si>
    <t>per patient per transfusion</t>
  </si>
  <si>
    <t>In-house number of aseptic unit preparations</t>
  </si>
  <si>
    <t>Bought-in number of aseptic unit preparations</t>
  </si>
  <si>
    <t>handling time per prep</t>
  </si>
  <si>
    <t>Pre-mobilisation screening and fertility</t>
  </si>
  <si>
    <t>Screening appointments per company model.</t>
  </si>
  <si>
    <t>Fertility attendance is assumed prior to mobilisation treatment. The time taken for female egg retrieval is per link below. One hour is assumed (15 minutes for procedure and mid point of 30-60 minutes recovery time).</t>
  </si>
  <si>
    <t>The Egg Retrieval Process (extendfertility.com)</t>
  </si>
  <si>
    <t>Single dose exa-cel infusion assumed 2 hours infusion time.</t>
  </si>
  <si>
    <t>NHSE:  Following administration, it is anticipated patients will receive inpatient post infusion care for approximately 4 weeks. An intensive care bed is not needed for treatment to commence.</t>
  </si>
  <si>
    <t>Calculated as 28 days x 120 minutes nurse time per day - observation  / tests / notes ect.</t>
  </si>
  <si>
    <t>Average taken.</t>
  </si>
  <si>
    <t>Standard care</t>
  </si>
  <si>
    <t>Quantity</t>
  </si>
  <si>
    <t>Total contents (mg)</t>
  </si>
  <si>
    <t>Frequency (days)</t>
  </si>
  <si>
    <t>Cycles</t>
  </si>
  <si>
    <t xml:space="preserve">Cost </t>
  </si>
  <si>
    <t>Single dose intravenous infusion treatment</t>
  </si>
  <si>
    <t>Average number of vials assumed per day</t>
  </si>
  <si>
    <t>Cost per vial/ course</t>
  </si>
  <si>
    <t>Daily dose of 20 mg fixed dose or 0.24 mg/kg of body weight for patients weighing ≤ 83 kg. 0.24 mg/kg of body weight for patients weighing &gt; 83 kg.</t>
  </si>
  <si>
    <t>Plerixafor</t>
  </si>
  <si>
    <t xml:space="preserve">6.25 mg/kg body weight every 6 hours (up to a max of 25 mg/kg/day) for a minimum of 21 days </t>
  </si>
  <si>
    <t>Defibrotide</t>
  </si>
  <si>
    <t>Duration of treatment of plerixafor is between 2-4 days. The treatment is administered via subcutaneous injection (see NHSE policy below)</t>
  </si>
  <si>
    <t>Plerixafor-for-stem-cell-mobilisation.pdf (england.nhs.uk)</t>
  </si>
  <si>
    <t>Tariff 2024/25</t>
  </si>
  <si>
    <t>SA44A</t>
  </si>
  <si>
    <t>Single Plasma Exchange or Other Intravenous Blood Transfusion, 19 years and over (day case)</t>
  </si>
  <si>
    <t>SA44B</t>
  </si>
  <si>
    <t>Single Plasma Exchange or Other Intravenous Blood Transfusion, 18 years and under (day case)</t>
  </si>
  <si>
    <t>Comparator - blood transfusions</t>
  </si>
  <si>
    <t>Units per admin</t>
  </si>
  <si>
    <t>Based on 2023/25 National Tariff Payment System -  24/25 prices</t>
  </si>
  <si>
    <t>https://www.england.nhs.uk/pay-syst/national-tariff/national-tariff-payment-system/#National-Tariff-Payment-System</t>
  </si>
  <si>
    <t>Based on feedback from clinical experts on factors affecting eligibility and patient choice, we estimate the split of patients to be 80% adults and 20% paediatrics.  Can be amended locally.</t>
  </si>
  <si>
    <t>12 -17 years</t>
  </si>
  <si>
    <t>over 18 years</t>
  </si>
  <si>
    <t>Subcutaneous injection</t>
  </si>
  <si>
    <t>Vial for IV infusion: 6.25 mg/kg body weight every 6 hours (up to a max of 25 mg/kg/day) for a minimum of 21 days. Pack of 10 200mg vials.</t>
  </si>
  <si>
    <t>Treatment days (assumption)</t>
  </si>
  <si>
    <t xml:space="preserve">Portion of people treatment will apply to </t>
  </si>
  <si>
    <t>Defibrotide assumed to be given via IV infusion every 6 hours over 21 days in hospital setting.</t>
  </si>
  <si>
    <t xml:space="preserve">Defibrotide will only be needed in cases of  established veno-occlusive disease (VOD).  The population experiencing VOD is set at a prudent rate of 50% which can be amended locally.  Duration of treatment of defibrotide is a minimum of 21 days. </t>
  </si>
  <si>
    <t xml:space="preserve">Gender split used is from NHR annual report for 21/22 which cites 53% of sickle cell patients are female. </t>
  </si>
  <si>
    <t>https://nhr.mdsas.com/wp-content/uploads/2024/03/NHR-Annual-Report-2021-2022.pdf</t>
  </si>
  <si>
    <t>Split can be altered to reflect local circumstances.</t>
  </si>
  <si>
    <t>Drug cost workings - exagamglogene autotemcel</t>
  </si>
  <si>
    <t>In CLIMB SCD‑121, 19% of people withdrew and did not complete exa‑cel treatment.  The EAG and clinical experts stated that it is difficult to predict the number of people who will withdraw from treatment in clinical practice.</t>
  </si>
  <si>
    <t>People selected for treatment with exagamglogene autotemcel (Intention to treat population) 12-17 years</t>
  </si>
  <si>
    <t>People selected for treatment with exagamglogene autotemcel (Intention to treat population) over 18 years</t>
  </si>
  <si>
    <t>People who drop out following pre-mobilisation stage 12-17 years</t>
  </si>
  <si>
    <t>People who drop out following pre-mobilisation stage over 18 years</t>
  </si>
  <si>
    <t>People progressing to treatment 12-17 years</t>
  </si>
  <si>
    <t>Fertility preservation</t>
  </si>
  <si>
    <t>IV transfusions -item code BC004</t>
  </si>
  <si>
    <t>NHS Blood and Transplant price list 24-25</t>
  </si>
  <si>
    <t>Cost</t>
  </si>
  <si>
    <t>Item code BC004, full cost price list 2024-25</t>
  </si>
  <si>
    <t>Red Cells for Exchange Transfusion</t>
  </si>
  <si>
    <t>Drug cost workings - standard care with hydroxycarbamide</t>
  </si>
  <si>
    <t>15mg/kg daily</t>
  </si>
  <si>
    <t>hydroxycarbamide</t>
  </si>
  <si>
    <t xml:space="preserve">oral </t>
  </si>
  <si>
    <t xml:space="preserve">packet </t>
  </si>
  <si>
    <t>Dose (mg/kg)</t>
  </si>
  <si>
    <t xml:space="preserve">Number of days </t>
  </si>
  <si>
    <t>Dose per day (mg)</t>
  </si>
  <si>
    <t>Total number of packs needed for treatment/year</t>
  </si>
  <si>
    <t xml:space="preserve">Cost per pack </t>
  </si>
  <si>
    <t xml:space="preserve">Cost per year </t>
  </si>
  <si>
    <t>Supportive drug costs-  exagamglogene autotemcel</t>
  </si>
  <si>
    <t>Item Description</t>
  </si>
  <si>
    <t xml:space="preserve">timings and staff grade assumed - please amend to reflect local circumstances </t>
  </si>
  <si>
    <t>People selected for treatment with exagamglogene autotemcel (Exa-cel)</t>
  </si>
  <si>
    <t xml:space="preserve">Of whom people who drop out following pre-mobilisation stage </t>
  </si>
  <si>
    <t>Of whom will continue to complete treatment</t>
  </si>
  <si>
    <t>Exagamglogene autotemcel (Exa-cel)</t>
  </si>
  <si>
    <t>Eligible population 12- 17 years</t>
  </si>
  <si>
    <t>Eligible population over 18 years</t>
  </si>
  <si>
    <t>Total eligible population</t>
  </si>
  <si>
    <t>12-17 year olds with intention to be treated with exagamglogene autotemcel</t>
  </si>
  <si>
    <t>Over 18 year olds with the intention to be treated with exagamglogene autotemcel</t>
  </si>
  <si>
    <t>Total people intending to be treated with exagamglogene autotemcel</t>
  </si>
  <si>
    <t xml:space="preserve">Pre-mobilisation - blood transfusions </t>
  </si>
  <si>
    <t>Standard care - Blood units costs</t>
  </si>
  <si>
    <t>Resource impact (cash) year on year</t>
  </si>
  <si>
    <t>Cumulative number of people assumed to have been treated with exagamglogene autotemcel</t>
  </si>
  <si>
    <t>Eligible population 12 -17 years</t>
  </si>
  <si>
    <t>Units per admin and number of cycles  as per economic modelling, which states patients being transfused would receive 10 units every 6 weeks on average as per table 6 in company submission - please amend locally.</t>
  </si>
  <si>
    <t>Cost per unit</t>
  </si>
  <si>
    <t>ICER_SCD_Evidence-Report_031220-FOR-PUBLICATION.pdf</t>
  </si>
  <si>
    <t>Assumed 16% of eligible population will be receiving blood transfusions as per base case.  Sourced from</t>
  </si>
  <si>
    <t>NHR data suggests lower proportion of people with SCD are receiving transfusions, please review locally.</t>
  </si>
  <si>
    <t>Portion of people receiving treatment with hydroxycarbamide as per economic model- please review locally as general SCD population receiving this treatment is lower across the general SCD population.</t>
  </si>
  <si>
    <t>People receiving exa-cel - adults</t>
  </si>
  <si>
    <t>People receiving exa-cel - paediatric</t>
  </si>
  <si>
    <t xml:space="preserve">Imaging MRI scans - brain - number of scans </t>
  </si>
  <si>
    <t xml:space="preserve">Imaging MRI scans - brain - time (hours) </t>
  </si>
  <si>
    <t>Time per scan (mins)</t>
  </si>
  <si>
    <t xml:space="preserve">Transcranial Doppler (TCD) ultrasound - number of tests </t>
  </si>
  <si>
    <t>Transcranial Doppler (TCD) ultrasound tests</t>
  </si>
  <si>
    <t xml:space="preserve">Transcranial Doppler (TCD) ultrasound -hours </t>
  </si>
  <si>
    <t>TCD tests - change in number to current practice</t>
  </si>
  <si>
    <t xml:space="preserve">Portion selected to receive exagamglogene (intention to treat) who progress to treatment 12- 17 years </t>
  </si>
  <si>
    <t xml:space="preserve">Portion selected to receive exagamglogene (intention to treat) who progress to treatment over 18 years </t>
  </si>
  <si>
    <t xml:space="preserve">Total  treated population </t>
  </si>
  <si>
    <t xml:space="preserve">People treated with exagamglogene over 18 years </t>
  </si>
  <si>
    <t xml:space="preserve">People treated with exagamglogene  12- 17 years </t>
  </si>
  <si>
    <t>The intention to treat population who do not go onto receive treatment will incur pre-mobilisation costs.  The above figure should be reviewed locally, bearing in mind that some people selected for treatment may not have enough cells for editing.</t>
  </si>
  <si>
    <t>Supportive drug - plerixafor</t>
  </si>
  <si>
    <t>Supportive drug  - defibrotide</t>
  </si>
  <si>
    <t>People no longer requiring blood transfusions owing to successful treatment</t>
  </si>
  <si>
    <t>People no longer requiring hydroxycarbamide owing to successful treatment</t>
  </si>
  <si>
    <t>Less hydroxycarbamide savings - standard care saving due to successful treatment</t>
  </si>
  <si>
    <t>People receiving standard care with no intention to treat</t>
  </si>
  <si>
    <t>Total above obtained by adding together rows 13 and 20 to avoid double counting</t>
  </si>
  <si>
    <t xml:space="preserve">Supportive blood transfusions - pre mobilisation </t>
  </si>
  <si>
    <t xml:space="preserve">Portion of which were being treated with blood transfusions </t>
  </si>
  <si>
    <t>Portion of which were being treated with hydroxycarbamide</t>
  </si>
  <si>
    <t>See notes below - please adjust to reflect local population</t>
  </si>
  <si>
    <t xml:space="preserve">Net cost/saving </t>
  </si>
  <si>
    <t>* These outline the estimated savings in blood transfusions as a result of treatment with exagamglogene autotemcel.</t>
  </si>
  <si>
    <t xml:space="preserve">Annual Saving </t>
  </si>
  <si>
    <t>Portion of those who also received chelation therapy</t>
  </si>
  <si>
    <t>People no longer needing blood transfusions due to successful treatment with exagamglogene autotemcel</t>
  </si>
  <si>
    <t>People no longer needing chelation therapy due to successful treatment with exagamglogene autotemcel</t>
  </si>
  <si>
    <t>People no longer needing hydroxycarbamide due to successful treatment with exagamglogene autotemcel</t>
  </si>
  <si>
    <t>Deferoxamine</t>
  </si>
  <si>
    <t>Chelation therapy -deferiprone</t>
  </si>
  <si>
    <t>Chelation therapy -deferasirox</t>
  </si>
  <si>
    <t>Blood transfusions - transfusions and chelation therapy avoided because of treatment with exa-cel*</t>
  </si>
  <si>
    <t xml:space="preserve">Chelation therapy </t>
  </si>
  <si>
    <t>Chelation therapy costs</t>
  </si>
  <si>
    <t>90 mg tablets, pack of 30</t>
  </si>
  <si>
    <t>NHS Electronic Drug Tariff</t>
  </si>
  <si>
    <t>500 mg tablets, pack of 100</t>
  </si>
  <si>
    <t>500mg powder for solution for injection vials, pack of 10</t>
  </si>
  <si>
    <t>Chelation therapy -deferoxamine (desferrioxamine)</t>
  </si>
  <si>
    <t>oral</t>
  </si>
  <si>
    <t>Average daily dose lie between 20 and 60 mg/kg/day; 5 doses per week</t>
  </si>
  <si>
    <t>14 mg/kg/day, 7 days a week</t>
  </si>
  <si>
    <t>Given as 25 mg/kg body weight, orally, three times a day for a total daily dose of 75 mg/kg body weight</t>
  </si>
  <si>
    <t>Deferiprone (DFP)</t>
  </si>
  <si>
    <t>Deferasirox (DFX)</t>
  </si>
  <si>
    <t>packet</t>
  </si>
  <si>
    <t>Cost per pack</t>
  </si>
  <si>
    <t>Number of packs required</t>
  </si>
  <si>
    <t>BNF prices checked 20/01/2025</t>
  </si>
  <si>
    <t>Savings in blood transfusions and chelation therapy</t>
  </si>
  <si>
    <t>Lung Diffusion Testing (DLCO) - number of tests</t>
  </si>
  <si>
    <t>Lung Diffusion Testing (DLCO)tests</t>
  </si>
  <si>
    <t>DLCO tests - change in number to current practice</t>
  </si>
  <si>
    <t>Lung Diffusion Testing (DLCO) - hours</t>
  </si>
  <si>
    <t>Time per test (mins)</t>
  </si>
  <si>
    <t>hours change in number to current practice</t>
  </si>
  <si>
    <t>Echocardiogram - number of tests</t>
  </si>
  <si>
    <t>Echocardiogram  tests</t>
  </si>
  <si>
    <t>Echocardiogram - hours</t>
  </si>
  <si>
    <t>Screening clinicial assessment visits with haematologist - hours</t>
  </si>
  <si>
    <t>Time per appt (mins)</t>
  </si>
  <si>
    <t>Fertility</t>
  </si>
  <si>
    <t>People receiving exa-cel - female</t>
  </si>
  <si>
    <t>People receiving exa-cel - male</t>
  </si>
  <si>
    <t>Appointments with specialist for fertility preservation  - oocyte recovery / sperm collection</t>
  </si>
  <si>
    <t>Appointments with specialist for fertility preservation  - oocyte recovery / sperm collection time in hours</t>
  </si>
  <si>
    <t>Pre Exa-cel treatment</t>
  </si>
  <si>
    <t xml:space="preserve">Duration of stay per patient </t>
  </si>
  <si>
    <t xml:space="preserve">Mobilisation cycles  - length of stay prior to treatment  </t>
  </si>
  <si>
    <t xml:space="preserve">per patient </t>
  </si>
  <si>
    <t>per patient per procedure</t>
  </si>
  <si>
    <t>Harvesting procedure - apheresis</t>
  </si>
  <si>
    <t xml:space="preserve">Harvesting procedure - apheresis -hours </t>
  </si>
  <si>
    <t>Time per procedure (mins)</t>
  </si>
  <si>
    <t>Exa-cel treatments - number</t>
  </si>
  <si>
    <t>Exa-cel treatments - treatment hours</t>
  </si>
  <si>
    <t>Hospital stay</t>
  </si>
  <si>
    <t xml:space="preserve">Hospital stay </t>
  </si>
  <si>
    <t>Bed days - change to current practice</t>
  </si>
  <si>
    <t xml:space="preserve">Blood transfusions </t>
  </si>
  <si>
    <t xml:space="preserve">Standard care </t>
  </si>
  <si>
    <t>per patient</t>
  </si>
  <si>
    <t>People receiving exa-cel - paediatric  - transfusions prior to treatment</t>
  </si>
  <si>
    <t>People receiving exa-cel - adults transfusions prior to treatment</t>
  </si>
  <si>
    <t>People receiving exa-cel - paediatric  - transfusions saved post treatment</t>
  </si>
  <si>
    <t>People receiving exa-cel -  - transfusions saved post treatment</t>
  </si>
  <si>
    <t>People receiving exa-cel -  transfusions prior to treatment</t>
  </si>
  <si>
    <t xml:space="preserve">Blood transfusions- difference in number of transfusions </t>
  </si>
  <si>
    <t>Blood transfusions- difference in hours</t>
  </si>
  <si>
    <t>People receiving exa-cel -adults  - transfusions saved post treatment</t>
  </si>
  <si>
    <t>Mobilisation</t>
  </si>
  <si>
    <t>Mobilisation administrations (hospital bed days)</t>
  </si>
  <si>
    <t>Post treatment hospital stay - bed days</t>
  </si>
  <si>
    <t>Treatment  - length of stay post transplant</t>
  </si>
  <si>
    <t>Transcranial Doppler (TCD) ultrasound - change in number to current practice</t>
  </si>
  <si>
    <t>Lung Diffusion Testing (DLCO) -change in number to current practice</t>
  </si>
  <si>
    <t>Echocardiogram - change in number to current practice</t>
  </si>
  <si>
    <t>Capacity impact on  fertility service</t>
  </si>
  <si>
    <t>Appointments with fertility specialty - change</t>
  </si>
  <si>
    <t>Capacity impact on  haematology screening service</t>
  </si>
  <si>
    <t>Appointments with haematology specialty - change</t>
  </si>
  <si>
    <t>Capacity impact on standard care transfusions after treatment</t>
  </si>
  <si>
    <t>Number of blood transfusions (transfusions avoided from people achieving transfusion independence)</t>
  </si>
  <si>
    <t>Cumulative transfusions avoided</t>
  </si>
  <si>
    <t>Transfusions prior to treatment</t>
  </si>
  <si>
    <t>Blood transfusions - difference in hours</t>
  </si>
  <si>
    <t>Number of MRI scans and tests as per company submission</t>
  </si>
  <si>
    <t>In-house number of aseptic unit preparations- plerixafor</t>
  </si>
  <si>
    <t>Bought-in number of aseptic unit preparations- plerixafor</t>
  </si>
  <si>
    <t xml:space="preserve">Per patient </t>
  </si>
  <si>
    <t>Minutes per preparation</t>
  </si>
  <si>
    <t>Administrations - change in number to current practice</t>
  </si>
  <si>
    <t xml:space="preserve">Number of aseptic pharmacy preparations </t>
  </si>
  <si>
    <t>Time of aeseptic preaparations - hours</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</si>
  <si>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</si>
  <si>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</si>
  <si>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</si>
  <si>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</si>
  <si>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Secondary care - acute.  Limited to authorised providers only</t>
  </si>
  <si>
    <t>Exagamglogene autotemcel for treating severe</t>
  </si>
  <si>
    <t>sickle cell disease in people 12 years and over</t>
  </si>
  <si>
    <t>Sickle cell disease</t>
  </si>
  <si>
    <t>Number of people with sickle cell disease genotype (HbSS, HbS/β0, HbS/β+)</t>
  </si>
  <si>
    <t>Number of people with ≥2 VOC events/year for 2 consecutive years</t>
  </si>
  <si>
    <t>Number of people who are fit for treatment procedure</t>
  </si>
  <si>
    <t>Estimated at 85% (range 70-90%) of  population. NHSE &amp; clinical expert opinion.</t>
  </si>
  <si>
    <t>Proportion of population who are 18 years and over</t>
  </si>
  <si>
    <t>eMIT</t>
  </si>
  <si>
    <t>As per economic modelling, 34.6% of those receiving transfusions are expected to receive chelation therapy in addition.  Please review this assumption and amend to reflect local population.</t>
  </si>
  <si>
    <t>Treatment proportions of chelation therapy taken from the economic modelling.</t>
  </si>
  <si>
    <t>Total people selected for treatment each year (intention to treat population)</t>
  </si>
  <si>
    <t>Cumulative number of people treated in previous years</t>
  </si>
  <si>
    <t>Exagamglogene autotemcel -                18 and over</t>
  </si>
  <si>
    <t>Exagamglogene autotemcel -           age 12-17</t>
  </si>
  <si>
    <t xml:space="preserve">MRI scans-brain </t>
  </si>
  <si>
    <t>MRI scans - brain</t>
  </si>
  <si>
    <t>Transcranial Doppler (TCD) ultrasound</t>
  </si>
  <si>
    <t xml:space="preserve">Transcranial Doppler (TCD) ultrasound </t>
  </si>
  <si>
    <t>Lung Diffusion Testing (DLCO)</t>
  </si>
  <si>
    <t xml:space="preserve">Lung Diffusion Testing (DLCO) </t>
  </si>
  <si>
    <t xml:space="preserve">Echocardiogram </t>
  </si>
  <si>
    <t>Exagamglogene autotemcel for treating severe sickle cell disease in people 12 years and over</t>
  </si>
  <si>
    <t>committee-papers</t>
  </si>
  <si>
    <t>Shah et al. (2020), Shah et al. (2019), and Desai et al. (2020) as per company submission found in the</t>
  </si>
  <si>
    <t xml:space="preserve">See page 137 of company submission found in the </t>
  </si>
  <si>
    <t>Market share estimates are as per NHSE estimates covering initial 4 years with initial year estimation reduced to 10/12 months to reflect proportion of year treatment is effective from.</t>
  </si>
  <si>
    <t>Blood transfusions stop after people receive treatment with exagamglogene autotemcel.  This is expected to occur in the year after the normalisation period following treatment. The template takes a prudent approach assuming resources released occur in year 2.</t>
  </si>
  <si>
    <t>Stages Exa-cel</t>
  </si>
  <si>
    <t>Screening clinical assessment visits with haematologist</t>
  </si>
  <si>
    <t>In-house number of aseptic unit preparations- busulfan</t>
  </si>
  <si>
    <t>Bought-in number of aseptic unit preparations- busulfan</t>
  </si>
  <si>
    <t xml:space="preserve">Busulfan not included in the cost calculations above because these are included within the tariff for the procedure and therefore do not represent additional costs (per the NHSE submission). </t>
  </si>
  <si>
    <t>Cost excluding VAT</t>
  </si>
  <si>
    <t>Notes:</t>
  </si>
  <si>
    <t>Pre treatment mobilisation and harvesting (apart from drug costs of plerexifor and defibrotide)  - Elective Inpatient stay for peripheral blood stem cell harvest and myeloablative conditioning.</t>
  </si>
  <si>
    <t>Screening and fertility costs.</t>
  </si>
  <si>
    <t>Supporting red blood cell and platelet transfusions during normalisation phase (blood transfusions assumed to stop the year after receiviing exa-cel)</t>
  </si>
  <si>
    <t>Echocardiogram at pre-mobilisation.</t>
  </si>
  <si>
    <t>Proportion of population who are male/female (fertility preservation)</t>
  </si>
  <si>
    <t>Male</t>
  </si>
  <si>
    <t>Female</t>
  </si>
  <si>
    <t xml:space="preserve">Assumed to include pre  and post transfusion hospital stay </t>
  </si>
  <si>
    <t>Intention to treat who do not progress to receiving Exaa-cel treatment - number</t>
  </si>
  <si>
    <t>People not progressing to exa-cel treatment - paediatric</t>
  </si>
  <si>
    <t>People not progressing to exa-cel treatment- adults</t>
  </si>
  <si>
    <t>Intention to treat population who do not go onto receive treatment</t>
  </si>
  <si>
    <t>Published: February 2025</t>
  </si>
  <si>
    <t>TA1044</t>
  </si>
  <si>
    <t xml:space="preserve">Service delivery cost </t>
  </si>
  <si>
    <t>Cost per person</t>
  </si>
  <si>
    <t>Description</t>
  </si>
  <si>
    <t>Adverse events not included as not significantly different to SoC. People who receive exa-cel may opt to have fertility treatment.</t>
  </si>
  <si>
    <t xml:space="preserve">Local cost of hospital stay per night </t>
  </si>
  <si>
    <t>please enter a rate per day to be used as a local cost for required hospital stay</t>
  </si>
  <si>
    <t>Please enter local cost above to reflect reimbursement for this group.  This will be used to calculate the cost at national prices (Capacity national prices tab)</t>
  </si>
  <si>
    <t>Exa-cel treatments - number completing treatment</t>
  </si>
  <si>
    <t xml:space="preserve">Service delivery cost for people completing exa-cel treatment </t>
  </si>
  <si>
    <t>Sickle cell disease with recurrent vaso-occlusive crises and a βS/βS, βS/β+ or βS/β0 genotype when haematopoietic stem cell transplant is suitable, but a human leukocyte antigen-matched related haematopoietic stem cell donor is not available.</t>
  </si>
  <si>
    <t>Intention to treat population not treated with exa-cel</t>
  </si>
  <si>
    <t>MRI required prior to myeloablation.</t>
  </si>
  <si>
    <t>CAR-T tariff gives an indicative package price which captures the delivery episode and the additional pre-transplant mobilisation and apheresis service costs listed by the company (drugs are considered separately). Consistent with The National Specialty Advisor for Hemoglobinopathies.  The CAR-T tariff includes the activities below and all other requirements for treatment.</t>
  </si>
  <si>
    <t>It is assumed that those who have received treatment with exa-cel will no longer require blood transfusions and chelation therapy from the year following treatment for the remaining lifetime of this model.</t>
  </si>
  <si>
    <t>Cost is based on the expected CAR-T tariff for 2024/25 provided by NHSE, adjust to locally commissioned price. This will be used to calculate costs at national prices (Capacity national prices tab)</t>
  </si>
  <si>
    <t>Local input  - see note 1 below</t>
  </si>
  <si>
    <t>Local input - see note 1 below</t>
  </si>
  <si>
    <t>1.  Users will need to input the number of people who will be selected for treatment in their area in rows 50 and 51.  Clinical feedback has highlighted that transplant bed capacity and staffing capacity may limit the number of patients who are able to access treatment per year, so this may further reduce patient numbers progressing to treatment</t>
  </si>
  <si>
    <t xml:space="preserve">NHSE estimates suggested the following uptake for England over the initial 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</si>
</sst>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 numFmtId="174" formatCode="0.0%"/>
    <numFmt numFmtId="175" formatCode="#,##0.0_ ;\-#,##0.0\ "/>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u/>
      <sz val="11"/>
      <name val="Calibri"/>
      <family val="2"/>
    </font>
    <font>
      <sz val="12"/>
      <color theme="1"/>
      <name val="Calibri"/>
      <family val="2"/>
    </font>
    <font>
      <sz val="12"/>
      <name val="Calibri"/>
      <family val="2"/>
    </font>
    <font>
      <b/>
      <u/>
      <sz val="11"/>
      <color theme="1"/>
      <name val="Calibri"/>
      <family val="2"/>
      <scheme val="minor"/>
    </font>
    <font>
      <b/>
      <sz val="11"/>
      <color theme="1"/>
      <name val="Calibri"/>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rgb="FF000000"/>
      </right>
      <top style="thin">
        <color indexed="64"/>
      </top>
      <bottom/>
      <diagonal/>
    </border>
    <border>
      <left/>
      <right style="thin">
        <color rgb="FF000000"/>
      </right>
      <top style="thin">
        <color rgb="FF000000"/>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1033">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4"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5"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2" borderId="17" xfId="0" applyFont="1" applyFill="1" applyBorder="1"/>
    <xf numFmtId="0" fontId="39" fillId="42" borderId="0" xfId="0" applyFont="1" applyFill="1"/>
    <xf numFmtId="0" fontId="39" fillId="40" borderId="17" xfId="0" applyFont="1" applyFill="1" applyBorder="1"/>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8"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8"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0" borderId="0" xfId="0" applyFill="1"/>
    <xf numFmtId="0" fontId="0" fillId="43" borderId="0" xfId="0" applyFill="1"/>
    <xf numFmtId="0" fontId="0" fillId="41"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0" fillId="40" borderId="20" xfId="0" applyFill="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48" fillId="41" borderId="12" xfId="0" applyFont="1" applyFill="1" applyBorder="1" applyAlignment="1">
      <alignment horizontal="left" vertical="center"/>
    </xf>
    <xf numFmtId="0" fontId="39" fillId="41" borderId="0" xfId="82" applyFont="1" applyFill="1"/>
    <xf numFmtId="0" fontId="48" fillId="31" borderId="12" xfId="0" applyFont="1" applyFill="1" applyBorder="1" applyAlignment="1">
      <alignment horizontal="left" vertical="center"/>
    </xf>
    <xf numFmtId="0" fontId="0" fillId="0" borderId="34" xfId="0" applyBorder="1"/>
    <xf numFmtId="0" fontId="0" fillId="44" borderId="0" xfId="0" applyFill="1"/>
    <xf numFmtId="0" fontId="48" fillId="44" borderId="12" xfId="0" applyFont="1" applyFill="1" applyBorder="1" applyAlignment="1">
      <alignment horizontal="left" vertical="center"/>
    </xf>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0" fontId="39" fillId="44" borderId="17" xfId="0" applyFont="1" applyFill="1" applyBorder="1"/>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7"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59" fillId="0" borderId="0" xfId="0" applyFont="1" applyAlignment="1">
      <alignment vertical="center"/>
    </xf>
    <xf numFmtId="10" fontId="27" fillId="39" borderId="11" xfId="92" applyNumberFormat="1" applyFont="1" applyFill="1" applyBorder="1"/>
    <xf numFmtId="168"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60" fillId="0" borderId="0" xfId="0" applyFont="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3" fillId="39" borderId="11" xfId="0" applyFont="1" applyFill="1" applyBorder="1" applyAlignment="1">
      <alignment horizontal="center" vertical="center" wrapText="1"/>
    </xf>
    <xf numFmtId="0" fontId="63" fillId="0" borderId="0" xfId="0" applyFont="1" applyAlignment="1">
      <alignment horizontal="center" vertical="center"/>
    </xf>
    <xf numFmtId="0" fontId="64" fillId="45"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7"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5" fillId="37" borderId="20" xfId="0" applyFont="1" applyFill="1" applyBorder="1" applyAlignment="1">
      <alignment horizontal="left"/>
    </xf>
    <xf numFmtId="0" fontId="0" fillId="44" borderId="17" xfId="0"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39" fillId="43" borderId="20" xfId="0" applyFont="1" applyFill="1" applyBorder="1"/>
    <xf numFmtId="0" fontId="44" fillId="40" borderId="12" xfId="0" applyFont="1" applyFill="1" applyBorder="1" applyAlignment="1">
      <alignment horizontal="left"/>
    </xf>
    <xf numFmtId="0" fontId="39" fillId="40" borderId="20" xfId="0" applyFont="1" applyFill="1" applyBorder="1"/>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4" xfId="0" applyFill="1" applyBorder="1"/>
    <xf numFmtId="0" fontId="44" fillId="24" borderId="13" xfId="0" applyFont="1" applyFill="1" applyBorder="1"/>
    <xf numFmtId="0" fontId="39" fillId="44"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44" fillId="24" borderId="11" xfId="0" applyFont="1" applyFill="1" applyBorder="1" applyAlignment="1">
      <alignment horizontal="center" wrapText="1"/>
    </xf>
    <xf numFmtId="0" fontId="0" fillId="44" borderId="11" xfId="0" applyFill="1" applyBorder="1" applyAlignment="1">
      <alignment horizontal="center"/>
    </xf>
    <xf numFmtId="0" fontId="0" fillId="40" borderId="11" xfId="0" applyFill="1" applyBorder="1" applyAlignment="1">
      <alignment horizontal="center"/>
    </xf>
    <xf numFmtId="2" fontId="0" fillId="41"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3" borderId="11" xfId="0" applyNumberFormat="1" applyFill="1" applyBorder="1"/>
    <xf numFmtId="0" fontId="39" fillId="37" borderId="34" xfId="0" applyFont="1" applyFill="1" applyBorder="1" applyAlignment="1">
      <alignment horizontal="center" wrapText="1"/>
    </xf>
    <xf numFmtId="0" fontId="0" fillId="24" borderId="15" xfId="0" applyFill="1" applyBorder="1" applyAlignment="1">
      <alignment horizontal="center" wrapText="1"/>
    </xf>
    <xf numFmtId="3" fontId="0" fillId="40" borderId="11" xfId="0" applyNumberFormat="1" applyFill="1" applyBorder="1"/>
    <xf numFmtId="3" fontId="0" fillId="44" borderId="11" xfId="0" applyNumberFormat="1" applyFill="1" applyBorder="1"/>
    <xf numFmtId="3" fontId="0" fillId="41" borderId="11" xfId="0" applyNumberFormat="1" applyFill="1" applyBorder="1"/>
    <xf numFmtId="3" fontId="0" fillId="31" borderId="11" xfId="0" applyNumberFormat="1" applyFill="1" applyBorder="1"/>
    <xf numFmtId="0" fontId="39" fillId="42" borderId="14" xfId="0" applyFont="1" applyFill="1" applyBorder="1"/>
    <xf numFmtId="0" fontId="39" fillId="41" borderId="10" xfId="0" applyFont="1" applyFill="1" applyBorder="1"/>
    <xf numFmtId="0" fontId="0" fillId="42" borderId="14" xfId="0" applyFill="1" applyBorder="1"/>
    <xf numFmtId="0" fontId="39" fillId="44" borderId="10" xfId="0" applyFont="1" applyFill="1" applyBorder="1"/>
    <xf numFmtId="0" fontId="0" fillId="41" borderId="17" xfId="0" applyFill="1" applyBorder="1"/>
    <xf numFmtId="0" fontId="39" fillId="31" borderId="0" xfId="0" applyFont="1" applyFill="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7" fillId="24" borderId="20" xfId="0" applyFont="1" applyFill="1" applyBorder="1"/>
    <xf numFmtId="0" fontId="0" fillId="40"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46" fillId="41" borderId="12" xfId="82" applyFont="1" applyFill="1" applyBorder="1"/>
    <xf numFmtId="3" fontId="44" fillId="44" borderId="17" xfId="0" applyNumberFormat="1" applyFont="1" applyFill="1" applyBorder="1"/>
    <xf numFmtId="3" fontId="44" fillId="41"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24" borderId="11" xfId="82" applyFont="1" applyFill="1" applyBorder="1" applyAlignment="1">
      <alignment horizontal="left"/>
    </xf>
    <xf numFmtId="0" fontId="6" fillId="25" borderId="0" xfId="82" applyFont="1" applyFill="1"/>
    <xf numFmtId="0" fontId="48" fillId="0" borderId="11" xfId="0" applyFont="1" applyBorder="1" applyAlignment="1">
      <alignment horizontal="left"/>
    </xf>
    <xf numFmtId="0" fontId="63" fillId="39" borderId="11" xfId="0" applyFont="1" applyFill="1" applyBorder="1" applyAlignment="1">
      <alignment horizontal="center" vertical="center"/>
    </xf>
    <xf numFmtId="0" fontId="0" fillId="0" borderId="35"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3" fillId="24" borderId="0" xfId="0" applyFont="1" applyFill="1" applyAlignment="1">
      <alignment horizontal="center" vertical="center"/>
    </xf>
    <xf numFmtId="0" fontId="63"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3" fillId="24" borderId="14" xfId="0" applyFont="1" applyFill="1" applyBorder="1" applyAlignment="1">
      <alignment horizontal="center" vertical="center"/>
    </xf>
    <xf numFmtId="0" fontId="27" fillId="24" borderId="14" xfId="0" applyFont="1" applyFill="1" applyBorder="1"/>
    <xf numFmtId="0" fontId="0" fillId="24" borderId="35"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6" xfId="82" applyFont="1" applyFill="1" applyBorder="1"/>
    <xf numFmtId="0" fontId="46" fillId="24" borderId="16" xfId="82" applyFont="1" applyFill="1" applyBorder="1" applyAlignment="1">
      <alignment horizontal="center"/>
    </xf>
    <xf numFmtId="0" fontId="6" fillId="24" borderId="19" xfId="82" applyFont="1" applyFill="1" applyBorder="1"/>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6"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70" fontId="29" fillId="46" borderId="11" xfId="0" applyNumberFormat="1" applyFont="1" applyFill="1" applyBorder="1" applyAlignment="1">
      <alignment horizontal="center"/>
    </xf>
    <xf numFmtId="0" fontId="29" fillId="46" borderId="0" xfId="0" applyFont="1" applyFill="1" applyAlignment="1">
      <alignment horizontal="left"/>
    </xf>
    <xf numFmtId="0" fontId="29" fillId="26" borderId="34" xfId="0" applyFont="1" applyFill="1" applyBorder="1" applyAlignment="1">
      <alignment horizontal="left"/>
    </xf>
    <xf numFmtId="0" fontId="29" fillId="26" borderId="34" xfId="0" applyFont="1" applyFill="1" applyBorder="1"/>
    <xf numFmtId="0" fontId="32" fillId="30" borderId="34" xfId="0" applyFont="1" applyFill="1" applyBorder="1" applyAlignment="1">
      <alignment vertical="center" wrapText="1"/>
    </xf>
    <xf numFmtId="0" fontId="32" fillId="27" borderId="34" xfId="0" applyFont="1" applyFill="1" applyBorder="1"/>
    <xf numFmtId="0" fontId="29" fillId="0" borderId="34" xfId="0" applyFont="1" applyBorder="1"/>
    <xf numFmtId="3" fontId="32" fillId="0" borderId="34" xfId="0" applyNumberFormat="1" applyFont="1" applyBorder="1"/>
    <xf numFmtId="3" fontId="7" fillId="0" borderId="34" xfId="0" applyNumberFormat="1" applyFont="1" applyBorder="1"/>
    <xf numFmtId="3" fontId="29" fillId="0" borderId="34" xfId="0" applyNumberFormat="1" applyFont="1" applyBorder="1"/>
    <xf numFmtId="3" fontId="6" fillId="0" borderId="34" xfId="0" applyNumberFormat="1" applyFont="1" applyBorder="1"/>
    <xf numFmtId="0" fontId="6" fillId="0" borderId="34" xfId="0" applyFont="1" applyBorder="1"/>
    <xf numFmtId="0" fontId="0" fillId="24" borderId="21" xfId="0" applyFill="1" applyBorder="1" applyAlignment="1">
      <alignment horizontal="center" wrapText="1"/>
    </xf>
    <xf numFmtId="0" fontId="0" fillId="43" borderId="21" xfId="0" applyFill="1" applyBorder="1"/>
    <xf numFmtId="0" fontId="0" fillId="44" borderId="21" xfId="0" applyFill="1" applyBorder="1"/>
    <xf numFmtId="0" fontId="0" fillId="41" borderId="21" xfId="0" applyFill="1" applyBorder="1"/>
    <xf numFmtId="169" fontId="48" fillId="0" borderId="14" xfId="82" applyNumberFormat="1" applyFont="1" applyBorder="1"/>
    <xf numFmtId="169"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0" fontId="46" fillId="24" borderId="11" xfId="0" applyFont="1" applyFill="1" applyBorder="1" applyAlignment="1">
      <alignment horizontal="center" wrapText="1"/>
    </xf>
    <xf numFmtId="0" fontId="0" fillId="40" borderId="18" xfId="0" applyFill="1" applyBorder="1"/>
    <xf numFmtId="0" fontId="46" fillId="40" borderId="0" xfId="0" applyFont="1" applyFill="1" applyAlignment="1">
      <alignment horizontal="left" vertical="center"/>
    </xf>
    <xf numFmtId="4" fontId="0" fillId="40" borderId="0" xfId="0" applyNumberFormat="1" applyFill="1"/>
    <xf numFmtId="0" fontId="0" fillId="40" borderId="0" xfId="0" applyFill="1" applyAlignment="1">
      <alignment horizontal="center"/>
    </xf>
    <xf numFmtId="164" fontId="0" fillId="40" borderId="0" xfId="0" applyNumberFormat="1" applyFill="1"/>
    <xf numFmtId="0" fontId="44" fillId="40" borderId="20" xfId="0" applyFont="1" applyFill="1" applyBorder="1" applyAlignment="1">
      <alignment horizontal="left"/>
    </xf>
    <xf numFmtId="0" fontId="48" fillId="40" borderId="0" xfId="0" applyFont="1" applyFill="1" applyAlignment="1">
      <alignment horizontal="right" vertical="center"/>
    </xf>
    <xf numFmtId="3" fontId="44" fillId="40" borderId="0" xfId="0" applyNumberFormat="1" applyFont="1" applyFill="1"/>
    <xf numFmtId="0" fontId="39" fillId="40" borderId="14" xfId="0" applyFont="1" applyFill="1" applyBorder="1"/>
    <xf numFmtId="0" fontId="48" fillId="40" borderId="0" xfId="0" applyFont="1" applyFill="1" applyAlignment="1">
      <alignment horizontal="left" vertical="center"/>
    </xf>
    <xf numFmtId="10" fontId="0" fillId="0" borderId="0" xfId="92" applyNumberFormat="1" applyFont="1" applyFill="1" applyBorder="1"/>
    <xf numFmtId="168" fontId="0" fillId="0" borderId="0" xfId="0" applyNumberFormat="1"/>
    <xf numFmtId="0" fontId="28" fillId="0" borderId="0" xfId="72" applyBorder="1" applyAlignment="1" applyProtection="1"/>
    <xf numFmtId="0" fontId="0" fillId="0" borderId="0" xfId="0" applyAlignment="1">
      <alignment horizontal="center"/>
    </xf>
    <xf numFmtId="164"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57" fillId="24" borderId="17" xfId="0" applyFont="1" applyFill="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39" xfId="0" applyFill="1" applyBorder="1" applyProtection="1">
      <protection locked="0"/>
    </xf>
    <xf numFmtId="0" fontId="0" fillId="39" borderId="11" xfId="0" applyFill="1" applyBorder="1" applyProtection="1">
      <protection locked="0"/>
    </xf>
    <xf numFmtId="0" fontId="0" fillId="39" borderId="38" xfId="0" applyFill="1" applyBorder="1" applyProtection="1">
      <protection locked="0"/>
    </xf>
    <xf numFmtId="164" fontId="56" fillId="39" borderId="11" xfId="82" applyNumberFormat="1" applyFont="1" applyFill="1" applyBorder="1" applyProtection="1">
      <protection locked="0"/>
    </xf>
    <xf numFmtId="9" fontId="56" fillId="39" borderId="11" xfId="92" applyFont="1" applyFill="1" applyBorder="1" applyProtection="1">
      <protection locked="0"/>
    </xf>
    <xf numFmtId="164" fontId="0" fillId="39" borderId="11" xfId="0" applyNumberFormat="1" applyFill="1" applyBorder="1" applyProtection="1">
      <protection locked="0"/>
    </xf>
    <xf numFmtId="0" fontId="44" fillId="24" borderId="17" xfId="0" applyFont="1" applyFill="1" applyBorder="1"/>
    <xf numFmtId="0" fontId="48" fillId="24" borderId="12" xfId="82" applyFont="1" applyFill="1" applyBorder="1" applyAlignment="1">
      <alignment horizontal="center" wrapText="1"/>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4" fillId="24" borderId="11" xfId="0" quotePrefix="1" applyFont="1" applyFill="1" applyBorder="1" applyAlignment="1">
      <alignment horizontal="center"/>
    </xf>
    <xf numFmtId="9" fontId="0" fillId="0" borderId="36" xfId="0" applyNumberFormat="1" applyBorder="1"/>
    <xf numFmtId="9" fontId="27" fillId="0" borderId="36"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24" borderId="44" xfId="0" applyFont="1" applyFill="1" applyBorder="1" applyAlignment="1">
      <alignment horizontal="center" vertical="center"/>
    </xf>
    <xf numFmtId="0" fontId="40" fillId="24" borderId="43" xfId="0" applyFont="1" applyFill="1" applyBorder="1" applyAlignment="1">
      <alignment vertical="center"/>
    </xf>
    <xf numFmtId="169" fontId="46" fillId="0" borderId="24" xfId="57" applyNumberFormat="1" applyFont="1" applyFill="1" applyBorder="1" applyProtection="1"/>
    <xf numFmtId="0" fontId="71"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45" xfId="0" applyFont="1" applyFill="1" applyBorder="1" applyAlignment="1">
      <alignment horizontal="center"/>
    </xf>
    <xf numFmtId="0" fontId="44" fillId="24" borderId="46" xfId="82" applyFont="1" applyFill="1" applyBorder="1" applyAlignment="1">
      <alignment horizontal="center"/>
    </xf>
    <xf numFmtId="0" fontId="44" fillId="24" borderId="46" xfId="110" applyFont="1" applyFill="1" applyBorder="1" applyAlignment="1">
      <alignment horizontal="center" wrapText="1"/>
    </xf>
    <xf numFmtId="3" fontId="44" fillId="24" borderId="46" xfId="110" applyNumberFormat="1" applyFont="1" applyFill="1" applyBorder="1" applyAlignment="1">
      <alignment horizontal="center" wrapText="1"/>
    </xf>
    <xf numFmtId="0" fontId="44" fillId="24" borderId="47" xfId="110" applyFont="1" applyFill="1" applyBorder="1" applyAlignment="1">
      <alignment horizontal="center" wrapText="1"/>
    </xf>
    <xf numFmtId="0" fontId="44" fillId="24" borderId="45" xfId="0" applyFont="1" applyFill="1" applyBorder="1" applyAlignment="1">
      <alignment horizontal="center" wrapText="1"/>
    </xf>
    <xf numFmtId="0" fontId="44" fillId="46" borderId="46" xfId="0" applyFont="1" applyFill="1" applyBorder="1" applyAlignment="1">
      <alignment horizontal="center" wrapText="1"/>
    </xf>
    <xf numFmtId="0" fontId="44" fillId="24" borderId="46" xfId="0" applyFont="1" applyFill="1" applyBorder="1" applyAlignment="1">
      <alignment horizontal="center" wrapText="1"/>
    </xf>
    <xf numFmtId="0" fontId="44" fillId="24" borderId="47" xfId="0" applyFont="1" applyFill="1" applyBorder="1" applyAlignment="1">
      <alignment horizontal="center" wrapText="1"/>
    </xf>
    <xf numFmtId="0" fontId="0" fillId="0" borderId="48"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9" xfId="0" applyBorder="1" applyAlignment="1">
      <alignment horizontal="center"/>
    </xf>
    <xf numFmtId="0" fontId="0" fillId="0" borderId="15" xfId="0" applyBorder="1"/>
    <xf numFmtId="3" fontId="46" fillId="0" borderId="29" xfId="82" applyNumberFormat="1" applyFont="1" applyBorder="1" applyAlignment="1">
      <alignment horizontal="right"/>
    </xf>
    <xf numFmtId="0" fontId="72" fillId="47" borderId="0" xfId="0" applyFont="1" applyFill="1" applyAlignment="1">
      <alignment horizontal="left" vertical="center"/>
    </xf>
    <xf numFmtId="0" fontId="39" fillId="47" borderId="0" xfId="0" applyFont="1" applyFill="1" applyAlignment="1">
      <alignment horizontal="left" vertical="center"/>
    </xf>
    <xf numFmtId="0" fontId="73" fillId="47" borderId="0" xfId="0" applyFont="1" applyFill="1"/>
    <xf numFmtId="0" fontId="74" fillId="25" borderId="0" xfId="0" applyFont="1" applyFill="1"/>
    <xf numFmtId="0" fontId="74" fillId="0" borderId="0" xfId="0" applyFont="1"/>
    <xf numFmtId="0" fontId="74"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5"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0" xfId="0" applyFont="1" applyBorder="1"/>
    <xf numFmtId="0" fontId="0" fillId="0" borderId="41" xfId="0" applyBorder="1" applyAlignment="1">
      <alignment horizontal="center" wrapText="1"/>
    </xf>
    <xf numFmtId="0" fontId="29" fillId="0" borderId="40" xfId="0" applyFont="1" applyBorder="1" applyAlignment="1">
      <alignment horizontal="center"/>
    </xf>
    <xf numFmtId="0" fontId="0" fillId="0" borderId="42"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5"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5"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8"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8"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4" fontId="29" fillId="25" borderId="0" xfId="92" applyNumberFormat="1" applyFont="1" applyFill="1"/>
    <xf numFmtId="0" fontId="32" fillId="24" borderId="0" xfId="0" applyFont="1" applyFill="1"/>
    <xf numFmtId="174" fontId="32" fillId="25" borderId="50"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4"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4" fillId="25" borderId="0" xfId="0" applyNumberFormat="1" applyFont="1" applyFill="1"/>
    <xf numFmtId="0" fontId="29" fillId="25" borderId="0" xfId="0" applyFont="1" applyFill="1" applyAlignment="1">
      <alignment horizontal="right"/>
    </xf>
    <xf numFmtId="0" fontId="74" fillId="25" borderId="0" xfId="0" applyFont="1" applyFill="1" applyAlignment="1">
      <alignment horizontal="right"/>
    </xf>
    <xf numFmtId="9" fontId="29" fillId="48" borderId="0" xfId="92" applyFont="1" applyFill="1"/>
    <xf numFmtId="174" fontId="76" fillId="25" borderId="0" xfId="92" applyNumberFormat="1" applyFont="1" applyFill="1" applyAlignment="1">
      <alignment horizontal="right"/>
    </xf>
    <xf numFmtId="9" fontId="76" fillId="25" borderId="0" xfId="92" applyFont="1" applyFill="1" applyAlignment="1">
      <alignment horizontal="right"/>
    </xf>
    <xf numFmtId="0" fontId="76"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4" fillId="0" borderId="0" xfId="0" applyNumberFormat="1" applyFont="1"/>
    <xf numFmtId="165" fontId="74" fillId="24" borderId="0" xfId="0" applyNumberFormat="1" applyFont="1" applyFill="1"/>
    <xf numFmtId="0" fontId="4" fillId="24" borderId="0" xfId="0" applyFont="1" applyFill="1" applyAlignment="1">
      <alignment horizontal="left" vertical="center" wrapText="1"/>
    </xf>
    <xf numFmtId="3" fontId="74" fillId="24" borderId="0" xfId="0" applyNumberFormat="1" applyFont="1" applyFill="1"/>
    <xf numFmtId="0" fontId="32" fillId="49" borderId="0" xfId="0" applyFont="1" applyFill="1" applyAlignment="1">
      <alignment horizontal="left"/>
    </xf>
    <xf numFmtId="0" fontId="29" fillId="49" borderId="0" xfId="0" applyFont="1" applyFill="1"/>
    <xf numFmtId="0" fontId="0" fillId="0" borderId="12" xfId="0" applyBorder="1" applyAlignment="1">
      <alignment vertical="center"/>
    </xf>
    <xf numFmtId="0" fontId="56" fillId="0" borderId="20" xfId="72" applyFont="1" applyFill="1" applyBorder="1" applyAlignment="1" applyProtection="1">
      <alignment horizontal="left" vertical="center"/>
    </xf>
    <xf numFmtId="0" fontId="46" fillId="0" borderId="20" xfId="0" applyFont="1" applyBorder="1"/>
    <xf numFmtId="0" fontId="46" fillId="0" borderId="17" xfId="0" applyFont="1" applyBorder="1"/>
    <xf numFmtId="0" fontId="46" fillId="0" borderId="0" xfId="0" applyFont="1" applyAlignment="1">
      <alignment horizontal="left"/>
    </xf>
    <xf numFmtId="10" fontId="0" fillId="39" borderId="11" xfId="92" applyNumberFormat="1" applyFont="1" applyFill="1" applyBorder="1"/>
    <xf numFmtId="0" fontId="0" fillId="0" borderId="50" xfId="0" applyBorder="1"/>
    <xf numFmtId="0" fontId="0" fillId="24" borderId="12" xfId="0" applyFill="1" applyBorder="1" applyAlignment="1">
      <alignment horizontal="center"/>
    </xf>
    <xf numFmtId="0" fontId="0" fillId="25" borderId="50" xfId="0" applyFill="1" applyBorder="1"/>
    <xf numFmtId="0" fontId="0" fillId="25" borderId="0" xfId="0" applyFill="1"/>
    <xf numFmtId="0" fontId="0" fillId="25" borderId="0" xfId="0" applyFill="1" applyAlignment="1">
      <alignment horizontal="center"/>
    </xf>
    <xf numFmtId="168" fontId="0" fillId="25" borderId="0" xfId="0" applyNumberFormat="1" applyFill="1" applyProtection="1">
      <protection locked="0"/>
    </xf>
    <xf numFmtId="168" fontId="0" fillId="25" borderId="0" xfId="0" applyNumberFormat="1" applyFill="1"/>
    <xf numFmtId="0" fontId="28" fillId="0" borderId="16" xfId="72" applyBorder="1" applyAlignment="1" applyProtection="1">
      <alignment wrapText="1"/>
    </xf>
    <xf numFmtId="0" fontId="28" fillId="0" borderId="11" xfId="72" applyBorder="1" applyAlignment="1" applyProtection="1">
      <alignment wrapText="1"/>
    </xf>
    <xf numFmtId="0" fontId="46" fillId="0" borderId="51" xfId="82" applyFont="1" applyBorder="1" applyAlignment="1">
      <alignment horizontal="right"/>
    </xf>
    <xf numFmtId="0" fontId="0" fillId="0" borderId="12" xfId="0" applyBorder="1" applyAlignment="1">
      <alignment horizontal="right"/>
    </xf>
    <xf numFmtId="0" fontId="0" fillId="0" borderId="11" xfId="0" applyBorder="1" applyAlignment="1">
      <alignment horizontal="right" wrapText="1"/>
    </xf>
    <xf numFmtId="0" fontId="0" fillId="0" borderId="17" xfId="0" applyBorder="1" applyAlignment="1">
      <alignment horizontal="right" wrapText="1"/>
    </xf>
    <xf numFmtId="2" fontId="0" fillId="0" borderId="11" xfId="0" applyNumberFormat="1" applyBorder="1" applyAlignment="1">
      <alignment horizontal="right"/>
    </xf>
    <xf numFmtId="0" fontId="0" fillId="0" borderId="23" xfId="0" applyBorder="1" applyAlignment="1">
      <alignment horizontal="right"/>
    </xf>
    <xf numFmtId="0" fontId="28" fillId="0" borderId="12" xfId="72" applyBorder="1" applyAlignment="1" applyProtection="1"/>
    <xf numFmtId="0" fontId="44" fillId="24" borderId="12" xfId="0" applyFont="1" applyFill="1" applyBorder="1" applyAlignment="1">
      <alignment horizontal="center" wrapText="1"/>
    </xf>
    <xf numFmtId="0" fontId="44" fillId="24" borderId="53" xfId="0" applyFont="1" applyFill="1" applyBorder="1" applyAlignment="1">
      <alignment horizontal="center"/>
    </xf>
    <xf numFmtId="0" fontId="44" fillId="24" borderId="53" xfId="0" applyFont="1" applyFill="1" applyBorder="1" applyAlignment="1">
      <alignment horizontal="center" wrapText="1"/>
    </xf>
    <xf numFmtId="0" fontId="0" fillId="24" borderId="32" xfId="0" applyFill="1" applyBorder="1"/>
    <xf numFmtId="0" fontId="77" fillId="0" borderId="0" xfId="72" applyFont="1" applyAlignment="1" applyProtection="1"/>
    <xf numFmtId="0" fontId="56" fillId="0" borderId="0" xfId="72" applyFont="1" applyAlignment="1" applyProtection="1"/>
    <xf numFmtId="0" fontId="46" fillId="39" borderId="11" xfId="82" applyFont="1" applyFill="1" applyBorder="1" applyAlignment="1">
      <alignment wrapText="1"/>
    </xf>
    <xf numFmtId="0" fontId="46" fillId="39" borderId="11" xfId="82" applyFont="1" applyFill="1" applyBorder="1"/>
    <xf numFmtId="0" fontId="46" fillId="39" borderId="11" xfId="82" applyFont="1" applyFill="1" applyBorder="1" applyAlignment="1">
      <alignment horizontal="center"/>
    </xf>
    <xf numFmtId="166" fontId="46" fillId="39" borderId="11" xfId="56" applyNumberFormat="1" applyFont="1" applyFill="1" applyBorder="1"/>
    <xf numFmtId="0" fontId="46" fillId="39" borderId="11" xfId="82" applyFont="1" applyFill="1" applyBorder="1" applyAlignment="1">
      <alignment horizontal="right"/>
    </xf>
    <xf numFmtId="165" fontId="46" fillId="39" borderId="12" xfId="82" applyNumberFormat="1" applyFont="1" applyFill="1" applyBorder="1"/>
    <xf numFmtId="9" fontId="46" fillId="39" borderId="11" xfId="82" applyNumberFormat="1" applyFont="1" applyFill="1" applyBorder="1"/>
    <xf numFmtId="165" fontId="46" fillId="39" borderId="11" xfId="82" applyNumberFormat="1" applyFont="1" applyFill="1" applyBorder="1"/>
    <xf numFmtId="168" fontId="46" fillId="39" borderId="11" xfId="82" applyNumberFormat="1" applyFont="1" applyFill="1" applyBorder="1"/>
    <xf numFmtId="164" fontId="46" fillId="39" borderId="12" xfId="82" applyNumberFormat="1" applyFont="1" applyFill="1" applyBorder="1"/>
    <xf numFmtId="164" fontId="46" fillId="39" borderId="11" xfId="82" applyNumberFormat="1" applyFont="1" applyFill="1" applyBorder="1"/>
    <xf numFmtId="0" fontId="46" fillId="0" borderId="20" xfId="82" applyFont="1" applyBorder="1"/>
    <xf numFmtId="0" fontId="46" fillId="0" borderId="17" xfId="82" applyFont="1" applyBorder="1"/>
    <xf numFmtId="165" fontId="48" fillId="39" borderId="11" xfId="82" applyNumberFormat="1" applyFont="1" applyFill="1" applyBorder="1"/>
    <xf numFmtId="0" fontId="0" fillId="39" borderId="11" xfId="0" applyFill="1" applyBorder="1" applyAlignment="1">
      <alignment wrapText="1"/>
    </xf>
    <xf numFmtId="0" fontId="46" fillId="24" borderId="12" xfId="82" applyFont="1" applyFill="1" applyBorder="1"/>
    <xf numFmtId="165" fontId="46" fillId="39" borderId="11" xfId="82" applyNumberFormat="1" applyFont="1" applyFill="1" applyBorder="1" applyAlignment="1">
      <alignment horizontal="right"/>
    </xf>
    <xf numFmtId="5" fontId="46" fillId="39" borderId="11" xfId="56" applyNumberFormat="1" applyFont="1" applyFill="1" applyBorder="1"/>
    <xf numFmtId="164" fontId="46" fillId="0" borderId="0" xfId="82" applyNumberFormat="1" applyFont="1"/>
    <xf numFmtId="3" fontId="46" fillId="39" borderId="11" xfId="82" applyNumberFormat="1" applyFont="1" applyFill="1" applyBorder="1"/>
    <xf numFmtId="2" fontId="46" fillId="39" borderId="11" xfId="82" applyNumberFormat="1" applyFont="1" applyFill="1" applyBorder="1"/>
    <xf numFmtId="0" fontId="46" fillId="39" borderId="12" xfId="82" applyFont="1" applyFill="1" applyBorder="1"/>
    <xf numFmtId="164" fontId="48" fillId="0" borderId="0" xfId="82" applyNumberFormat="1" applyFont="1"/>
    <xf numFmtId="0" fontId="46" fillId="0" borderId="0" xfId="82" applyFont="1" applyAlignment="1">
      <alignment vertical="top"/>
    </xf>
    <xf numFmtId="166" fontId="6" fillId="0" borderId="0" xfId="56" applyNumberFormat="1" applyFont="1" applyFill="1" applyBorder="1" applyAlignment="1">
      <alignment horizontal="right"/>
    </xf>
    <xf numFmtId="0" fontId="46" fillId="0" borderId="0" xfId="82" applyFont="1" applyAlignment="1">
      <alignment horizontal="center"/>
    </xf>
    <xf numFmtId="166" fontId="6" fillId="0" borderId="0" xfId="56" applyNumberFormat="1" applyFont="1" applyFill="1" applyBorder="1" applyAlignment="1">
      <alignment horizontal="left"/>
    </xf>
    <xf numFmtId="166" fontId="79" fillId="0" borderId="0" xfId="56" applyNumberFormat="1" applyFont="1" applyFill="1" applyBorder="1" applyAlignment="1">
      <alignment horizontal="left"/>
    </xf>
    <xf numFmtId="0" fontId="56" fillId="0" borderId="0" xfId="82" applyFont="1"/>
    <xf numFmtId="0" fontId="46" fillId="0" borderId="10" xfId="82" applyFont="1" applyBorder="1" applyAlignment="1">
      <alignment horizontal="center"/>
    </xf>
    <xf numFmtId="175" fontId="46" fillId="39" borderId="11" xfId="56" applyNumberFormat="1" applyFont="1" applyFill="1" applyBorder="1"/>
    <xf numFmtId="0" fontId="46" fillId="24" borderId="15" xfId="82" applyFont="1" applyFill="1" applyBorder="1" applyAlignment="1">
      <alignment horizontal="center"/>
    </xf>
    <xf numFmtId="0" fontId="62" fillId="39" borderId="11" xfId="0" applyFont="1" applyFill="1" applyBorder="1" applyAlignment="1">
      <alignment horizontal="center" wrapText="1"/>
    </xf>
    <xf numFmtId="0" fontId="46" fillId="39" borderId="20" xfId="82" applyFont="1" applyFill="1" applyBorder="1" applyAlignment="1">
      <alignment horizontal="left" vertical="top" wrapText="1"/>
    </xf>
    <xf numFmtId="0" fontId="46" fillId="39" borderId="17" xfId="82" applyFont="1" applyFill="1" applyBorder="1" applyAlignment="1">
      <alignment horizontal="left" vertical="top" wrapText="1"/>
    </xf>
    <xf numFmtId="0" fontId="54" fillId="0" borderId="0" xfId="72" applyFont="1" applyFill="1" applyBorder="1" applyAlignment="1" applyProtection="1"/>
    <xf numFmtId="0" fontId="46" fillId="25" borderId="0" xfId="82" applyFont="1" applyFill="1"/>
    <xf numFmtId="166" fontId="27" fillId="25" borderId="0" xfId="56" applyNumberFormat="1" applyFont="1" applyFill="1" applyBorder="1" applyAlignment="1" applyProtection="1">
      <alignment horizontal="right"/>
      <protection locked="0"/>
    </xf>
    <xf numFmtId="9" fontId="0" fillId="39" borderId="11" xfId="92" applyFont="1" applyFill="1" applyBorder="1"/>
    <xf numFmtId="0" fontId="44" fillId="0" borderId="13" xfId="0" applyFont="1" applyBorder="1" applyAlignment="1">
      <alignment wrapText="1"/>
    </xf>
    <xf numFmtId="0" fontId="44" fillId="0" borderId="50" xfId="0" applyFont="1" applyBorder="1" applyAlignment="1">
      <alignment wrapText="1"/>
    </xf>
    <xf numFmtId="0" fontId="2" fillId="24" borderId="0" xfId="82" applyFill="1" applyAlignment="1">
      <alignment wrapText="1"/>
    </xf>
    <xf numFmtId="0" fontId="2" fillId="25" borderId="0" xfId="82" applyFill="1" applyAlignment="1">
      <alignment wrapText="1"/>
    </xf>
    <xf numFmtId="0" fontId="46" fillId="39" borderId="11" xfId="82" applyFont="1" applyFill="1" applyBorder="1" applyAlignment="1">
      <alignment horizontal="center" wrapText="1"/>
    </xf>
    <xf numFmtId="9" fontId="46" fillId="39" borderId="11" xfId="92" applyFont="1" applyFill="1" applyBorder="1"/>
    <xf numFmtId="0" fontId="46" fillId="0" borderId="0" xfId="82" applyFont="1" applyAlignment="1">
      <alignment vertical="top" wrapText="1"/>
    </xf>
    <xf numFmtId="0" fontId="6" fillId="25" borderId="0" xfId="82" applyFont="1" applyFill="1" applyAlignment="1">
      <alignment wrapText="1"/>
    </xf>
    <xf numFmtId="0" fontId="46" fillId="0" borderId="0" xfId="82" applyFont="1" applyAlignment="1">
      <alignment horizontal="left" vertical="top" wrapText="1"/>
    </xf>
    <xf numFmtId="0" fontId="46" fillId="0" borderId="0" xfId="82" applyFont="1" applyAlignment="1">
      <alignment horizontal="left" vertical="top"/>
    </xf>
    <xf numFmtId="0" fontId="46" fillId="25" borderId="11" xfId="82" applyFont="1" applyFill="1" applyBorder="1"/>
    <xf numFmtId="165" fontId="46" fillId="25" borderId="0" xfId="82" applyNumberFormat="1" applyFont="1" applyFill="1"/>
    <xf numFmtId="166" fontId="28" fillId="0" borderId="0" xfId="72" applyNumberFormat="1" applyFill="1" applyBorder="1" applyAlignment="1" applyProtection="1">
      <alignment horizontal="left"/>
    </xf>
    <xf numFmtId="0" fontId="78" fillId="0" borderId="0" xfId="0" applyFont="1"/>
    <xf numFmtId="0" fontId="46" fillId="0" borderId="0" xfId="82" applyFont="1" applyAlignment="1">
      <alignment horizontal="right"/>
    </xf>
    <xf numFmtId="0" fontId="0" fillId="24" borderId="54" xfId="0" applyFill="1" applyBorder="1"/>
    <xf numFmtId="0" fontId="0" fillId="24" borderId="51" xfId="0" applyFill="1" applyBorder="1"/>
    <xf numFmtId="0" fontId="48" fillId="25" borderId="0" xfId="82" applyFont="1" applyFill="1" applyAlignment="1">
      <alignment horizontal="center" wrapText="1"/>
    </xf>
    <xf numFmtId="164" fontId="46" fillId="25" borderId="0" xfId="82" applyNumberFormat="1" applyFont="1" applyFill="1"/>
    <xf numFmtId="165" fontId="48" fillId="25" borderId="0" xfId="82" applyNumberFormat="1" applyFont="1" applyFill="1"/>
    <xf numFmtId="0" fontId="46" fillId="25" borderId="0" xfId="82" applyFont="1" applyFill="1" applyAlignment="1">
      <alignment horizontal="center"/>
    </xf>
    <xf numFmtId="165" fontId="48" fillId="0" borderId="0" xfId="82" applyNumberFormat="1" applyFont="1"/>
    <xf numFmtId="0" fontId="46" fillId="25" borderId="20" xfId="82" applyFont="1" applyFill="1" applyBorder="1"/>
    <xf numFmtId="0" fontId="48" fillId="25" borderId="0" xfId="82" applyFont="1" applyFill="1" applyAlignment="1">
      <alignment horizontal="right" wrapText="1"/>
    </xf>
    <xf numFmtId="2" fontId="46" fillId="39" borderId="11" xfId="82" applyNumberFormat="1" applyFont="1" applyFill="1" applyBorder="1" applyAlignment="1">
      <alignment horizontal="right"/>
    </xf>
    <xf numFmtId="168" fontId="46" fillId="39" borderId="12" xfId="82" applyNumberFormat="1" applyFont="1" applyFill="1" applyBorder="1"/>
    <xf numFmtId="165" fontId="27" fillId="0" borderId="10" xfId="0" applyNumberFormat="1" applyFont="1" applyBorder="1"/>
    <xf numFmtId="0" fontId="48" fillId="0" borderId="0" xfId="0" applyFont="1" applyAlignment="1">
      <alignment vertical="center"/>
    </xf>
    <xf numFmtId="1" fontId="0" fillId="0" borderId="11" xfId="92" applyNumberFormat="1" applyFont="1" applyFill="1" applyBorder="1"/>
    <xf numFmtId="9" fontId="0" fillId="0" borderId="11" xfId="0" applyNumberFormat="1" applyBorder="1" applyAlignment="1">
      <alignment horizontal="left"/>
    </xf>
    <xf numFmtId="0" fontId="80" fillId="24" borderId="24" xfId="0" applyFont="1" applyFill="1" applyBorder="1"/>
    <xf numFmtId="165" fontId="27" fillId="24" borderId="21" xfId="0" applyNumberFormat="1" applyFont="1" applyFill="1" applyBorder="1" applyAlignment="1">
      <alignment horizontal="center" wrapText="1"/>
    </xf>
    <xf numFmtId="0" fontId="27" fillId="24" borderId="15" xfId="0" quotePrefix="1" applyFont="1" applyFill="1" applyBorder="1" applyAlignment="1">
      <alignment horizontal="center"/>
    </xf>
    <xf numFmtId="0" fontId="0" fillId="0" borderId="11" xfId="0" quotePrefix="1" applyBorder="1"/>
    <xf numFmtId="0" fontId="27" fillId="25" borderId="0" xfId="0" applyFont="1" applyFill="1"/>
    <xf numFmtId="0" fontId="48" fillId="25" borderId="0" xfId="0" applyFont="1" applyFill="1" applyAlignment="1">
      <alignment horizontal="left" vertical="center" wrapText="1"/>
    </xf>
    <xf numFmtId="0" fontId="44" fillId="25" borderId="0" xfId="0" applyFont="1" applyFill="1"/>
    <xf numFmtId="165" fontId="44" fillId="25" borderId="0" xfId="0" applyNumberFormat="1" applyFont="1" applyFill="1"/>
    <xf numFmtId="166" fontId="56" fillId="0" borderId="0" xfId="56" applyNumberFormat="1" applyFont="1" applyFill="1" applyBorder="1" applyAlignment="1">
      <alignment horizontal="left"/>
    </xf>
    <xf numFmtId="165" fontId="27" fillId="25" borderId="11" xfId="0" applyNumberFormat="1" applyFont="1" applyFill="1" applyBorder="1" applyAlignment="1">
      <alignment horizontal="right" wrapText="1"/>
    </xf>
    <xf numFmtId="0" fontId="0" fillId="25" borderId="11" xfId="0" applyFill="1" applyBorder="1"/>
    <xf numFmtId="165" fontId="27" fillId="25" borderId="11" xfId="0" quotePrefix="1" applyNumberFormat="1" applyFont="1" applyFill="1" applyBorder="1" applyAlignment="1">
      <alignment horizontal="right"/>
    </xf>
    <xf numFmtId="3" fontId="44" fillId="0" borderId="11" xfId="0" applyNumberFormat="1" applyFont="1" applyBorder="1" applyAlignment="1">
      <alignment horizontal="right"/>
    </xf>
    <xf numFmtId="3" fontId="44" fillId="25" borderId="0" xfId="0" applyNumberFormat="1" applyFont="1" applyFill="1"/>
    <xf numFmtId="0" fontId="48" fillId="0" borderId="0" xfId="0" applyFont="1" applyAlignment="1">
      <alignment horizontal="left"/>
    </xf>
    <xf numFmtId="0" fontId="0" fillId="0" borderId="0" xfId="0" applyAlignment="1">
      <alignment wrapText="1"/>
    </xf>
    <xf numFmtId="3" fontId="46" fillId="0" borderId="11" xfId="82" applyNumberFormat="1" applyFont="1" applyBorder="1"/>
    <xf numFmtId="3" fontId="44" fillId="0" borderId="20" xfId="0" applyNumberFormat="1" applyFont="1" applyBorder="1"/>
    <xf numFmtId="0" fontId="44" fillId="0" borderId="20" xfId="0" applyFont="1" applyBorder="1" applyAlignment="1">
      <alignment wrapText="1"/>
    </xf>
    <xf numFmtId="0" fontId="39" fillId="25" borderId="0" xfId="0" applyFont="1" applyFill="1" applyAlignment="1">
      <alignment horizontal="center" wrapText="1"/>
    </xf>
    <xf numFmtId="0" fontId="0" fillId="25" borderId="0" xfId="0" applyFill="1" applyAlignment="1">
      <alignment horizontal="center" wrapText="1"/>
    </xf>
    <xf numFmtId="0" fontId="0" fillId="25" borderId="21" xfId="0" applyFill="1" applyBorder="1"/>
    <xf numFmtId="0" fontId="44" fillId="25" borderId="13" xfId="0" applyFont="1" applyFill="1" applyBorder="1"/>
    <xf numFmtId="0" fontId="44" fillId="0" borderId="23" xfId="0" applyFont="1" applyBorder="1" applyAlignment="1">
      <alignment wrapText="1"/>
    </xf>
    <xf numFmtId="0" fontId="44" fillId="0" borderId="12" xfId="0" applyFont="1" applyBorder="1"/>
    <xf numFmtId="3" fontId="46" fillId="25" borderId="17" xfId="0" applyNumberFormat="1" applyFont="1" applyFill="1" applyBorder="1" applyAlignment="1">
      <alignment horizontal="right" wrapText="1"/>
    </xf>
    <xf numFmtId="0" fontId="46" fillId="41" borderId="0" xfId="0" applyFont="1" applyFill="1" applyAlignment="1">
      <alignment horizontal="center" wrapText="1"/>
    </xf>
    <xf numFmtId="0" fontId="39" fillId="41" borderId="0" xfId="0" applyFont="1" applyFill="1" applyAlignment="1">
      <alignment horizontal="center" wrapText="1"/>
    </xf>
    <xf numFmtId="0" fontId="0" fillId="41" borderId="0" xfId="0" applyFill="1" applyAlignment="1">
      <alignment horizontal="center" wrapText="1"/>
    </xf>
    <xf numFmtId="164" fontId="0" fillId="41" borderId="0" xfId="0" applyNumberFormat="1" applyFill="1"/>
    <xf numFmtId="165" fontId="0" fillId="41" borderId="0" xfId="0" applyNumberFormat="1" applyFill="1"/>
    <xf numFmtId="165" fontId="44" fillId="41" borderId="0" xfId="0" applyNumberFormat="1" applyFont="1" applyFill="1"/>
    <xf numFmtId="0" fontId="48" fillId="41" borderId="20" xfId="0" applyFont="1" applyFill="1" applyBorder="1" applyAlignment="1">
      <alignment horizontal="right" vertical="center"/>
    </xf>
    <xf numFmtId="3" fontId="44" fillId="41" borderId="20" xfId="0" applyNumberFormat="1" applyFont="1" applyFill="1" applyBorder="1"/>
    <xf numFmtId="3" fontId="44" fillId="0" borderId="10" xfId="0" applyNumberFormat="1" applyFont="1" applyBorder="1"/>
    <xf numFmtId="0" fontId="0" fillId="24" borderId="19" xfId="0" applyFill="1" applyBorder="1" applyAlignment="1">
      <alignment horizontal="center"/>
    </xf>
    <xf numFmtId="0" fontId="0" fillId="24" borderId="54" xfId="0" applyFill="1" applyBorder="1" applyAlignment="1">
      <alignment horizontal="center"/>
    </xf>
    <xf numFmtId="0" fontId="0" fillId="24" borderId="32" xfId="0" applyFill="1" applyBorder="1" applyAlignment="1">
      <alignment horizontal="center"/>
    </xf>
    <xf numFmtId="0" fontId="0" fillId="0" borderId="0" xfId="0" applyAlignment="1">
      <alignment horizontal="left" vertical="center"/>
    </xf>
    <xf numFmtId="0" fontId="44" fillId="24" borderId="11" xfId="82" applyFont="1" applyFill="1" applyBorder="1"/>
    <xf numFmtId="1" fontId="27" fillId="25" borderId="11" xfId="92" applyNumberFormat="1" applyFont="1" applyFill="1" applyBorder="1"/>
    <xf numFmtId="3" fontId="0" fillId="25" borderId="11" xfId="0" applyNumberFormat="1" applyFill="1" applyBorder="1" applyAlignment="1">
      <alignment horizontal="right"/>
    </xf>
    <xf numFmtId="0" fontId="48" fillId="24" borderId="17" xfId="0" applyFont="1" applyFill="1" applyBorder="1" applyAlignment="1">
      <alignment horizontal="right" vertical="center" wrapText="1"/>
    </xf>
    <xf numFmtId="165" fontId="44" fillId="25" borderId="11" xfId="0" applyNumberFormat="1" applyFont="1" applyFill="1" applyBorder="1"/>
    <xf numFmtId="0" fontId="6" fillId="25" borderId="14" xfId="82" applyFont="1" applyFill="1" applyBorder="1"/>
    <xf numFmtId="164" fontId="56" fillId="39" borderId="17" xfId="82" applyNumberFormat="1" applyFont="1" applyFill="1" applyBorder="1" applyProtection="1">
      <protection locked="0"/>
    </xf>
    <xf numFmtId="0" fontId="0" fillId="0" borderId="13" xfId="0" applyBorder="1" applyAlignment="1">
      <alignment horizontal="left"/>
    </xf>
    <xf numFmtId="0" fontId="0" fillId="0" borderId="50" xfId="0" applyBorder="1" applyAlignment="1">
      <alignment horizontal="right"/>
    </xf>
    <xf numFmtId="0" fontId="0" fillId="0" borderId="23" xfId="0" applyBorder="1" applyAlignment="1">
      <alignment horizontal="left"/>
    </xf>
    <xf numFmtId="3" fontId="44" fillId="0" borderId="0" xfId="0" applyNumberFormat="1" applyFont="1" applyAlignment="1">
      <alignment horizontal="right"/>
    </xf>
    <xf numFmtId="174" fontId="46" fillId="39" borderId="12" xfId="92" applyNumberFormat="1" applyFont="1" applyFill="1" applyBorder="1"/>
    <xf numFmtId="174" fontId="46" fillId="39" borderId="11" xfId="92" applyNumberFormat="1" applyFont="1" applyFill="1" applyBorder="1"/>
    <xf numFmtId="0" fontId="46" fillId="39" borderId="20" xfId="82" applyFont="1" applyFill="1" applyBorder="1"/>
    <xf numFmtId="0" fontId="46" fillId="39" borderId="12" xfId="82" applyFont="1" applyFill="1" applyBorder="1" applyAlignment="1">
      <alignment horizontal="right"/>
    </xf>
    <xf numFmtId="165" fontId="0" fillId="0" borderId="21" xfId="56" applyNumberFormat="1" applyFont="1" applyBorder="1"/>
    <xf numFmtId="0" fontId="0" fillId="0" borderId="11" xfId="82" applyFont="1" applyBorder="1"/>
    <xf numFmtId="0" fontId="0" fillId="41" borderId="12" xfId="0" applyFill="1" applyBorder="1"/>
    <xf numFmtId="3" fontId="46" fillId="41" borderId="12" xfId="82" applyNumberFormat="1" applyFont="1" applyFill="1" applyBorder="1"/>
    <xf numFmtId="0" fontId="46" fillId="44" borderId="0" xfId="0" applyFont="1" applyFill="1" applyAlignment="1">
      <alignment horizontal="center" wrapText="1"/>
    </xf>
    <xf numFmtId="0" fontId="39" fillId="44" borderId="0" xfId="0" applyFont="1" applyFill="1" applyAlignment="1">
      <alignment horizontal="center" wrapText="1"/>
    </xf>
    <xf numFmtId="0" fontId="0" fillId="44" borderId="0" xfId="0" applyFill="1" applyAlignment="1">
      <alignment horizontal="center" wrapText="1"/>
    </xf>
    <xf numFmtId="164" fontId="0" fillId="44" borderId="0" xfId="0" applyNumberFormat="1" applyFill="1"/>
    <xf numFmtId="165" fontId="0" fillId="44" borderId="0" xfId="0" applyNumberFormat="1" applyFill="1"/>
    <xf numFmtId="165" fontId="44" fillId="44" borderId="0" xfId="0" applyNumberFormat="1" applyFont="1" applyFill="1"/>
    <xf numFmtId="3" fontId="46" fillId="44" borderId="12" xfId="82" applyNumberFormat="1" applyFont="1" applyFill="1" applyBorder="1"/>
    <xf numFmtId="0" fontId="0" fillId="44" borderId="12" xfId="0" applyFill="1" applyBorder="1"/>
    <xf numFmtId="165" fontId="0" fillId="25" borderId="11" xfId="0" quotePrefix="1" applyNumberFormat="1" applyFill="1" applyBorder="1" applyAlignment="1">
      <alignment horizontal="right"/>
    </xf>
    <xf numFmtId="0" fontId="46" fillId="40" borderId="0" xfId="0" applyFont="1" applyFill="1" applyAlignment="1">
      <alignment horizontal="center" wrapText="1"/>
    </xf>
    <xf numFmtId="0" fontId="39" fillId="40" borderId="0" xfId="0" applyFont="1" applyFill="1" applyAlignment="1">
      <alignment horizontal="center" wrapText="1"/>
    </xf>
    <xf numFmtId="0" fontId="0" fillId="40" borderId="0" xfId="0" applyFill="1" applyAlignment="1">
      <alignment horizontal="center" wrapText="1"/>
    </xf>
    <xf numFmtId="164" fontId="46" fillId="40" borderId="0" xfId="0" applyNumberFormat="1" applyFont="1" applyFill="1"/>
    <xf numFmtId="165" fontId="0" fillId="40" borderId="0" xfId="0" applyNumberFormat="1" applyFill="1"/>
    <xf numFmtId="165" fontId="44" fillId="40" borderId="0" xfId="0" applyNumberFormat="1" applyFont="1" applyFill="1"/>
    <xf numFmtId="165" fontId="44" fillId="42" borderId="0" xfId="0" applyNumberFormat="1" applyFont="1" applyFill="1"/>
    <xf numFmtId="3" fontId="0" fillId="40" borderId="17" xfId="0" applyNumberFormat="1" applyFill="1" applyBorder="1"/>
    <xf numFmtId="3" fontId="44" fillId="40" borderId="17" xfId="0" applyNumberFormat="1" applyFont="1" applyFill="1" applyBorder="1"/>
    <xf numFmtId="0" fontId="0" fillId="48" borderId="11" xfId="0" applyFill="1" applyBorder="1" applyAlignment="1">
      <alignment horizontal="center"/>
    </xf>
    <xf numFmtId="0" fontId="0" fillId="48" borderId="0" xfId="0" applyFill="1"/>
    <xf numFmtId="0" fontId="0" fillId="48" borderId="12" xfId="0" applyFill="1" applyBorder="1" applyAlignment="1">
      <alignment wrapText="1"/>
    </xf>
    <xf numFmtId="3" fontId="44" fillId="48" borderId="17" xfId="0" applyNumberFormat="1" applyFont="1" applyFill="1" applyBorder="1"/>
    <xf numFmtId="3" fontId="0" fillId="48" borderId="11" xfId="0" applyNumberFormat="1" applyFill="1" applyBorder="1"/>
    <xf numFmtId="165" fontId="0" fillId="25" borderId="11" xfId="0" applyNumberFormat="1" applyFill="1" applyBorder="1"/>
    <xf numFmtId="0" fontId="46" fillId="39" borderId="12" xfId="82" applyFont="1" applyFill="1" applyBorder="1" applyAlignment="1">
      <alignment horizontal="left" vertical="top"/>
    </xf>
    <xf numFmtId="0" fontId="0" fillId="43" borderId="12" xfId="0" applyFill="1" applyBorder="1"/>
    <xf numFmtId="0" fontId="0" fillId="43" borderId="17" xfId="0" applyFill="1" applyBorder="1"/>
    <xf numFmtId="0" fontId="48" fillId="44" borderId="0" xfId="0" applyFont="1" applyFill="1" applyAlignment="1">
      <alignment horizontal="left" vertical="center"/>
    </xf>
    <xf numFmtId="4" fontId="0" fillId="44" borderId="0" xfId="0" applyNumberFormat="1" applyFill="1"/>
    <xf numFmtId="0" fontId="0" fillId="44" borderId="0" xfId="0" applyFill="1" applyAlignment="1">
      <alignment horizontal="center"/>
    </xf>
    <xf numFmtId="0" fontId="0" fillId="43" borderId="18" xfId="0" applyFill="1" applyBorder="1"/>
    <xf numFmtId="0" fontId="44" fillId="43" borderId="20" xfId="0" applyFont="1" applyFill="1" applyBorder="1" applyAlignment="1">
      <alignment horizontal="left"/>
    </xf>
    <xf numFmtId="0" fontId="46" fillId="43" borderId="0" xfId="0" applyFont="1" applyFill="1" applyAlignment="1">
      <alignment horizontal="left" vertical="center"/>
    </xf>
    <xf numFmtId="4" fontId="0" fillId="43" borderId="0" xfId="0" applyNumberFormat="1" applyFill="1"/>
    <xf numFmtId="0" fontId="0" fillId="43" borderId="0" xfId="0" applyFill="1" applyAlignment="1">
      <alignment horizontal="center"/>
    </xf>
    <xf numFmtId="164" fontId="0" fillId="43" borderId="0" xfId="0" applyNumberFormat="1" applyFill="1"/>
    <xf numFmtId="0" fontId="0" fillId="43" borderId="20" xfId="0" applyFill="1" applyBorder="1"/>
    <xf numFmtId="0" fontId="39" fillId="43" borderId="14" xfId="0" applyFont="1" applyFill="1" applyBorder="1"/>
    <xf numFmtId="0" fontId="46" fillId="43" borderId="0" xfId="0" applyFont="1" applyFill="1" applyAlignment="1">
      <alignment horizontal="center" wrapText="1"/>
    </xf>
    <xf numFmtId="0" fontId="39" fillId="43" borderId="0" xfId="0" applyFont="1" applyFill="1" applyAlignment="1">
      <alignment horizontal="center" wrapText="1"/>
    </xf>
    <xf numFmtId="0" fontId="0" fillId="43" borderId="0" xfId="0" applyFill="1" applyAlignment="1">
      <alignment horizontal="center" wrapText="1"/>
    </xf>
    <xf numFmtId="164" fontId="46" fillId="43" borderId="0" xfId="0" applyNumberFormat="1" applyFont="1" applyFill="1"/>
    <xf numFmtId="165" fontId="0" fillId="43" borderId="0" xfId="0" applyNumberFormat="1" applyFill="1"/>
    <xf numFmtId="165" fontId="44" fillId="43" borderId="0" xfId="0" applyNumberFormat="1" applyFont="1" applyFill="1"/>
    <xf numFmtId="0" fontId="49" fillId="0" borderId="12" xfId="0" applyFont="1" applyBorder="1"/>
    <xf numFmtId="0" fontId="44" fillId="24" borderId="56" xfId="0" applyFont="1" applyFill="1" applyBorder="1" applyAlignment="1">
      <alignment horizontal="center" wrapText="1"/>
    </xf>
    <xf numFmtId="0" fontId="0" fillId="31" borderId="0" xfId="0" applyFill="1" applyAlignment="1">
      <alignment horizontal="center"/>
    </xf>
    <xf numFmtId="0" fontId="0" fillId="31" borderId="11" xfId="0" applyFill="1" applyBorder="1" applyAlignment="1">
      <alignment horizontal="center"/>
    </xf>
    <xf numFmtId="0" fontId="39" fillId="31" borderId="14" xfId="0" applyFont="1" applyFill="1" applyBorder="1"/>
    <xf numFmtId="0" fontId="29" fillId="31" borderId="0" xfId="0" applyFont="1" applyFill="1"/>
    <xf numFmtId="0" fontId="39" fillId="31" borderId="0" xfId="82" applyFont="1" applyFill="1"/>
    <xf numFmtId="0" fontId="44" fillId="31" borderId="12" xfId="0" applyFont="1" applyFill="1" applyBorder="1" applyAlignment="1">
      <alignment horizontal="left" wrapText="1"/>
    </xf>
    <xf numFmtId="0" fontId="46" fillId="31" borderId="0" xfId="0" applyFont="1" applyFill="1" applyAlignment="1">
      <alignment horizontal="center" wrapText="1"/>
    </xf>
    <xf numFmtId="0" fontId="39" fillId="31" borderId="0" xfId="0" applyFont="1" applyFill="1" applyAlignment="1">
      <alignment horizontal="center" wrapText="1"/>
    </xf>
    <xf numFmtId="0" fontId="0" fillId="31" borderId="0" xfId="0" applyFill="1" applyAlignment="1">
      <alignment horizontal="center" wrapText="1"/>
    </xf>
    <xf numFmtId="164" fontId="46" fillId="31" borderId="0" xfId="0" applyNumberFormat="1" applyFont="1" applyFill="1"/>
    <xf numFmtId="165" fontId="0" fillId="31" borderId="0" xfId="0" applyNumberFormat="1" applyFill="1"/>
    <xf numFmtId="165" fontId="44" fillId="31" borderId="0" xfId="0" applyNumberFormat="1" applyFont="1" applyFill="1"/>
    <xf numFmtId="0" fontId="0" fillId="42" borderId="12" xfId="0" applyFill="1" applyBorder="1"/>
    <xf numFmtId="0" fontId="48" fillId="42" borderId="20" xfId="0" applyFont="1" applyFill="1" applyBorder="1" applyAlignment="1">
      <alignment horizontal="right" vertical="center"/>
    </xf>
    <xf numFmtId="3" fontId="44" fillId="42" borderId="20" xfId="0" applyNumberFormat="1" applyFont="1" applyFill="1" applyBorder="1"/>
    <xf numFmtId="0" fontId="0" fillId="48" borderId="13" xfId="0" applyFill="1" applyBorder="1" applyAlignment="1">
      <alignment wrapText="1"/>
    </xf>
    <xf numFmtId="3" fontId="44" fillId="48" borderId="21" xfId="0" applyNumberFormat="1" applyFont="1" applyFill="1" applyBorder="1"/>
    <xf numFmtId="3" fontId="0" fillId="48" borderId="15" xfId="0" applyNumberFormat="1" applyFill="1" applyBorder="1"/>
    <xf numFmtId="0" fontId="0" fillId="31" borderId="11" xfId="0" applyFill="1" applyBorder="1"/>
    <xf numFmtId="0" fontId="0" fillId="31" borderId="12" xfId="0" applyFill="1" applyBorder="1"/>
    <xf numFmtId="3" fontId="0" fillId="31" borderId="17" xfId="0" applyNumberFormat="1" applyFill="1" applyBorder="1"/>
    <xf numFmtId="0" fontId="0" fillId="31" borderId="12" xfId="0" applyFill="1" applyBorder="1" applyAlignment="1">
      <alignment wrapText="1"/>
    </xf>
    <xf numFmtId="3" fontId="44" fillId="31" borderId="17" xfId="0" applyNumberFormat="1" applyFont="1" applyFill="1" applyBorder="1"/>
    <xf numFmtId="0" fontId="46" fillId="0" borderId="20" xfId="0" applyFont="1" applyBorder="1" applyAlignment="1">
      <alignment horizontal="left"/>
    </xf>
    <xf numFmtId="0" fontId="28" fillId="0" borderId="0" xfId="72" applyFill="1" applyBorder="1" applyAlignment="1" applyProtection="1"/>
    <xf numFmtId="3" fontId="81" fillId="0" borderId="11" xfId="0" quotePrefix="1" applyNumberFormat="1" applyFont="1" applyBorder="1" applyAlignment="1">
      <alignment wrapText="1"/>
    </xf>
    <xf numFmtId="0" fontId="46" fillId="0" borderId="20" xfId="0" applyFont="1" applyBorder="1" applyAlignment="1">
      <alignment wrapText="1"/>
    </xf>
    <xf numFmtId="0" fontId="46" fillId="0" borderId="17" xfId="0" applyFont="1" applyBorder="1" applyAlignment="1">
      <alignment wrapText="1"/>
    </xf>
    <xf numFmtId="9" fontId="44" fillId="0" borderId="11" xfId="0" applyNumberFormat="1" applyFont="1" applyBorder="1" applyAlignment="1">
      <alignment horizontal="left"/>
    </xf>
    <xf numFmtId="3" fontId="44" fillId="0" borderId="10" xfId="0" applyNumberFormat="1" applyFont="1" applyBorder="1" applyAlignment="1">
      <alignment horizontal="right"/>
    </xf>
    <xf numFmtId="0" fontId="0" fillId="25" borderId="14" xfId="0" applyFill="1" applyBorder="1"/>
    <xf numFmtId="0" fontId="0" fillId="25" borderId="0" xfId="0" applyFill="1" applyAlignment="1">
      <alignment horizontal="right"/>
    </xf>
    <xf numFmtId="3" fontId="0" fillId="25" borderId="19" xfId="0" applyNumberFormat="1" applyFill="1" applyBorder="1" applyAlignment="1">
      <alignment horizontal="right"/>
    </xf>
    <xf numFmtId="0" fontId="0" fillId="24" borderId="33" xfId="0" applyFill="1" applyBorder="1"/>
    <xf numFmtId="0" fontId="0" fillId="24" borderId="57" xfId="0" applyFill="1" applyBorder="1"/>
    <xf numFmtId="0" fontId="0" fillId="39" borderId="11" xfId="0" applyFill="1" applyBorder="1" applyAlignment="1">
      <alignment horizontal="center" wrapText="1"/>
    </xf>
    <xf numFmtId="3" fontId="0" fillId="0" borderId="50" xfId="0" applyNumberFormat="1" applyBorder="1" applyAlignment="1">
      <alignment horizontal="right"/>
    </xf>
    <xf numFmtId="0" fontId="0" fillId="25" borderId="10" xfId="0" applyFill="1" applyBorder="1"/>
    <xf numFmtId="0" fontId="0" fillId="25" borderId="22" xfId="0" applyFill="1" applyBorder="1"/>
    <xf numFmtId="165" fontId="0" fillId="0" borderId="11" xfId="0" applyNumberFormat="1" applyBorder="1" applyAlignment="1">
      <alignment horizontal="right"/>
    </xf>
    <xf numFmtId="0" fontId="46" fillId="25" borderId="23" xfId="0" applyFont="1" applyFill="1" applyBorder="1"/>
    <xf numFmtId="166" fontId="7" fillId="0" borderId="14" xfId="56" applyNumberFormat="1" applyFont="1" applyFill="1" applyBorder="1"/>
    <xf numFmtId="166" fontId="7" fillId="0" borderId="0" xfId="56" applyNumberFormat="1" applyFont="1" applyFill="1" applyBorder="1" applyAlignment="1">
      <alignment horizontal="left"/>
    </xf>
    <xf numFmtId="9" fontId="0" fillId="0" borderId="10" xfId="0" applyNumberFormat="1" applyBorder="1" applyAlignment="1">
      <alignment horizontal="right"/>
    </xf>
    <xf numFmtId="0" fontId="0" fillId="24" borderId="31" xfId="0" applyFill="1" applyBorder="1" applyAlignment="1">
      <alignment horizontal="center"/>
    </xf>
    <xf numFmtId="166" fontId="6" fillId="0" borderId="14" xfId="56" applyNumberFormat="1" applyFont="1" applyFill="1" applyBorder="1" applyAlignment="1">
      <alignment horizontal="left"/>
    </xf>
    <xf numFmtId="0" fontId="6" fillId="25" borderId="18" xfId="82" applyFont="1" applyFill="1" applyBorder="1"/>
    <xf numFmtId="166" fontId="6" fillId="0" borderId="23" xfId="56" applyNumberFormat="1" applyFont="1" applyFill="1" applyBorder="1" applyAlignment="1">
      <alignment horizontal="left"/>
    </xf>
    <xf numFmtId="166" fontId="6" fillId="0" borderId="10" xfId="56" applyNumberFormat="1" applyFont="1" applyFill="1" applyBorder="1" applyAlignment="1">
      <alignment horizontal="left"/>
    </xf>
    <xf numFmtId="166" fontId="28" fillId="0" borderId="10" xfId="72" applyNumberFormat="1" applyFill="1" applyBorder="1" applyAlignment="1" applyProtection="1">
      <alignment horizontal="left"/>
    </xf>
    <xf numFmtId="0" fontId="6" fillId="0" borderId="10" xfId="82" applyFont="1" applyBorder="1" applyAlignment="1">
      <alignment horizontal="center"/>
    </xf>
    <xf numFmtId="166" fontId="6" fillId="0" borderId="10" xfId="56" applyNumberFormat="1" applyFont="1" applyFill="1" applyBorder="1"/>
    <xf numFmtId="0" fontId="6" fillId="0" borderId="10" xfId="82" applyFont="1" applyBorder="1"/>
    <xf numFmtId="0" fontId="6" fillId="25" borderId="22" xfId="82" applyFont="1" applyFill="1" applyBorder="1"/>
    <xf numFmtId="0" fontId="39" fillId="37" borderId="0" xfId="0" applyFont="1" applyFill="1" applyAlignment="1">
      <alignment horizontal="center" wrapText="1"/>
    </xf>
    <xf numFmtId="0" fontId="39" fillId="37" borderId="50" xfId="0" applyFont="1" applyFill="1" applyBorder="1" applyAlignment="1">
      <alignment horizontal="center" wrapText="1"/>
    </xf>
    <xf numFmtId="0" fontId="0" fillId="40" borderId="21" xfId="0" applyFill="1" applyBorder="1"/>
    <xf numFmtId="0" fontId="44" fillId="25" borderId="0" xfId="0" applyFont="1" applyFill="1" applyAlignment="1">
      <alignment horizontal="center" wrapText="1"/>
    </xf>
    <xf numFmtId="0" fontId="46" fillId="39" borderId="12" xfId="82" applyFont="1" applyFill="1" applyBorder="1" applyAlignment="1">
      <alignment wrapText="1"/>
    </xf>
    <xf numFmtId="164" fontId="46" fillId="39" borderId="11" xfId="82" applyNumberFormat="1" applyFont="1" applyFill="1" applyBorder="1" applyAlignment="1">
      <alignment wrapText="1"/>
    </xf>
    <xf numFmtId="3" fontId="0" fillId="39" borderId="32" xfId="0" applyNumberFormat="1" applyFill="1" applyBorder="1" applyAlignment="1" applyProtection="1">
      <alignment horizontal="right"/>
      <protection locked="0"/>
    </xf>
    <xf numFmtId="9" fontId="0" fillId="39" borderId="11" xfId="92" applyFont="1" applyFill="1" applyBorder="1" applyAlignment="1" applyProtection="1">
      <alignment horizontal="right"/>
      <protection locked="0"/>
    </xf>
    <xf numFmtId="9" fontId="0" fillId="39" borderId="15" xfId="92" applyFont="1" applyFill="1" applyBorder="1" applyAlignment="1" applyProtection="1">
      <alignment horizontal="right"/>
      <protection locked="0"/>
    </xf>
    <xf numFmtId="9" fontId="27" fillId="39" borderId="19" xfId="92" applyFont="1" applyFill="1" applyBorder="1" applyProtection="1">
      <protection locked="0"/>
    </xf>
    <xf numFmtId="9" fontId="27" fillId="39" borderId="11" xfId="92" applyFont="1" applyFill="1" applyBorder="1" applyProtection="1">
      <protection locked="0"/>
    </xf>
    <xf numFmtId="168" fontId="0" fillId="39" borderId="11" xfId="0" applyNumberFormat="1" applyFill="1" applyBorder="1" applyProtection="1">
      <protection locked="0"/>
    </xf>
    <xf numFmtId="10" fontId="0" fillId="39" borderId="11" xfId="0" applyNumberFormat="1" applyFill="1" applyBorder="1" applyProtection="1">
      <protection locked="0"/>
    </xf>
    <xf numFmtId="10" fontId="0" fillId="39" borderId="11" xfId="0" applyNumberFormat="1" applyFill="1" applyBorder="1" applyAlignment="1" applyProtection="1">
      <alignment horizontal="right"/>
      <protection locked="0"/>
    </xf>
    <xf numFmtId="9" fontId="0" fillId="39" borderId="52" xfId="0" applyNumberFormat="1" applyFill="1" applyBorder="1" applyAlignment="1" applyProtection="1">
      <alignment horizontal="right"/>
      <protection locked="0"/>
    </xf>
    <xf numFmtId="9" fontId="0" fillId="39" borderId="11" xfId="0" applyNumberFormat="1" applyFill="1" applyBorder="1" applyAlignment="1" applyProtection="1">
      <alignment horizontal="right"/>
      <protection locked="0"/>
    </xf>
    <xf numFmtId="2" fontId="44" fillId="39" borderId="11" xfId="0" applyNumberFormat="1" applyFont="1" applyFill="1" applyBorder="1" applyAlignment="1" applyProtection="1">
      <alignment horizontal="right"/>
      <protection locked="0"/>
    </xf>
    <xf numFmtId="0" fontId="0" fillId="39" borderId="32" xfId="0" applyFill="1" applyBorder="1" applyProtection="1">
      <protection locked="0"/>
    </xf>
    <xf numFmtId="0" fontId="0" fillId="39" borderId="37" xfId="0" applyFill="1" applyBorder="1" applyProtection="1">
      <protection locked="0"/>
    </xf>
    <xf numFmtId="0" fontId="0" fillId="39" borderId="33" xfId="0" applyFill="1" applyBorder="1" applyProtection="1">
      <protection locked="0"/>
    </xf>
    <xf numFmtId="0" fontId="0" fillId="39" borderId="12" xfId="0" applyFill="1" applyBorder="1" applyProtection="1">
      <protection locked="0"/>
    </xf>
    <xf numFmtId="0" fontId="0" fillId="39" borderId="54" xfId="0" applyFill="1" applyBorder="1" applyProtection="1">
      <protection locked="0"/>
    </xf>
    <xf numFmtId="0" fontId="0" fillId="39" borderId="55" xfId="0" applyFill="1" applyBorder="1" applyProtection="1">
      <protection locked="0"/>
    </xf>
    <xf numFmtId="0" fontId="0" fillId="0" borderId="11" xfId="0" applyBorder="1" applyAlignment="1">
      <alignment horizontal="right"/>
    </xf>
    <xf numFmtId="0" fontId="46" fillId="24" borderId="19" xfId="0" applyFont="1" applyFill="1" applyBorder="1" applyAlignment="1">
      <alignment horizontal="center" wrapText="1"/>
    </xf>
    <xf numFmtId="0" fontId="0" fillId="24" borderId="18" xfId="0" applyFill="1" applyBorder="1" applyAlignment="1">
      <alignment horizontal="center" wrapText="1"/>
    </xf>
    <xf numFmtId="0" fontId="0" fillId="24" borderId="16" xfId="0" applyFill="1" applyBorder="1" applyAlignment="1">
      <alignment horizontal="center" wrapText="1"/>
    </xf>
    <xf numFmtId="164" fontId="46" fillId="43" borderId="10" xfId="0" applyNumberFormat="1" applyFont="1" applyFill="1" applyBorder="1"/>
    <xf numFmtId="165" fontId="0" fillId="43" borderId="10" xfId="0" applyNumberFormat="1" applyFill="1" applyBorder="1"/>
    <xf numFmtId="166" fontId="56" fillId="0" borderId="0" xfId="56" applyNumberFormat="1" applyFont="1" applyAlignment="1">
      <alignment horizontal="left"/>
    </xf>
    <xf numFmtId="0" fontId="0" fillId="39" borderId="11" xfId="0" applyFill="1" applyBorder="1" applyAlignment="1" applyProtection="1">
      <alignment horizontal="center" wrapText="1"/>
      <protection locked="0"/>
    </xf>
    <xf numFmtId="0" fontId="0" fillId="0" borderId="11" xfId="0" applyBorder="1" applyAlignment="1">
      <alignment wrapText="1"/>
    </xf>
    <xf numFmtId="0" fontId="0" fillId="25" borderId="11" xfId="0" applyFill="1" applyBorder="1" applyAlignment="1">
      <alignment wrapText="1"/>
    </xf>
    <xf numFmtId="0" fontId="0" fillId="0" borderId="13" xfId="0" applyBorder="1" applyAlignment="1">
      <alignment vertical="center"/>
    </xf>
    <xf numFmtId="0" fontId="46" fillId="24" borderId="19" xfId="82" applyFont="1" applyFill="1" applyBorder="1" applyAlignment="1">
      <alignment horizontal="center"/>
    </xf>
    <xf numFmtId="169" fontId="46" fillId="39" borderId="36" xfId="57" applyNumberFormat="1" applyFont="1" applyFill="1" applyBorder="1" applyAlignment="1" applyProtection="1">
      <alignment horizontal="right"/>
      <protection locked="0"/>
    </xf>
    <xf numFmtId="169" fontId="46" fillId="39" borderId="36" xfId="57" applyNumberFormat="1" applyFont="1" applyFill="1" applyBorder="1" applyProtection="1">
      <protection locked="0"/>
    </xf>
    <xf numFmtId="10" fontId="46" fillId="39" borderId="36" xfId="92" applyNumberFormat="1" applyFont="1" applyFill="1" applyBorder="1" applyProtection="1">
      <protection locked="0"/>
    </xf>
    <xf numFmtId="10" fontId="46" fillId="39" borderId="27" xfId="92" applyNumberFormat="1" applyFont="1" applyFill="1" applyBorder="1" applyProtection="1">
      <protection locked="0"/>
    </xf>
    <xf numFmtId="169" fontId="46" fillId="39" borderId="19" xfId="82" applyNumberFormat="1" applyFont="1" applyFill="1" applyBorder="1" applyProtection="1">
      <protection locked="0"/>
    </xf>
    <xf numFmtId="169" fontId="46" fillId="39" borderId="11" xfId="82" applyNumberFormat="1" applyFont="1" applyFill="1" applyBorder="1" applyProtection="1">
      <protection locked="0"/>
    </xf>
    <xf numFmtId="169" fontId="46" fillId="39" borderId="15" xfId="82" applyNumberFormat="1" applyFont="1" applyFill="1" applyBorder="1" applyProtection="1">
      <protection locked="0"/>
    </xf>
    <xf numFmtId="169" fontId="46" fillId="39" borderId="29" xfId="82" applyNumberFormat="1" applyFont="1" applyFill="1" applyBorder="1" applyProtection="1">
      <protection locked="0"/>
    </xf>
    <xf numFmtId="3" fontId="0" fillId="39" borderId="19" xfId="0" applyNumberFormat="1" applyFill="1" applyBorder="1" applyProtection="1">
      <protection locked="0"/>
    </xf>
    <xf numFmtId="3" fontId="0" fillId="39" borderId="29" xfId="0" applyNumberFormat="1" applyFill="1" applyBorder="1" applyProtection="1">
      <protection locked="0"/>
    </xf>
    <xf numFmtId="0" fontId="0" fillId="39" borderId="0" xfId="0" applyFill="1" applyProtection="1">
      <protection locked="0"/>
    </xf>
    <xf numFmtId="0" fontId="0" fillId="39" borderId="34" xfId="0" applyFill="1" applyBorder="1" applyProtection="1">
      <protection locked="0"/>
    </xf>
    <xf numFmtId="3" fontId="44" fillId="39" borderId="0" xfId="0" applyNumberFormat="1" applyFont="1" applyFill="1" applyProtection="1">
      <protection locked="0"/>
    </xf>
    <xf numFmtId="0" fontId="0" fillId="0" borderId="0" xfId="0" applyProtection="1">
      <protection locked="0"/>
    </xf>
    <xf numFmtId="9" fontId="0" fillId="39" borderId="0" xfId="0" applyNumberFormat="1" applyFill="1" applyProtection="1">
      <protection locked="0"/>
    </xf>
    <xf numFmtId="0" fontId="44" fillId="39" borderId="34" xfId="0" applyFont="1" applyFill="1" applyBorder="1" applyAlignment="1" applyProtection="1">
      <alignment horizontal="right"/>
      <protection locked="0"/>
    </xf>
    <xf numFmtId="166" fontId="6" fillId="0" borderId="0" xfId="56" applyNumberFormat="1" applyFont="1" applyAlignment="1">
      <alignment horizontal="center"/>
    </xf>
    <xf numFmtId="3" fontId="0" fillId="25" borderId="11" xfId="0" applyNumberFormat="1" applyFill="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0" borderId="12" xfId="0" applyBorder="1" applyAlignment="1">
      <alignment horizontal="left" wrapText="1"/>
    </xf>
    <xf numFmtId="0" fontId="0" fillId="0" borderId="20" xfId="0" applyBorder="1" applyAlignment="1">
      <alignment horizontal="left" wrapText="1"/>
    </xf>
    <xf numFmtId="0" fontId="0" fillId="0" borderId="17" xfId="0" applyBorder="1" applyAlignment="1">
      <alignment horizontal="left" wrapText="1"/>
    </xf>
    <xf numFmtId="0" fontId="0" fillId="24" borderId="12" xfId="0" applyFill="1" applyBorder="1" applyAlignment="1">
      <alignment horizontal="left"/>
    </xf>
    <xf numFmtId="0" fontId="0" fillId="24" borderId="20" xfId="0" applyFill="1" applyBorder="1" applyAlignment="1">
      <alignment horizontal="left"/>
    </xf>
    <xf numFmtId="0" fontId="0" fillId="24" borderId="17" xfId="0" applyFill="1" applyBorder="1" applyAlignment="1">
      <alignment horizontal="left"/>
    </xf>
    <xf numFmtId="0" fontId="36" fillId="0" borderId="0" xfId="0" applyFont="1" applyAlignment="1">
      <alignment horizontal="left" wrapText="1"/>
    </xf>
    <xf numFmtId="0" fontId="0" fillId="0" borderId="0" xfId="0" applyAlignment="1">
      <alignment horizontal="left" wrapText="1"/>
    </xf>
    <xf numFmtId="0" fontId="0" fillId="0" borderId="0" xfId="0" quotePrefix="1" applyAlignment="1">
      <alignment wrapText="1"/>
    </xf>
    <xf numFmtId="0" fontId="0" fillId="0" borderId="0" xfId="0" applyAlignment="1">
      <alignment wrapText="1"/>
    </xf>
    <xf numFmtId="0" fontId="0" fillId="0" borderId="0" xfId="0" applyFont="1"/>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igital.nhs.uk/data-and-information/publications/statistical/health-survey-for-england/2021/part-4-trends" TargetMode="External"/><Relationship Id="rId13" Type="http://schemas.openxmlformats.org/officeDocument/2006/relationships/hyperlink" Target="https://www.gov.uk/government/publications/drugs-and-pharmaceutical-electronic-market-information-emit" TargetMode="External"/><Relationship Id="rId18" Type="http://schemas.openxmlformats.org/officeDocument/2006/relationships/hyperlink" Target="https://nhr.mdsas.com/wp-content/uploads/2024/03/NHR-Annual-Report-2021-2022.pdf" TargetMode="External"/><Relationship Id="rId3" Type="http://schemas.openxmlformats.org/officeDocument/2006/relationships/hyperlink" Target="https://www.ons.gov.uk/peoplepopulationandcommunity/populationandmigration/populationprojections/bulletins/nationalpopulationprojections/2021basedinterim" TargetMode="External"/><Relationship Id="rId21" Type="http://schemas.openxmlformats.org/officeDocument/2006/relationships/comments" Target="../comments1.xml"/><Relationship Id="rId7" Type="http://schemas.openxmlformats.org/officeDocument/2006/relationships/hyperlink" Target="https://www.groupeproxim.ca/en/article/health/average-height-and-weight" TargetMode="External"/><Relationship Id="rId12" Type="http://schemas.openxmlformats.org/officeDocument/2006/relationships/hyperlink" Target="https://www.drugtariff.nhsbsa.nhs.uk/" TargetMode="External"/><Relationship Id="rId17" Type="http://schemas.openxmlformats.org/officeDocument/2006/relationships/hyperlink" Target="https://www.nice.org.uk/guidance/gid-ta11249/documents/committee-papers" TargetMode="External"/><Relationship Id="rId2" Type="http://schemas.openxmlformats.org/officeDocument/2006/relationships/hyperlink" Target="https://www.nisra.gov.uk/statistics/population/mid-year-population-estimates" TargetMode="External"/><Relationship Id="rId16" Type="http://schemas.openxmlformats.org/officeDocument/2006/relationships/hyperlink" Target="https://www.nice.org.uk/guidance/gid-ta11249/documents/committee-papers" TargetMode="External"/><Relationship Id="rId20" Type="http://schemas.openxmlformats.org/officeDocument/2006/relationships/vmlDrawing" Target="../drawings/vmlDrawing2.vm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bnf.nice.org.uk/drugs/plerixafor/medicinal-forms/" TargetMode="External"/><Relationship Id="rId11" Type="http://schemas.openxmlformats.org/officeDocument/2006/relationships/hyperlink" Target="https://icer.org/wp-content/uploads/2021/02/ICER_SCD_Evidence-Report_031220-FOR-PUBLICATION.pdf" TargetMode="External"/><Relationship Id="rId5" Type="http://schemas.openxmlformats.org/officeDocument/2006/relationships/hyperlink" Target="https://nhr.mdsas.com/wp-content/uploads/2024/03/NHR_Public_Report.pdf" TargetMode="External"/><Relationship Id="rId15" Type="http://schemas.openxmlformats.org/officeDocument/2006/relationships/hyperlink" Target="https://www.gov.uk/government/publications/drugs-and-pharmaceutical-electronic-market-information-emit" TargetMode="External"/><Relationship Id="rId10" Type="http://schemas.openxmlformats.org/officeDocument/2006/relationships/hyperlink" Target="https://hospital.blood.co.uk/components/portfolio-and-prices/" TargetMode="External"/><Relationship Id="rId19" Type="http://schemas.openxmlformats.org/officeDocument/2006/relationships/printerSettings" Target="../printerSettings/printerSettings4.bin"/><Relationship Id="rId4" Type="http://schemas.openxmlformats.org/officeDocument/2006/relationships/hyperlink" Target="https://nhr.mdsas.com/wp-content/uploads/2024/09/NHR-Annual-Report-23-24.pdf" TargetMode="External"/><Relationship Id="rId9" Type="http://schemas.openxmlformats.org/officeDocument/2006/relationships/hyperlink" Target="https://extendfertility.com/services/egg-freezing/the-egg-retrieval/" TargetMode="External"/><Relationship Id="rId14" Type="http://schemas.openxmlformats.org/officeDocument/2006/relationships/hyperlink" Target="https://www.gov.uk/government/publications/drugs-and-pharmaceutical-electronic-market-information-emi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wp-content/uploads/2018/07/Plerixafor-for-stem-cell-mobilisation.pdf?UNLID=40301369320241208420" TargetMode="External"/><Relationship Id="rId2" Type="http://schemas.openxmlformats.org/officeDocument/2006/relationships/hyperlink" Target="https://hospital.blood.co.uk/components/portfolio-and-prices/" TargetMode="External"/><Relationship Id="rId1" Type="http://schemas.openxmlformats.org/officeDocument/2006/relationships/hyperlink" Target="https://www.england.nhs.uk/pay-syst/national-tariff/national-tariff-payment-system/" TargetMode="External"/><Relationship Id="rId5" Type="http://schemas.openxmlformats.org/officeDocument/2006/relationships/printerSettings" Target="../printerSettings/printerSettings5.bin"/><Relationship Id="rId4" Type="http://schemas.openxmlformats.org/officeDocument/2006/relationships/hyperlink" Target="https://icer.org/wp-content/uploads/2021/02/ICER_SCD_Evidence-Report_031220-FOR-PUBLICATION.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F4" zoomScale="80" zoomScaleNormal="80" workbookViewId="0">
      <selection activeCell="V29" sqref="V29"/>
    </sheetView>
  </sheetViews>
  <sheetFormatPr defaultColWidth="9.140625" defaultRowHeight="14.25" x14ac:dyDescent="0.2"/>
  <cols>
    <col min="1" max="1" width="24.42578125" style="10" customWidth="1"/>
    <col min="2" max="2" width="49.42578125" style="10" customWidth="1"/>
    <col min="3" max="3" width="63.5703125" style="14" customWidth="1"/>
    <col min="4" max="4" width="20.42578125" style="10" customWidth="1"/>
    <col min="5" max="12" width="21" style="10" customWidth="1"/>
    <col min="13" max="13" width="22.85546875" style="10" customWidth="1"/>
    <col min="14" max="14" width="22.5703125" style="10" customWidth="1"/>
    <col min="15" max="15" width="25.85546875" style="10" customWidth="1"/>
    <col min="16" max="16" width="10.85546875" style="10" customWidth="1"/>
    <col min="17" max="17" width="15.140625" style="11" customWidth="1"/>
    <col min="18" max="18" width="20.140625" style="11" customWidth="1"/>
    <col min="19" max="23" width="10.85546875" style="11" customWidth="1"/>
    <col min="24" max="42" width="10.85546875" style="11" hidden="1" customWidth="1"/>
    <col min="43" max="50" width="10.85546875" style="12" hidden="1" customWidth="1"/>
    <col min="51" max="100" width="10.85546875" style="1" hidden="1" customWidth="1"/>
    <col min="101" max="106" width="10.85546875" style="1" customWidth="1"/>
    <col min="107" max="190" width="10.85546875" style="10" hidden="1" customWidth="1"/>
    <col min="191" max="193" width="10.85546875" style="10" customWidth="1"/>
    <col min="194" max="194" width="10.42578125" style="10" customWidth="1"/>
    <col min="195" max="16384" width="9.140625" style="10"/>
  </cols>
  <sheetData>
    <row r="1" spans="2:106" ht="15" x14ac:dyDescent="0.25">
      <c r="C1" s="709" t="s">
        <v>35</v>
      </c>
    </row>
    <row r="2" spans="2:106" ht="15" x14ac:dyDescent="0.25">
      <c r="B2" s="9" t="s">
        <v>34</v>
      </c>
    </row>
    <row r="3" spans="2:106" x14ac:dyDescent="0.2">
      <c r="B3" s="91" t="s">
        <v>36</v>
      </c>
      <c r="C3" s="486"/>
      <c r="D3" s="487"/>
      <c r="E3" s="487"/>
      <c r="F3" s="487"/>
      <c r="G3" s="92"/>
    </row>
    <row r="4" spans="2:106" ht="15" x14ac:dyDescent="0.25">
      <c r="B4" s="93"/>
      <c r="C4" s="94"/>
      <c r="D4" s="7"/>
      <c r="E4" s="7"/>
      <c r="F4" s="7"/>
      <c r="G4" s="95"/>
      <c r="L4" s="9" t="s">
        <v>37</v>
      </c>
      <c r="M4" s="9" t="s">
        <v>37</v>
      </c>
      <c r="N4" s="9" t="s">
        <v>38</v>
      </c>
      <c r="O4" s="9" t="s">
        <v>38</v>
      </c>
      <c r="P4" s="9" t="s">
        <v>39</v>
      </c>
      <c r="R4" s="166" t="s">
        <v>40</v>
      </c>
      <c r="S4" s="166" t="s">
        <v>41</v>
      </c>
      <c r="T4" s="166" t="s">
        <v>42</v>
      </c>
      <c r="V4" s="166" t="s">
        <v>43</v>
      </c>
    </row>
    <row r="5" spans="2:106" ht="28.5" x14ac:dyDescent="0.2">
      <c r="B5" s="96" t="s">
        <v>44</v>
      </c>
      <c r="C5" s="94"/>
      <c r="D5" s="7"/>
      <c r="E5" s="7"/>
      <c r="F5" s="7"/>
      <c r="G5" s="95"/>
      <c r="L5" s="15" t="s">
        <v>45</v>
      </c>
      <c r="M5" s="15" t="s">
        <v>46</v>
      </c>
      <c r="N5" s="15" t="s">
        <v>47</v>
      </c>
      <c r="O5" s="15" t="s">
        <v>48</v>
      </c>
      <c r="P5" s="18"/>
      <c r="Q5" s="16"/>
      <c r="R5" s="15" t="s">
        <v>48</v>
      </c>
      <c r="S5" s="136" t="s">
        <v>49</v>
      </c>
      <c r="V5" s="137">
        <v>4</v>
      </c>
    </row>
    <row r="6" spans="2:106" ht="15" x14ac:dyDescent="0.25">
      <c r="B6" s="96" t="s">
        <v>50</v>
      </c>
      <c r="C6" s="94"/>
      <c r="D6" s="7"/>
      <c r="E6" s="7"/>
      <c r="F6" s="7"/>
      <c r="G6" s="95"/>
      <c r="J6" s="132"/>
      <c r="L6" s="20" t="s">
        <v>51</v>
      </c>
      <c r="M6" s="20" t="s">
        <v>52</v>
      </c>
      <c r="N6" s="20" t="str">
        <f>'Inputs and eligible population'!$E$11</f>
        <v>National</v>
      </c>
      <c r="O6" s="20" t="str">
        <f>IFERROR(VLOOKUP('Inputs and eligible population'!$E$11, $L$5:$M$14, 2, FALSE), "-")</f>
        <v>NATIONAL</v>
      </c>
      <c r="P6" s="15" t="b">
        <f>ISTEXT('Inputs and eligible population'!$E$12)</f>
        <v>1</v>
      </c>
      <c r="R6" s="186" t="s">
        <v>53</v>
      </c>
      <c r="S6" s="136" t="s">
        <v>54</v>
      </c>
      <c r="V6" s="137">
        <v>5</v>
      </c>
    </row>
    <row r="7" spans="2:106" x14ac:dyDescent="0.2">
      <c r="B7" s="93"/>
      <c r="C7" s="94"/>
      <c r="D7" s="7"/>
      <c r="E7" s="7"/>
      <c r="F7" s="7"/>
      <c r="G7" s="95"/>
      <c r="L7" s="20" t="s">
        <v>55</v>
      </c>
      <c r="M7" s="20" t="s">
        <v>56</v>
      </c>
      <c r="N7" s="20" t="str">
        <f>'Inputs and eligible population'!$E$11</f>
        <v>National</v>
      </c>
      <c r="O7" s="20" t="str">
        <f>IFERROR(VLOOKUP('Inputs and eligible population'!$E$11, $L$5:$M$14, 2, FALSE), "-")</f>
        <v>NATIONAL</v>
      </c>
      <c r="P7" s="15" t="b">
        <f>ISTEXT('Inputs and eligible population'!$E$12)</f>
        <v>1</v>
      </c>
      <c r="R7" s="186" t="s">
        <v>57</v>
      </c>
      <c r="S7" s="380"/>
      <c r="V7" s="137">
        <v>6</v>
      </c>
    </row>
    <row r="8" spans="2:106" ht="19.5" customHeight="1" x14ac:dyDescent="0.2">
      <c r="B8" s="97" t="s">
        <v>58</v>
      </c>
      <c r="C8" s="98"/>
      <c r="D8" s="99"/>
      <c r="E8" s="99"/>
      <c r="F8" s="99"/>
      <c r="G8" s="100"/>
      <c r="L8" s="20" t="s">
        <v>59</v>
      </c>
      <c r="M8" s="20" t="s">
        <v>60</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2">
      <c r="B9" s="13"/>
      <c r="L9" s="20" t="s">
        <v>61</v>
      </c>
      <c r="M9" s="20" t="s">
        <v>62</v>
      </c>
      <c r="N9" s="20" t="str">
        <f>'Inputs and eligible population'!$E$11</f>
        <v>National</v>
      </c>
      <c r="O9" s="20" t="str">
        <f>IFERROR(VLOOKUP('Inputs and eligible population'!$E$11, $L$5:$M$14, 2, FALSE), "-")</f>
        <v>NATIONAL</v>
      </c>
      <c r="P9" s="15" t="b">
        <f>ISTEXT('Inputs and eligible population'!$E$12)</f>
        <v>1</v>
      </c>
      <c r="V9" s="137" t="s">
        <v>63</v>
      </c>
    </row>
    <row r="10" spans="2:106" x14ac:dyDescent="0.2">
      <c r="B10" s="13"/>
      <c r="K10" s="23"/>
      <c r="L10" s="20" t="s">
        <v>64</v>
      </c>
      <c r="M10" s="20" t="s">
        <v>65</v>
      </c>
      <c r="N10" s="20" t="str">
        <f>'Inputs and eligible population'!$E$11</f>
        <v>National</v>
      </c>
      <c r="O10" s="20" t="str">
        <f>IFERROR(VLOOKUP('Inputs and eligible population'!$E$11, $L$5:$M$14, 2, FALSE), "-")</f>
        <v>NATIONAL</v>
      </c>
      <c r="P10" s="15" t="b">
        <f>ISTEXT('Inputs and eligible population'!$E$12)</f>
        <v>1</v>
      </c>
      <c r="V10" s="137" t="s">
        <v>66</v>
      </c>
    </row>
    <row r="11" spans="2:106" ht="15" x14ac:dyDescent="0.25">
      <c r="B11" s="9" t="s">
        <v>67</v>
      </c>
      <c r="C11" s="23"/>
      <c r="D11" s="23"/>
      <c r="E11" s="23"/>
      <c r="K11" s="23"/>
      <c r="L11" s="109" t="s">
        <v>68</v>
      </c>
      <c r="M11" s="20" t="s">
        <v>69</v>
      </c>
      <c r="N11" s="20" t="str">
        <f>'Inputs and eligible population'!$E$11</f>
        <v>National</v>
      </c>
      <c r="O11" s="20" t="str">
        <f>IFERROR(VLOOKUP('Inputs and eligible population'!$E$11, $L$5:$M$14, 2, FALSE), "-")</f>
        <v>NATIONAL</v>
      </c>
      <c r="P11" s="15" t="b">
        <f>ISTEXT('Inputs and eligible population'!$E$12)</f>
        <v>1</v>
      </c>
      <c r="V11" s="137" t="s">
        <v>70</v>
      </c>
    </row>
    <row r="12" spans="2:106" ht="43.5" customHeight="1" x14ac:dyDescent="0.2">
      <c r="B12" s="14"/>
      <c r="D12" s="196" t="s">
        <v>71</v>
      </c>
      <c r="E12" s="196" t="s">
        <v>71</v>
      </c>
      <c r="L12" s="20" t="s">
        <v>72</v>
      </c>
      <c r="M12" s="20" t="s">
        <v>73</v>
      </c>
      <c r="N12" s="20" t="str">
        <f>'Inputs and eligible population'!$E$11</f>
        <v>National</v>
      </c>
      <c r="O12" s="20" t="str">
        <f>IFERROR(VLOOKUP('Inputs and eligible population'!$E$11, $L$5:$M$14, 2, FALSE), "-")</f>
        <v>NATIONAL</v>
      </c>
      <c r="P12" s="15" t="b">
        <f>ISTEXT('Inputs and eligible population'!$E$12)</f>
        <v>1</v>
      </c>
      <c r="V12" s="137" t="s">
        <v>74</v>
      </c>
    </row>
    <row r="13" spans="2:106" s="18" customFormat="1" ht="45.95" customHeight="1" x14ac:dyDescent="0.2">
      <c r="B13" s="197" t="s">
        <v>75</v>
      </c>
      <c r="C13" s="197" t="s">
        <v>76</v>
      </c>
      <c r="D13" s="25" t="s">
        <v>931</v>
      </c>
      <c r="E13" s="25" t="s">
        <v>932</v>
      </c>
      <c r="F13" s="197" t="s">
        <v>77</v>
      </c>
      <c r="G13" s="10"/>
      <c r="H13" s="10"/>
      <c r="I13" s="10"/>
      <c r="K13" s="10"/>
      <c r="L13" s="20" t="s">
        <v>78</v>
      </c>
      <c r="M13" s="20" t="s">
        <v>79</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91">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98"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23982304</v>
      </c>
      <c r="E14" s="90">
        <f>IF(OR(D14="", D14="-"), "",VLOOKUP((CONCATENATE($N7," - ",$B14)),$C$23:$GL$532,3,FALSE))</f>
        <v>25305672</v>
      </c>
      <c r="F14" s="19">
        <f>IFERROR(D14+E14, "")</f>
        <v>49287976</v>
      </c>
      <c r="L14" s="20" t="s">
        <v>80</v>
      </c>
      <c r="M14" s="20" t="s">
        <v>81</v>
      </c>
      <c r="N14" s="20" t="str">
        <f>'Inputs and eligible population'!$E$11</f>
        <v>National</v>
      </c>
      <c r="O14" s="20" t="str">
        <f>IFERROR(VLOOKUP('Inputs and eligible population'!$E$11, $L$5:$M$14, 2, FALSE), "-")</f>
        <v>NATIONAL</v>
      </c>
      <c r="P14" s="15" t="b">
        <f>ISTEXT('Inputs and eligible population'!$E$12)</f>
        <v>1</v>
      </c>
      <c r="V14" s="137" t="s">
        <v>82</v>
      </c>
    </row>
    <row r="15" spans="2:106" x14ac:dyDescent="0.2">
      <c r="B15" s="198"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49287976</v>
      </c>
      <c r="L15" s="20"/>
      <c r="M15" s="20"/>
      <c r="N15" s="20"/>
      <c r="O15" s="20"/>
      <c r="P15" s="20"/>
      <c r="V15" s="137" t="s">
        <v>83</v>
      </c>
    </row>
    <row r="16" spans="2:106" ht="15" x14ac:dyDescent="0.25">
      <c r="B16" s="199" t="s">
        <v>84</v>
      </c>
      <c r="C16" s="200">
        <f>IF(C15&gt;0,C14,C15)</f>
        <v>57106398</v>
      </c>
      <c r="D16" s="200">
        <f>IF(D15&gt;0,D14,D15)</f>
        <v>23982304</v>
      </c>
      <c r="E16" s="200">
        <f>IF(E15&gt;0,E14,E15)</f>
        <v>25305672</v>
      </c>
      <c r="F16" s="200">
        <f>SUM(F15)</f>
        <v>49287976</v>
      </c>
      <c r="L16" s="21"/>
      <c r="M16" s="21"/>
      <c r="P16" s="378">
        <f>COUNTIF(P6:P14, TRUE)</f>
        <v>9</v>
      </c>
    </row>
    <row r="17" spans="1:194" ht="15" x14ac:dyDescent="0.25">
      <c r="Q17" s="22"/>
      <c r="R17" s="22"/>
    </row>
    <row r="18" spans="1:194" ht="45.6" customHeight="1" x14ac:dyDescent="0.2">
      <c r="B18" s="89"/>
      <c r="C18" s="141"/>
      <c r="D18" s="25" t="s">
        <v>71</v>
      </c>
      <c r="E18" s="25" t="s">
        <v>71</v>
      </c>
      <c r="F18" s="89"/>
      <c r="I18" s="89"/>
      <c r="J18" s="89"/>
      <c r="K18" s="23"/>
      <c r="N18" s="23"/>
    </row>
    <row r="19" spans="1:194" ht="23.1" customHeight="1" x14ac:dyDescent="0.25">
      <c r="D19" s="201">
        <v>2</v>
      </c>
      <c r="E19" s="201">
        <v>3</v>
      </c>
      <c r="F19" s="201">
        <v>4</v>
      </c>
      <c r="G19" s="201">
        <v>5</v>
      </c>
      <c r="H19" s="201">
        <v>6</v>
      </c>
      <c r="K19" s="23"/>
    </row>
    <row r="20" spans="1:194" s="1" customFormat="1" ht="48" customHeight="1" x14ac:dyDescent="0.25">
      <c r="A20" s="122" t="s">
        <v>47</v>
      </c>
      <c r="B20" s="121" t="s">
        <v>85</v>
      </c>
      <c r="C20" s="121" t="s">
        <v>86</v>
      </c>
      <c r="D20" s="81" t="s">
        <v>87</v>
      </c>
      <c r="E20" s="81" t="s">
        <v>87</v>
      </c>
      <c r="F20" s="81" t="s">
        <v>88</v>
      </c>
      <c r="G20" s="81" t="s">
        <v>88</v>
      </c>
      <c r="H20" s="81" t="s">
        <v>88</v>
      </c>
      <c r="I20" s="121" t="s">
        <v>933</v>
      </c>
      <c r="J20" s="121" t="s">
        <v>933</v>
      </c>
      <c r="K20" s="121" t="s">
        <v>89</v>
      </c>
      <c r="L20" s="121" t="s">
        <v>89</v>
      </c>
      <c r="M20" s="123" t="s">
        <v>90</v>
      </c>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8"/>
      <c r="BG20" s="488"/>
      <c r="BH20" s="488"/>
      <c r="BI20" s="488"/>
      <c r="BJ20" s="488"/>
      <c r="BK20" s="488"/>
      <c r="BL20" s="488"/>
      <c r="BM20" s="488"/>
      <c r="BN20" s="488"/>
      <c r="BO20" s="488"/>
      <c r="BP20" s="488"/>
      <c r="BQ20" s="488"/>
      <c r="BR20" s="488"/>
      <c r="BS20" s="488"/>
      <c r="BT20" s="488"/>
      <c r="BU20" s="488"/>
      <c r="BV20" s="488"/>
      <c r="BW20" s="488"/>
      <c r="BX20" s="488"/>
      <c r="BY20" s="488"/>
      <c r="BZ20" s="488"/>
      <c r="CA20" s="488"/>
      <c r="CB20" s="488"/>
      <c r="CC20" s="488"/>
      <c r="CD20" s="488"/>
      <c r="CE20" s="488"/>
      <c r="CF20" s="488"/>
      <c r="CG20" s="488"/>
      <c r="CH20" s="488"/>
      <c r="CI20" s="488"/>
      <c r="CJ20" s="488"/>
      <c r="CK20" s="488"/>
      <c r="CL20" s="488"/>
      <c r="CM20" s="488"/>
      <c r="CN20" s="488"/>
      <c r="CO20" s="488"/>
      <c r="CP20" s="488"/>
      <c r="CQ20" s="488"/>
      <c r="CR20" s="488"/>
      <c r="CS20" s="488"/>
      <c r="CT20" s="488"/>
      <c r="CU20" s="488"/>
      <c r="CV20" s="488"/>
      <c r="CW20" s="488"/>
      <c r="CX20" s="488"/>
      <c r="CY20" s="124"/>
      <c r="CZ20" s="489" t="s">
        <v>91</v>
      </c>
      <c r="DA20" s="489"/>
      <c r="DB20" s="489"/>
      <c r="DC20" s="489"/>
      <c r="DD20" s="489"/>
      <c r="DE20" s="489"/>
      <c r="DF20" s="489"/>
      <c r="DG20" s="489"/>
      <c r="DH20" s="489"/>
      <c r="DI20" s="489"/>
      <c r="DJ20" s="489"/>
      <c r="DK20" s="489"/>
      <c r="DL20" s="489"/>
      <c r="DM20" s="489"/>
      <c r="DN20" s="489"/>
      <c r="DO20" s="489"/>
      <c r="DP20" s="489"/>
      <c r="DQ20" s="489"/>
      <c r="DR20" s="489"/>
      <c r="DS20" s="489"/>
      <c r="DT20" s="489"/>
      <c r="DU20" s="489"/>
      <c r="DV20" s="489"/>
      <c r="DW20" s="489"/>
      <c r="DX20" s="489"/>
      <c r="DY20" s="489"/>
      <c r="DZ20" s="489"/>
      <c r="EA20" s="489"/>
      <c r="EB20" s="489"/>
      <c r="EC20" s="489"/>
      <c r="ED20" s="489"/>
      <c r="EE20" s="489"/>
      <c r="EF20" s="489"/>
      <c r="EG20" s="489"/>
      <c r="EH20" s="489"/>
      <c r="EI20" s="489"/>
      <c r="EJ20" s="489"/>
      <c r="EK20" s="489"/>
      <c r="EL20" s="489"/>
      <c r="EM20" s="489"/>
      <c r="EN20" s="489"/>
      <c r="EO20" s="489"/>
      <c r="EP20" s="489"/>
      <c r="EQ20" s="489"/>
      <c r="ER20" s="489"/>
      <c r="ES20" s="489"/>
      <c r="ET20" s="489"/>
      <c r="EU20" s="489"/>
      <c r="EV20" s="489"/>
      <c r="EW20" s="489"/>
      <c r="EX20" s="489"/>
      <c r="EY20" s="489"/>
      <c r="EZ20" s="489"/>
      <c r="FA20" s="489"/>
      <c r="FB20" s="489"/>
      <c r="FC20" s="489"/>
      <c r="FD20" s="489"/>
      <c r="FE20" s="489"/>
      <c r="FF20" s="489"/>
      <c r="FG20" s="489"/>
      <c r="FH20" s="489"/>
      <c r="FI20" s="489"/>
      <c r="FJ20" s="489"/>
      <c r="FK20" s="489"/>
      <c r="FL20" s="489"/>
      <c r="FM20" s="489"/>
      <c r="FN20" s="489"/>
      <c r="FO20" s="489"/>
      <c r="FP20" s="489"/>
      <c r="FQ20" s="489"/>
      <c r="FR20" s="489"/>
      <c r="FS20" s="489"/>
      <c r="FT20" s="489"/>
      <c r="FU20" s="489"/>
      <c r="FV20" s="489"/>
      <c r="FW20" s="489"/>
      <c r="FX20" s="489"/>
      <c r="FY20" s="489"/>
      <c r="FZ20" s="489"/>
      <c r="GA20" s="489"/>
      <c r="GB20" s="489"/>
      <c r="GC20" s="489"/>
      <c r="GD20" s="489"/>
      <c r="GE20" s="489"/>
      <c r="GF20" s="489"/>
      <c r="GG20" s="489"/>
      <c r="GH20" s="489"/>
      <c r="GI20" s="489"/>
      <c r="GJ20" s="489"/>
      <c r="GK20" s="489"/>
      <c r="GL20" s="120"/>
    </row>
    <row r="21" spans="1:194" s="8" customFormat="1" ht="30" x14ac:dyDescent="0.25">
      <c r="A21" s="122"/>
      <c r="B21" s="121"/>
      <c r="C21" s="121"/>
      <c r="D21" s="24" t="s">
        <v>931</v>
      </c>
      <c r="E21" s="25" t="s">
        <v>932</v>
      </c>
      <c r="F21" s="81" t="s">
        <v>92</v>
      </c>
      <c r="G21" s="80" t="s">
        <v>90</v>
      </c>
      <c r="H21" s="80" t="s">
        <v>91</v>
      </c>
      <c r="I21" s="81" t="s">
        <v>90</v>
      </c>
      <c r="J21" s="80" t="s">
        <v>91</v>
      </c>
      <c r="K21" s="81" t="s">
        <v>90</v>
      </c>
      <c r="L21" s="26" t="s">
        <v>91</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93</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93</v>
      </c>
    </row>
    <row r="22" spans="1:194" s="1" customFormat="1" x14ac:dyDescent="0.2">
      <c r="A22" s="29"/>
      <c r="B22" s="71"/>
      <c r="C22" s="59"/>
      <c r="D22" s="77"/>
      <c r="E22" s="77"/>
      <c r="F22" s="490"/>
      <c r="G22" s="490"/>
      <c r="H22" s="77"/>
      <c r="I22" s="77"/>
      <c r="J22" s="77"/>
      <c r="K22" s="490"/>
      <c r="L22" s="77"/>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490"/>
      <c r="AS22" s="490"/>
      <c r="AT22" s="490"/>
      <c r="AU22" s="490"/>
      <c r="AV22" s="490"/>
      <c r="AW22" s="490"/>
      <c r="AX22" s="490"/>
      <c r="AY22" s="490"/>
      <c r="AZ22" s="490"/>
      <c r="BA22" s="490"/>
      <c r="BB22" s="490"/>
      <c r="BC22" s="490"/>
      <c r="BD22" s="490"/>
      <c r="BE22" s="490"/>
      <c r="BF22" s="490"/>
      <c r="BG22" s="490"/>
      <c r="BH22" s="490"/>
      <c r="BI22" s="490"/>
      <c r="BJ22" s="490"/>
      <c r="BK22" s="490"/>
      <c r="BL22" s="490"/>
      <c r="BM22" s="490"/>
      <c r="BN22" s="490"/>
      <c r="BO22" s="490"/>
      <c r="BP22" s="490"/>
      <c r="BQ22" s="490"/>
      <c r="BR22" s="490"/>
      <c r="BS22" s="490"/>
      <c r="BT22" s="490"/>
      <c r="BU22" s="490"/>
      <c r="BV22" s="490"/>
      <c r="BW22" s="490"/>
      <c r="BX22" s="490"/>
      <c r="BY22" s="490"/>
      <c r="BZ22" s="490"/>
      <c r="CA22" s="490"/>
      <c r="CB22" s="490"/>
      <c r="CC22" s="490"/>
      <c r="CD22" s="490"/>
      <c r="CE22" s="490"/>
      <c r="CF22" s="490"/>
      <c r="CG22" s="490"/>
      <c r="CH22" s="490"/>
      <c r="CI22" s="490"/>
      <c r="CJ22" s="490"/>
      <c r="CK22" s="490"/>
      <c r="CL22" s="490"/>
      <c r="CM22" s="490"/>
      <c r="CN22" s="490"/>
      <c r="CO22" s="490"/>
      <c r="CP22" s="490"/>
      <c r="CQ22" s="490"/>
      <c r="CR22" s="490"/>
      <c r="CS22" s="490"/>
      <c r="CT22" s="490"/>
      <c r="CU22" s="490"/>
      <c r="CV22" s="490"/>
      <c r="CW22" s="490"/>
      <c r="CX22" s="490"/>
      <c r="CY22" s="77"/>
      <c r="CZ22" s="490"/>
      <c r="DA22" s="490"/>
      <c r="DB22" s="490"/>
      <c r="DC22" s="490"/>
      <c r="DD22" s="490"/>
      <c r="DE22" s="490"/>
      <c r="DF22" s="490"/>
      <c r="DG22" s="490"/>
      <c r="DH22" s="490"/>
      <c r="DI22" s="490"/>
      <c r="DJ22" s="490"/>
      <c r="DK22" s="490"/>
      <c r="DL22" s="490"/>
      <c r="DM22" s="490"/>
      <c r="DN22" s="490"/>
      <c r="DO22" s="490"/>
      <c r="DP22" s="490"/>
      <c r="DQ22" s="490"/>
      <c r="DR22" s="490"/>
      <c r="DS22" s="490"/>
      <c r="DT22" s="490"/>
      <c r="DU22" s="490"/>
      <c r="DV22" s="490"/>
      <c r="DW22" s="490"/>
      <c r="DX22" s="490"/>
      <c r="DY22" s="490"/>
      <c r="DZ22" s="490"/>
      <c r="EA22" s="490"/>
      <c r="EB22" s="490"/>
      <c r="EC22" s="490"/>
      <c r="ED22" s="490"/>
      <c r="EE22" s="490"/>
      <c r="EF22" s="490"/>
      <c r="EG22" s="490"/>
      <c r="EH22" s="490"/>
      <c r="EI22" s="490"/>
      <c r="EJ22" s="490"/>
      <c r="EK22" s="490"/>
      <c r="EL22" s="490"/>
      <c r="EM22" s="490"/>
      <c r="EN22" s="490"/>
      <c r="EO22" s="490"/>
      <c r="EP22" s="490"/>
      <c r="EQ22" s="490"/>
      <c r="ER22" s="490"/>
      <c r="ES22" s="490"/>
      <c r="ET22" s="490"/>
      <c r="EU22" s="490"/>
      <c r="EV22" s="490"/>
      <c r="EW22" s="490"/>
      <c r="EX22" s="490"/>
      <c r="EY22" s="490"/>
      <c r="EZ22" s="490"/>
      <c r="FA22" s="490"/>
      <c r="FB22" s="490"/>
      <c r="FC22" s="490"/>
      <c r="FD22" s="490"/>
      <c r="FE22" s="490"/>
      <c r="FF22" s="490"/>
      <c r="FG22" s="490"/>
      <c r="FH22" s="490"/>
      <c r="FI22" s="490"/>
      <c r="FJ22" s="490"/>
      <c r="FK22" s="490"/>
      <c r="FL22" s="490"/>
      <c r="FM22" s="490"/>
      <c r="FN22" s="490"/>
      <c r="FO22" s="490"/>
      <c r="FP22" s="490"/>
      <c r="FQ22" s="490"/>
      <c r="FR22" s="490"/>
      <c r="FS22" s="490"/>
      <c r="FT22" s="490"/>
      <c r="FU22" s="490"/>
      <c r="FV22" s="490"/>
      <c r="FW22" s="490"/>
      <c r="FX22" s="490"/>
      <c r="FY22" s="490"/>
      <c r="FZ22" s="490"/>
      <c r="GA22" s="490"/>
      <c r="GB22" s="490"/>
      <c r="GC22" s="490"/>
      <c r="GD22" s="490"/>
      <c r="GE22" s="490"/>
      <c r="GF22" s="490"/>
      <c r="GG22" s="490"/>
      <c r="GH22" s="490"/>
      <c r="GI22" s="490"/>
      <c r="GJ22" s="490"/>
      <c r="GK22" s="490"/>
      <c r="GL22" s="77"/>
    </row>
    <row r="23" spans="1:194" s="69" customFormat="1" ht="21.75" customHeight="1" x14ac:dyDescent="0.25">
      <c r="A23" s="64" t="s">
        <v>45</v>
      </c>
      <c r="B23" s="65" t="s">
        <v>45</v>
      </c>
      <c r="C23" s="66" t="str">
        <f>CONCATENATE(A23, " - ", B23)</f>
        <v>Per 100,000 population - Per 100,000 population</v>
      </c>
      <c r="D23" s="68">
        <f>ROUND((SUM(D25:D27)/SUM($F$25:$F$27))*100000,0)</f>
        <v>42003</v>
      </c>
      <c r="E23" s="68">
        <f>(SUM(E25:E27)/SUM($F$25:$F$27))*100000</f>
        <v>44307.848315957526</v>
      </c>
      <c r="F23" s="67">
        <f>SUM(G23:H23)</f>
        <v>100000</v>
      </c>
      <c r="G23" s="67">
        <f>ROUND((SUM(G25:G27)/SUM($F$25:$F$27))*100000,0)</f>
        <v>49009</v>
      </c>
      <c r="H23" s="68">
        <f>ROUND((SUM(H25:H27)/SUM($F$25:$F$27))*100000,0)</f>
        <v>50991</v>
      </c>
      <c r="I23" s="68">
        <f>ROUND((SUM(I25:I27)/SUM($F$25:$F$27))*100000,0)</f>
        <v>42003</v>
      </c>
      <c r="J23" s="68">
        <f t="shared" ref="J23:BU23" si="0">(SUM(J25:J27)/SUM($F$25:$F$27))*100000</f>
        <v>44307.848315957526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ht="15" x14ac:dyDescent="0.25">
      <c r="A25" s="73" t="s">
        <v>55</v>
      </c>
      <c r="B25" s="527" t="s">
        <v>94</v>
      </c>
      <c r="C25" s="74" t="s">
        <v>95</v>
      </c>
      <c r="D25" s="76">
        <f t="shared" ref="D25:E27" si="3">I25</f>
        <v>23982304</v>
      </c>
      <c r="E25" s="76">
        <f t="shared" si="3"/>
        <v>25305672</v>
      </c>
      <c r="F25" s="491">
        <f>G25+H25</f>
        <v>57106398</v>
      </c>
      <c r="G25" s="491">
        <f>SUM(M25:CY25)</f>
        <v>27983290</v>
      </c>
      <c r="H25" s="75">
        <f>SUM(CZ25:GL25)</f>
        <v>29123108</v>
      </c>
      <c r="I25" s="75">
        <f>SUM(Y25:CY25)</f>
        <v>23982304</v>
      </c>
      <c r="J25" s="75">
        <f>SUM(DL25:GL25)</f>
        <v>25305672</v>
      </c>
      <c r="K25" s="492">
        <f>SUM(M25:AD25)</f>
        <v>6087888</v>
      </c>
      <c r="L25" s="76">
        <f>SUM(CZ25:DQ25)</f>
        <v>5799018</v>
      </c>
      <c r="M25" s="491">
        <v>305120</v>
      </c>
      <c r="N25" s="491">
        <v>303019</v>
      </c>
      <c r="O25" s="491">
        <v>314737</v>
      </c>
      <c r="P25" s="491">
        <v>321299</v>
      </c>
      <c r="Q25" s="491">
        <v>325230</v>
      </c>
      <c r="R25" s="491">
        <v>333023</v>
      </c>
      <c r="S25" s="491">
        <v>343154</v>
      </c>
      <c r="T25" s="491">
        <v>339729</v>
      </c>
      <c r="U25" s="491">
        <v>341966</v>
      </c>
      <c r="V25" s="491">
        <v>351482</v>
      </c>
      <c r="W25" s="491">
        <v>360539</v>
      </c>
      <c r="X25" s="491">
        <v>361688</v>
      </c>
      <c r="Y25" s="491">
        <v>356777</v>
      </c>
      <c r="Z25" s="491">
        <v>354079</v>
      </c>
      <c r="AA25" s="491">
        <v>357199</v>
      </c>
      <c r="AB25" s="491">
        <v>344190</v>
      </c>
      <c r="AC25" s="491">
        <v>336612</v>
      </c>
      <c r="AD25" s="491">
        <v>338045</v>
      </c>
      <c r="AE25" s="491">
        <v>339142</v>
      </c>
      <c r="AF25" s="491">
        <v>339234</v>
      </c>
      <c r="AG25" s="491">
        <v>338398</v>
      </c>
      <c r="AH25" s="491">
        <v>338465</v>
      </c>
      <c r="AI25" s="491">
        <v>345338</v>
      </c>
      <c r="AJ25" s="491">
        <v>358287</v>
      </c>
      <c r="AK25" s="491">
        <v>360304</v>
      </c>
      <c r="AL25" s="491">
        <v>365799</v>
      </c>
      <c r="AM25" s="491">
        <v>360324</v>
      </c>
      <c r="AN25" s="491">
        <v>364086</v>
      </c>
      <c r="AO25" s="491">
        <v>372653</v>
      </c>
      <c r="AP25" s="491">
        <v>372807</v>
      </c>
      <c r="AQ25" s="491">
        <v>383710</v>
      </c>
      <c r="AR25" s="491">
        <v>389563</v>
      </c>
      <c r="AS25" s="491">
        <v>387640</v>
      </c>
      <c r="AT25" s="491">
        <v>384620</v>
      </c>
      <c r="AU25" s="491">
        <v>387905</v>
      </c>
      <c r="AV25" s="491">
        <v>378829</v>
      </c>
      <c r="AW25" s="491">
        <v>378199</v>
      </c>
      <c r="AX25" s="491">
        <v>377186</v>
      </c>
      <c r="AY25" s="491">
        <v>365502</v>
      </c>
      <c r="AZ25" s="491">
        <v>366111</v>
      </c>
      <c r="BA25" s="491">
        <v>365728</v>
      </c>
      <c r="BB25" s="491">
        <v>369097</v>
      </c>
      <c r="BC25" s="491">
        <v>371802</v>
      </c>
      <c r="BD25" s="491">
        <v>357560</v>
      </c>
      <c r="BE25" s="491">
        <v>334069</v>
      </c>
      <c r="BF25" s="491">
        <v>328458</v>
      </c>
      <c r="BG25" s="491">
        <v>335746</v>
      </c>
      <c r="BH25" s="491">
        <v>342585</v>
      </c>
      <c r="BI25" s="491">
        <v>346685</v>
      </c>
      <c r="BJ25" s="491">
        <v>360442</v>
      </c>
      <c r="BK25" s="491">
        <v>373390</v>
      </c>
      <c r="BL25" s="491">
        <v>385375</v>
      </c>
      <c r="BM25" s="491">
        <v>375807</v>
      </c>
      <c r="BN25" s="491">
        <v>383988</v>
      </c>
      <c r="BO25" s="491">
        <v>382566</v>
      </c>
      <c r="BP25" s="491">
        <v>385629</v>
      </c>
      <c r="BQ25" s="491">
        <v>381742</v>
      </c>
      <c r="BR25" s="491">
        <v>381998</v>
      </c>
      <c r="BS25" s="491">
        <v>376164</v>
      </c>
      <c r="BT25" s="491">
        <v>367036</v>
      </c>
      <c r="BU25" s="491">
        <v>357672</v>
      </c>
      <c r="BV25" s="491">
        <v>344928</v>
      </c>
      <c r="BW25" s="491">
        <v>329857</v>
      </c>
      <c r="BX25" s="491">
        <v>319451</v>
      </c>
      <c r="BY25" s="491">
        <v>309724</v>
      </c>
      <c r="BZ25" s="491">
        <v>294558</v>
      </c>
      <c r="CA25" s="491">
        <v>282293</v>
      </c>
      <c r="CB25" s="491">
        <v>268536</v>
      </c>
      <c r="CC25" s="491">
        <v>266443</v>
      </c>
      <c r="CD25" s="491">
        <v>260410</v>
      </c>
      <c r="CE25" s="491">
        <v>249450</v>
      </c>
      <c r="CF25" s="491">
        <v>249080</v>
      </c>
      <c r="CG25" s="491">
        <v>249070</v>
      </c>
      <c r="CH25" s="491">
        <v>252982</v>
      </c>
      <c r="CI25" s="491">
        <v>263625</v>
      </c>
      <c r="CJ25" s="491">
        <v>283090</v>
      </c>
      <c r="CK25" s="491">
        <v>211587</v>
      </c>
      <c r="CL25" s="491">
        <v>200401</v>
      </c>
      <c r="CM25" s="491">
        <v>195036</v>
      </c>
      <c r="CN25" s="491">
        <v>174093</v>
      </c>
      <c r="CO25" s="491">
        <v>149572</v>
      </c>
      <c r="CP25" s="491">
        <v>127665</v>
      </c>
      <c r="CQ25" s="491">
        <v>127183</v>
      </c>
      <c r="CR25" s="491">
        <v>120061</v>
      </c>
      <c r="CS25" s="491">
        <v>109873</v>
      </c>
      <c r="CT25" s="491">
        <v>97456</v>
      </c>
      <c r="CU25" s="491">
        <v>84705</v>
      </c>
      <c r="CV25" s="491">
        <v>73428</v>
      </c>
      <c r="CW25" s="491">
        <v>60864</v>
      </c>
      <c r="CX25" s="491">
        <v>51376</v>
      </c>
      <c r="CY25" s="491">
        <v>170964</v>
      </c>
      <c r="CZ25" s="491">
        <v>291186</v>
      </c>
      <c r="DA25" s="491">
        <v>289546</v>
      </c>
      <c r="DB25" s="491">
        <v>300800</v>
      </c>
      <c r="DC25" s="491">
        <v>305906</v>
      </c>
      <c r="DD25" s="491">
        <v>310539</v>
      </c>
      <c r="DE25" s="491">
        <v>318263</v>
      </c>
      <c r="DF25" s="491">
        <v>326932</v>
      </c>
      <c r="DG25" s="491">
        <v>324633</v>
      </c>
      <c r="DH25" s="491">
        <v>326780</v>
      </c>
      <c r="DI25" s="491">
        <v>334543</v>
      </c>
      <c r="DJ25" s="491">
        <v>344341</v>
      </c>
      <c r="DK25" s="491">
        <v>343967</v>
      </c>
      <c r="DL25" s="491">
        <v>339949</v>
      </c>
      <c r="DM25" s="491">
        <v>337345</v>
      </c>
      <c r="DN25" s="491">
        <v>340474</v>
      </c>
      <c r="DO25" s="491">
        <v>326885</v>
      </c>
      <c r="DP25" s="491">
        <v>319023</v>
      </c>
      <c r="DQ25" s="491">
        <v>317906</v>
      </c>
      <c r="DR25" s="491">
        <v>318297</v>
      </c>
      <c r="DS25" s="491">
        <v>319325</v>
      </c>
      <c r="DT25" s="491">
        <v>325075</v>
      </c>
      <c r="DU25" s="491">
        <v>327194</v>
      </c>
      <c r="DV25" s="491">
        <v>333614</v>
      </c>
      <c r="DW25" s="491">
        <v>350669</v>
      </c>
      <c r="DX25" s="491">
        <v>358581</v>
      </c>
      <c r="DY25" s="491">
        <v>367839</v>
      </c>
      <c r="DZ25" s="491">
        <v>363988</v>
      </c>
      <c r="EA25" s="491">
        <v>374022</v>
      </c>
      <c r="EB25" s="491">
        <v>387522</v>
      </c>
      <c r="EC25" s="491">
        <v>390671</v>
      </c>
      <c r="ED25" s="491">
        <v>404331</v>
      </c>
      <c r="EE25" s="491">
        <v>410921</v>
      </c>
      <c r="EF25" s="491">
        <v>413176</v>
      </c>
      <c r="EG25" s="491">
        <v>411450</v>
      </c>
      <c r="EH25" s="491">
        <v>417983</v>
      </c>
      <c r="EI25" s="491">
        <v>409203</v>
      </c>
      <c r="EJ25" s="491">
        <v>404000</v>
      </c>
      <c r="EK25" s="491">
        <v>401928</v>
      </c>
      <c r="EL25" s="491">
        <v>389436</v>
      </c>
      <c r="EM25" s="491">
        <v>389518</v>
      </c>
      <c r="EN25" s="491">
        <v>386124</v>
      </c>
      <c r="EO25" s="491">
        <v>390735</v>
      </c>
      <c r="EP25" s="491">
        <v>390956</v>
      </c>
      <c r="EQ25" s="491">
        <v>373536</v>
      </c>
      <c r="ER25" s="491">
        <v>346385</v>
      </c>
      <c r="ES25" s="491">
        <v>339293</v>
      </c>
      <c r="ET25" s="491">
        <v>345871</v>
      </c>
      <c r="EU25" s="491">
        <v>353016</v>
      </c>
      <c r="EV25" s="491">
        <v>356906</v>
      </c>
      <c r="EW25" s="491">
        <v>370244</v>
      </c>
      <c r="EX25" s="491">
        <v>384214</v>
      </c>
      <c r="EY25" s="491">
        <v>399644</v>
      </c>
      <c r="EZ25" s="491">
        <v>389031</v>
      </c>
      <c r="FA25" s="491">
        <v>397139</v>
      </c>
      <c r="FB25" s="491">
        <v>395547</v>
      </c>
      <c r="FC25" s="491">
        <v>396676</v>
      </c>
      <c r="FD25" s="491">
        <v>396578</v>
      </c>
      <c r="FE25" s="491">
        <v>396708</v>
      </c>
      <c r="FF25" s="491">
        <v>390539</v>
      </c>
      <c r="FG25" s="491">
        <v>380695</v>
      </c>
      <c r="FH25" s="491">
        <v>371143</v>
      </c>
      <c r="FI25" s="491">
        <v>355407</v>
      </c>
      <c r="FJ25" s="491">
        <v>340408</v>
      </c>
      <c r="FK25" s="491">
        <v>331322</v>
      </c>
      <c r="FL25" s="491">
        <v>321164</v>
      </c>
      <c r="FM25" s="491">
        <v>308551</v>
      </c>
      <c r="FN25" s="491">
        <v>295719</v>
      </c>
      <c r="FO25" s="491">
        <v>284931</v>
      </c>
      <c r="FP25" s="491">
        <v>285437</v>
      </c>
      <c r="FQ25" s="491">
        <v>278929</v>
      </c>
      <c r="FR25" s="491">
        <v>271460</v>
      </c>
      <c r="FS25" s="491">
        <v>271487</v>
      </c>
      <c r="FT25" s="491">
        <v>275610</v>
      </c>
      <c r="FU25" s="491">
        <v>280129</v>
      </c>
      <c r="FV25" s="491">
        <v>294843</v>
      </c>
      <c r="FW25" s="491">
        <v>316380</v>
      </c>
      <c r="FX25" s="491">
        <v>240292</v>
      </c>
      <c r="FY25" s="491">
        <v>230370</v>
      </c>
      <c r="FZ25" s="491">
        <v>225985</v>
      </c>
      <c r="GA25" s="491">
        <v>206546</v>
      </c>
      <c r="GB25" s="491">
        <v>181398</v>
      </c>
      <c r="GC25" s="491">
        <v>159103</v>
      </c>
      <c r="GD25" s="491">
        <v>161482</v>
      </c>
      <c r="GE25" s="491">
        <v>155577</v>
      </c>
      <c r="GF25" s="491">
        <v>145759</v>
      </c>
      <c r="GG25" s="491">
        <v>132931</v>
      </c>
      <c r="GH25" s="491">
        <v>120255</v>
      </c>
      <c r="GI25" s="491">
        <v>107758</v>
      </c>
      <c r="GJ25" s="491">
        <v>93505</v>
      </c>
      <c r="GK25" s="491">
        <v>82264</v>
      </c>
      <c r="GL25" s="491">
        <v>349365</v>
      </c>
    </row>
    <row r="26" spans="1:194" s="8" customFormat="1" ht="15" x14ac:dyDescent="0.25">
      <c r="A26" s="31" t="s">
        <v>55</v>
      </c>
      <c r="B26" s="528" t="s">
        <v>96</v>
      </c>
      <c r="C26" s="32" t="s">
        <v>97</v>
      </c>
      <c r="D26" s="34">
        <f t="shared" si="3"/>
        <v>1329100</v>
      </c>
      <c r="E26" s="34">
        <f t="shared" si="3"/>
        <v>1400785</v>
      </c>
      <c r="F26" s="35">
        <f>G26+H26</f>
        <v>3131640</v>
      </c>
      <c r="G26" s="35">
        <f>SUM(M26:CY26)</f>
        <v>1534884</v>
      </c>
      <c r="H26" s="36">
        <f>SUM(CZ26:GL26)</f>
        <v>1596756</v>
      </c>
      <c r="I26" s="36">
        <f>SUM(Y26:CY26)</f>
        <v>1329100</v>
      </c>
      <c r="J26" s="36">
        <f>SUM(DL26:GL26)</f>
        <v>1400785</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ht="15" x14ac:dyDescent="0.25">
      <c r="A27" s="37" t="s">
        <v>55</v>
      </c>
      <c r="B27" s="529" t="s">
        <v>98</v>
      </c>
      <c r="C27" s="38" t="s">
        <v>99</v>
      </c>
      <c r="D27" s="40">
        <f t="shared" si="3"/>
        <v>792699</v>
      </c>
      <c r="E27" s="40">
        <f t="shared" si="3"/>
        <v>830242</v>
      </c>
      <c r="F27" s="41">
        <f>G27+H27</f>
        <v>1910543</v>
      </c>
      <c r="G27" s="41">
        <f>SUM(M27:CY27)</f>
        <v>939947</v>
      </c>
      <c r="H27" s="42">
        <f>SUM(CZ27:GL27)</f>
        <v>970596</v>
      </c>
      <c r="I27" s="42">
        <f>SUM(Y27:CY27)</f>
        <v>792699</v>
      </c>
      <c r="J27" s="42">
        <f>SUM(DL27:GL27)</f>
        <v>830242</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
      <c r="A28" s="43"/>
      <c r="B28" s="530"/>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
      <c r="A29" s="82" t="s">
        <v>80</v>
      </c>
      <c r="B29" s="531" t="s">
        <v>100</v>
      </c>
      <c r="C29" s="71" t="str">
        <f t="shared" ref="C29:C92" si="4">CONCATENATE(A29," - ",B29)</f>
        <v xml:space="preserve">England – CCGs - Barnsley </v>
      </c>
      <c r="D29" s="60">
        <f>I29</f>
        <v>104033</v>
      </c>
      <c r="E29" s="60">
        <f>J29</f>
        <v>108738</v>
      </c>
      <c r="F29" s="493">
        <f>G29+H29</f>
        <v>246482</v>
      </c>
      <c r="G29" s="493">
        <f>SUM(M29:CY29)</f>
        <v>121223</v>
      </c>
      <c r="H29" s="61">
        <f>SUM(CZ29:GL29)</f>
        <v>125259</v>
      </c>
      <c r="I29" s="61">
        <f>SUM(Y29:CY29)</f>
        <v>104033</v>
      </c>
      <c r="J29" s="61">
        <f t="shared" ref="J29:J60" si="5">SUM(DL29:GL29)</f>
        <v>108738</v>
      </c>
      <c r="K29" s="494">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
      <c r="A30" s="86" t="s">
        <v>80</v>
      </c>
      <c r="B30" s="531" t="s">
        <v>101</v>
      </c>
      <c r="C30" s="29" t="str">
        <f t="shared" si="4"/>
        <v xml:space="preserve">England – CCGs - Basildon and Brentwood </v>
      </c>
      <c r="D30" s="50">
        <f>I30</f>
        <v>108443</v>
      </c>
      <c r="E30" s="50">
        <f>J30</f>
        <v>116942</v>
      </c>
      <c r="F30" s="51">
        <f>G30+H30</f>
        <v>266180</v>
      </c>
      <c r="G30" s="51">
        <f>SUM(M30:CY30)</f>
        <v>129358</v>
      </c>
      <c r="H30" s="52">
        <f>SUM(CZ30:GL30)</f>
        <v>136822</v>
      </c>
      <c r="I30" s="61">
        <f t="shared" ref="I30:I93" si="6">SUM(Y30:CY30)</f>
        <v>108443</v>
      </c>
      <c r="J30" s="52">
        <f t="shared" si="5"/>
        <v>116942</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
      <c r="A31" s="86" t="s">
        <v>80</v>
      </c>
      <c r="B31" s="531" t="s">
        <v>102</v>
      </c>
      <c r="C31" s="29" t="str">
        <f t="shared" si="4"/>
        <v xml:space="preserve">England – CCGs - Bassetlaw </v>
      </c>
      <c r="D31" s="50">
        <f t="shared" ref="D31:E90" si="7">I31</f>
        <v>51512</v>
      </c>
      <c r="E31" s="50">
        <f t="shared" si="7"/>
        <v>52980</v>
      </c>
      <c r="F31" s="51">
        <f t="shared" ref="F31:F94" si="8">G31+H31</f>
        <v>120012</v>
      </c>
      <c r="G31" s="51">
        <f t="shared" ref="G31:G94" si="9">SUM(M31:CY31)</f>
        <v>59485</v>
      </c>
      <c r="H31" s="52">
        <f t="shared" ref="H31:H94" si="10">SUM(CZ31:GL31)</f>
        <v>60527</v>
      </c>
      <c r="I31" s="61">
        <f t="shared" si="6"/>
        <v>51512</v>
      </c>
      <c r="J31" s="52">
        <f t="shared" si="5"/>
        <v>52980</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
      <c r="A32" s="86" t="s">
        <v>80</v>
      </c>
      <c r="B32" s="531" t="s">
        <v>103</v>
      </c>
      <c r="C32" s="29" t="str">
        <f t="shared" si="4"/>
        <v xml:space="preserve">England – CCGs - Bath and North East Somerset, Swindon and Wiltshire </v>
      </c>
      <c r="D32" s="50">
        <f t="shared" si="7"/>
        <v>406174</v>
      </c>
      <c r="E32" s="50">
        <f t="shared" si="7"/>
        <v>421290</v>
      </c>
      <c r="F32" s="51">
        <f t="shared" si="8"/>
        <v>953852</v>
      </c>
      <c r="G32" s="51">
        <f t="shared" si="9"/>
        <v>470982</v>
      </c>
      <c r="H32" s="52">
        <f t="shared" si="10"/>
        <v>482870</v>
      </c>
      <c r="I32" s="61">
        <f t="shared" si="6"/>
        <v>406174</v>
      </c>
      <c r="J32" s="52">
        <f t="shared" si="5"/>
        <v>421290</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
      <c r="A33" s="86" t="s">
        <v>80</v>
      </c>
      <c r="B33" s="531" t="s">
        <v>104</v>
      </c>
      <c r="C33" s="29" t="str">
        <f t="shared" si="4"/>
        <v xml:space="preserve">England – CCGs - Bedfordshire, Luton and Milton Keynes </v>
      </c>
      <c r="D33" s="50">
        <f t="shared" si="7"/>
        <v>421029</v>
      </c>
      <c r="E33" s="50">
        <f t="shared" si="7"/>
        <v>434025</v>
      </c>
      <c r="F33" s="51">
        <f t="shared" si="8"/>
        <v>1015380</v>
      </c>
      <c r="G33" s="51">
        <f t="shared" si="9"/>
        <v>503181</v>
      </c>
      <c r="H33" s="52">
        <f t="shared" si="10"/>
        <v>512199</v>
      </c>
      <c r="I33" s="61">
        <f t="shared" si="6"/>
        <v>421029</v>
      </c>
      <c r="J33" s="52">
        <f t="shared" si="5"/>
        <v>434025</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
      <c r="A34" s="86" t="s">
        <v>80</v>
      </c>
      <c r="B34" s="531" t="s">
        <v>105</v>
      </c>
      <c r="C34" s="29" t="str">
        <f t="shared" si="4"/>
        <v xml:space="preserve">England – CCGs - Berkshire West </v>
      </c>
      <c r="D34" s="50">
        <f t="shared" si="7"/>
        <v>218219</v>
      </c>
      <c r="E34" s="50">
        <f t="shared" si="7"/>
        <v>225295</v>
      </c>
      <c r="F34" s="51">
        <f t="shared" si="8"/>
        <v>518002</v>
      </c>
      <c r="G34" s="51">
        <f t="shared" si="9"/>
        <v>256499</v>
      </c>
      <c r="H34" s="52">
        <f t="shared" si="10"/>
        <v>261503</v>
      </c>
      <c r="I34" s="61">
        <f t="shared" si="6"/>
        <v>218219</v>
      </c>
      <c r="J34" s="52">
        <f t="shared" si="5"/>
        <v>225295</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
      <c r="A35" s="86" t="s">
        <v>80</v>
      </c>
      <c r="B35" s="531" t="s">
        <v>106</v>
      </c>
      <c r="C35" s="29" t="str">
        <f t="shared" si="4"/>
        <v xml:space="preserve">England – CCGs - Birmingham and Solihull </v>
      </c>
      <c r="D35" s="50">
        <f t="shared" si="7"/>
        <v>488907</v>
      </c>
      <c r="E35" s="50">
        <f t="shared" si="7"/>
        <v>519650</v>
      </c>
      <c r="F35" s="51">
        <f t="shared" si="8"/>
        <v>1199381</v>
      </c>
      <c r="G35" s="51">
        <f t="shared" si="9"/>
        <v>586025</v>
      </c>
      <c r="H35" s="52">
        <f t="shared" si="10"/>
        <v>613356</v>
      </c>
      <c r="I35" s="61">
        <f t="shared" si="6"/>
        <v>488907</v>
      </c>
      <c r="J35" s="52">
        <f t="shared" si="5"/>
        <v>519650</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
      <c r="A36" s="86" t="s">
        <v>80</v>
      </c>
      <c r="B36" s="531" t="s">
        <v>107</v>
      </c>
      <c r="C36" s="29" t="str">
        <f t="shared" si="4"/>
        <v xml:space="preserve">England – CCGs - Black Country and West Birmingham </v>
      </c>
      <c r="D36" s="50">
        <f t="shared" si="7"/>
        <v>577338</v>
      </c>
      <c r="E36" s="50">
        <f t="shared" si="7"/>
        <v>600776</v>
      </c>
      <c r="F36" s="51">
        <f t="shared" si="8"/>
        <v>1398835</v>
      </c>
      <c r="G36" s="51">
        <f t="shared" si="9"/>
        <v>690615</v>
      </c>
      <c r="H36" s="52">
        <f t="shared" si="10"/>
        <v>708220</v>
      </c>
      <c r="I36" s="61">
        <f t="shared" si="6"/>
        <v>577338</v>
      </c>
      <c r="J36" s="52">
        <f t="shared" si="5"/>
        <v>600776</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
      <c r="A37" s="86" t="s">
        <v>80</v>
      </c>
      <c r="B37" s="531" t="s">
        <v>108</v>
      </c>
      <c r="C37" s="29" t="str">
        <f t="shared" si="4"/>
        <v xml:space="preserve">England – CCGs - Blackburn with Darwen </v>
      </c>
      <c r="D37" s="50">
        <f t="shared" si="7"/>
        <v>64222</v>
      </c>
      <c r="E37" s="50">
        <f t="shared" si="7"/>
        <v>65690</v>
      </c>
      <c r="F37" s="51">
        <f t="shared" si="8"/>
        <v>155762</v>
      </c>
      <c r="G37" s="51">
        <f t="shared" si="9"/>
        <v>77331</v>
      </c>
      <c r="H37" s="52">
        <f t="shared" si="10"/>
        <v>78431</v>
      </c>
      <c r="I37" s="61">
        <f t="shared" si="6"/>
        <v>64222</v>
      </c>
      <c r="J37" s="52">
        <f t="shared" si="5"/>
        <v>65690</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
      <c r="A38" s="86" t="s">
        <v>80</v>
      </c>
      <c r="B38" s="531" t="s">
        <v>109</v>
      </c>
      <c r="C38" s="29" t="str">
        <f t="shared" si="4"/>
        <v xml:space="preserve">England – CCGs - Blackpool </v>
      </c>
      <c r="D38" s="50">
        <f t="shared" si="7"/>
        <v>60641</v>
      </c>
      <c r="E38" s="50">
        <f t="shared" si="7"/>
        <v>62397</v>
      </c>
      <c r="F38" s="51">
        <f t="shared" si="8"/>
        <v>141574</v>
      </c>
      <c r="G38" s="51">
        <f t="shared" si="9"/>
        <v>70014</v>
      </c>
      <c r="H38" s="52">
        <f t="shared" si="10"/>
        <v>71560</v>
      </c>
      <c r="I38" s="61">
        <f t="shared" si="6"/>
        <v>60641</v>
      </c>
      <c r="J38" s="52">
        <f t="shared" si="5"/>
        <v>62397</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
      <c r="A39" s="86" t="s">
        <v>80</v>
      </c>
      <c r="B39" s="531" t="s">
        <v>110</v>
      </c>
      <c r="C39" s="29" t="str">
        <f t="shared" si="4"/>
        <v xml:space="preserve">England – CCGs - Bolton </v>
      </c>
      <c r="D39" s="50">
        <f t="shared" si="7"/>
        <v>123561</v>
      </c>
      <c r="E39" s="50">
        <f t="shared" si="7"/>
        <v>127822</v>
      </c>
      <c r="F39" s="51">
        <f t="shared" si="8"/>
        <v>298903</v>
      </c>
      <c r="G39" s="51">
        <f t="shared" si="9"/>
        <v>147723</v>
      </c>
      <c r="H39" s="52">
        <f t="shared" si="10"/>
        <v>151180</v>
      </c>
      <c r="I39" s="61">
        <f t="shared" si="6"/>
        <v>123561</v>
      </c>
      <c r="J39" s="52">
        <f t="shared" si="5"/>
        <v>127822</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
      <c r="A40" s="86" t="s">
        <v>80</v>
      </c>
      <c r="B40" s="531" t="s">
        <v>111</v>
      </c>
      <c r="C40" s="29" t="str">
        <f t="shared" si="4"/>
        <v xml:space="preserve">England – CCGs - Bradford District and Craven </v>
      </c>
      <c r="D40" s="50">
        <f t="shared" si="7"/>
        <v>247205</v>
      </c>
      <c r="E40" s="50">
        <f t="shared" si="7"/>
        <v>259859</v>
      </c>
      <c r="F40" s="51">
        <f t="shared" si="8"/>
        <v>604251</v>
      </c>
      <c r="G40" s="51">
        <f t="shared" si="9"/>
        <v>296243</v>
      </c>
      <c r="H40" s="52">
        <f t="shared" si="10"/>
        <v>308008</v>
      </c>
      <c r="I40" s="61">
        <f t="shared" si="6"/>
        <v>247205</v>
      </c>
      <c r="J40" s="52">
        <f t="shared" si="5"/>
        <v>259859</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
      <c r="A41" s="86" t="s">
        <v>80</v>
      </c>
      <c r="B41" s="531" t="s">
        <v>112</v>
      </c>
      <c r="C41" s="29" t="str">
        <f t="shared" si="4"/>
        <v xml:space="preserve">England – CCGs - Brighton and Hove </v>
      </c>
      <c r="D41" s="50">
        <f t="shared" si="7"/>
        <v>120795</v>
      </c>
      <c r="E41" s="50">
        <f t="shared" si="7"/>
        <v>127442</v>
      </c>
      <c r="F41" s="51">
        <f t="shared" si="8"/>
        <v>277965</v>
      </c>
      <c r="G41" s="51">
        <f t="shared" si="9"/>
        <v>136030</v>
      </c>
      <c r="H41" s="52">
        <f t="shared" si="10"/>
        <v>141935</v>
      </c>
      <c r="I41" s="61">
        <f t="shared" si="6"/>
        <v>120795</v>
      </c>
      <c r="J41" s="52">
        <f t="shared" si="5"/>
        <v>127442</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
      <c r="A42" s="86" t="s">
        <v>80</v>
      </c>
      <c r="B42" s="531" t="s">
        <v>113</v>
      </c>
      <c r="C42" s="29" t="str">
        <f t="shared" si="4"/>
        <v xml:space="preserve">England – CCGs - Bristol, North Somerset and South Gloucestershire </v>
      </c>
      <c r="D42" s="50">
        <f t="shared" si="7"/>
        <v>423876</v>
      </c>
      <c r="E42" s="50">
        <f t="shared" si="7"/>
        <v>438642</v>
      </c>
      <c r="F42" s="51">
        <f t="shared" si="8"/>
        <v>992934</v>
      </c>
      <c r="G42" s="51">
        <f t="shared" si="9"/>
        <v>490777</v>
      </c>
      <c r="H42" s="52">
        <f t="shared" si="10"/>
        <v>502157</v>
      </c>
      <c r="I42" s="61">
        <f t="shared" si="6"/>
        <v>423876</v>
      </c>
      <c r="J42" s="52">
        <f t="shared" si="5"/>
        <v>438642</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
      <c r="A43" s="86" t="s">
        <v>80</v>
      </c>
      <c r="B43" s="531" t="s">
        <v>114</v>
      </c>
      <c r="C43" s="29" t="str">
        <f t="shared" si="4"/>
        <v xml:space="preserve">England – CCGs - Buckinghamshire </v>
      </c>
      <c r="D43" s="50">
        <f t="shared" si="7"/>
        <v>233470</v>
      </c>
      <c r="E43" s="50">
        <f t="shared" si="7"/>
        <v>247487</v>
      </c>
      <c r="F43" s="51">
        <f t="shared" si="8"/>
        <v>563488</v>
      </c>
      <c r="G43" s="51">
        <f t="shared" si="9"/>
        <v>275644</v>
      </c>
      <c r="H43" s="52">
        <f t="shared" si="10"/>
        <v>287844</v>
      </c>
      <c r="I43" s="61">
        <f t="shared" si="6"/>
        <v>233470</v>
      </c>
      <c r="J43" s="52">
        <f t="shared" si="5"/>
        <v>247487</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
      <c r="A44" s="86" t="s">
        <v>80</v>
      </c>
      <c r="B44" s="531" t="s">
        <v>115</v>
      </c>
      <c r="C44" s="29" t="str">
        <f t="shared" si="4"/>
        <v xml:space="preserve">England – CCGs - Bury </v>
      </c>
      <c r="D44" s="50">
        <f t="shared" si="7"/>
        <v>81000</v>
      </c>
      <c r="E44" s="50">
        <f t="shared" si="7"/>
        <v>85029</v>
      </c>
      <c r="F44" s="51">
        <f t="shared" si="8"/>
        <v>194606</v>
      </c>
      <c r="G44" s="51">
        <f t="shared" si="9"/>
        <v>95665</v>
      </c>
      <c r="H44" s="52">
        <f t="shared" si="10"/>
        <v>98941</v>
      </c>
      <c r="I44" s="61">
        <f t="shared" si="6"/>
        <v>81000</v>
      </c>
      <c r="J44" s="52">
        <f t="shared" si="5"/>
        <v>85029</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
      <c r="A45" s="86" t="s">
        <v>80</v>
      </c>
      <c r="B45" s="531" t="s">
        <v>116</v>
      </c>
      <c r="C45" s="29" t="str">
        <f t="shared" si="4"/>
        <v xml:space="preserve">England – CCGs - Calderdale </v>
      </c>
      <c r="D45" s="50">
        <f t="shared" si="7"/>
        <v>86580</v>
      </c>
      <c r="E45" s="50">
        <f t="shared" si="7"/>
        <v>91980</v>
      </c>
      <c r="F45" s="51">
        <f t="shared" si="8"/>
        <v>207699</v>
      </c>
      <c r="G45" s="51">
        <f t="shared" si="9"/>
        <v>101550</v>
      </c>
      <c r="H45" s="52">
        <f t="shared" si="10"/>
        <v>106149</v>
      </c>
      <c r="I45" s="61">
        <f t="shared" si="6"/>
        <v>86580</v>
      </c>
      <c r="J45" s="52">
        <f t="shared" si="5"/>
        <v>91980</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
      <c r="A46" s="86" t="s">
        <v>80</v>
      </c>
      <c r="B46" s="531" t="s">
        <v>117</v>
      </c>
      <c r="C46" s="29" t="str">
        <f t="shared" si="4"/>
        <v xml:space="preserve">England – CCGs - Cambridgeshire and Peterborough </v>
      </c>
      <c r="D46" s="50">
        <f t="shared" si="7"/>
        <v>398916</v>
      </c>
      <c r="E46" s="50">
        <f t="shared" si="7"/>
        <v>413772</v>
      </c>
      <c r="F46" s="51">
        <f t="shared" si="8"/>
        <v>944517</v>
      </c>
      <c r="G46" s="51">
        <f t="shared" si="9"/>
        <v>466419</v>
      </c>
      <c r="H46" s="52">
        <f t="shared" si="10"/>
        <v>478098</v>
      </c>
      <c r="I46" s="61">
        <f t="shared" si="6"/>
        <v>398916</v>
      </c>
      <c r="J46" s="52">
        <f t="shared" si="5"/>
        <v>413772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
      <c r="A47" s="86" t="s">
        <v>80</v>
      </c>
      <c r="B47" s="531" t="s">
        <v>118</v>
      </c>
      <c r="C47" s="29" t="str">
        <f t="shared" si="4"/>
        <v xml:space="preserve">England – CCGs - Cannock Chase </v>
      </c>
      <c r="D47" s="50">
        <f t="shared" si="7"/>
        <v>58426</v>
      </c>
      <c r="E47" s="50">
        <f t="shared" si="7"/>
        <v>60997</v>
      </c>
      <c r="F47" s="51">
        <f t="shared" si="8"/>
        <v>137726</v>
      </c>
      <c r="G47" s="51">
        <f t="shared" si="9"/>
        <v>67795</v>
      </c>
      <c r="H47" s="52">
        <f t="shared" si="10"/>
        <v>69931</v>
      </c>
      <c r="I47" s="61">
        <f t="shared" si="6"/>
        <v>58426</v>
      </c>
      <c r="J47" s="52">
        <f t="shared" si="5"/>
        <v>60997</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
      <c r="A48" s="86" t="s">
        <v>80</v>
      </c>
      <c r="B48" s="531" t="s">
        <v>119</v>
      </c>
      <c r="C48" s="29" t="str">
        <f t="shared" si="4"/>
        <v xml:space="preserve">England – CCGs - Castle Point and Rochford </v>
      </c>
      <c r="D48" s="50">
        <f t="shared" si="7"/>
        <v>74290</v>
      </c>
      <c r="E48" s="50">
        <f t="shared" si="7"/>
        <v>80321</v>
      </c>
      <c r="F48" s="51">
        <f t="shared" si="8"/>
        <v>176947</v>
      </c>
      <c r="G48" s="51">
        <f t="shared" si="9"/>
        <v>85739</v>
      </c>
      <c r="H48" s="52">
        <f t="shared" si="10"/>
        <v>91208</v>
      </c>
      <c r="I48" s="61">
        <f t="shared" si="6"/>
        <v>74290</v>
      </c>
      <c r="J48" s="52">
        <f t="shared" si="5"/>
        <v>80321</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
      <c r="A49" s="86" t="s">
        <v>80</v>
      </c>
      <c r="B49" s="531" t="s">
        <v>120</v>
      </c>
      <c r="C49" s="29" t="str">
        <f t="shared" si="4"/>
        <v xml:space="preserve">England – CCGs - Cheshire </v>
      </c>
      <c r="D49" s="50">
        <f t="shared" si="7"/>
        <v>325541</v>
      </c>
      <c r="E49" s="50">
        <f t="shared" si="7"/>
        <v>344184</v>
      </c>
      <c r="F49" s="51">
        <f t="shared" si="8"/>
        <v>768221</v>
      </c>
      <c r="G49" s="51">
        <f t="shared" si="9"/>
        <v>376029</v>
      </c>
      <c r="H49" s="52">
        <f t="shared" si="10"/>
        <v>392192</v>
      </c>
      <c r="I49" s="61">
        <f t="shared" si="6"/>
        <v>325541</v>
      </c>
      <c r="J49" s="52">
        <f t="shared" si="5"/>
        <v>344184</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
      <c r="A50" s="86" t="s">
        <v>80</v>
      </c>
      <c r="B50" s="531" t="s">
        <v>121</v>
      </c>
      <c r="C50" s="29" t="str">
        <f t="shared" si="4"/>
        <v xml:space="preserve">England – CCGs - Chorley and South Ribble </v>
      </c>
      <c r="D50" s="50">
        <f t="shared" si="7"/>
        <v>77188</v>
      </c>
      <c r="E50" s="50">
        <f t="shared" si="7"/>
        <v>79240</v>
      </c>
      <c r="F50" s="51">
        <f t="shared" si="8"/>
        <v>180465</v>
      </c>
      <c r="G50" s="51">
        <f t="shared" si="9"/>
        <v>89548</v>
      </c>
      <c r="H50" s="52">
        <f t="shared" si="10"/>
        <v>90917</v>
      </c>
      <c r="I50" s="61">
        <f t="shared" si="6"/>
        <v>77188</v>
      </c>
      <c r="J50" s="52">
        <f t="shared" si="5"/>
        <v>79240</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
      <c r="A51" s="86" t="s">
        <v>80</v>
      </c>
      <c r="B51" s="531" t="s">
        <v>122</v>
      </c>
      <c r="C51" s="29" t="str">
        <f t="shared" si="4"/>
        <v xml:space="preserve">England – CCGs - County Durham </v>
      </c>
      <c r="D51" s="50">
        <f t="shared" si="7"/>
        <v>224558</v>
      </c>
      <c r="E51" s="50">
        <f t="shared" si="7"/>
        <v>239164</v>
      </c>
      <c r="F51" s="51">
        <f t="shared" si="8"/>
        <v>528127</v>
      </c>
      <c r="G51" s="51">
        <f t="shared" si="9"/>
        <v>257850</v>
      </c>
      <c r="H51" s="52">
        <f t="shared" si="10"/>
        <v>270277</v>
      </c>
      <c r="I51" s="61">
        <f t="shared" si="6"/>
        <v>224558</v>
      </c>
      <c r="J51" s="52">
        <f t="shared" si="5"/>
        <v>239164</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
      <c r="A52" s="86" t="s">
        <v>80</v>
      </c>
      <c r="B52" s="531" t="s">
        <v>123</v>
      </c>
      <c r="C52" s="29" t="str">
        <f t="shared" si="4"/>
        <v xml:space="preserve">England – CCGs - Coventry and Warwickshire </v>
      </c>
      <c r="D52" s="50">
        <f t="shared" si="7"/>
        <v>409447</v>
      </c>
      <c r="E52" s="50">
        <f t="shared" si="7"/>
        <v>420049</v>
      </c>
      <c r="F52" s="51">
        <f t="shared" si="8"/>
        <v>963204</v>
      </c>
      <c r="G52" s="51">
        <f t="shared" si="9"/>
        <v>477693</v>
      </c>
      <c r="H52" s="52">
        <f t="shared" si="10"/>
        <v>485511</v>
      </c>
      <c r="I52" s="61">
        <f t="shared" si="6"/>
        <v>409447</v>
      </c>
      <c r="J52" s="52">
        <f t="shared" si="5"/>
        <v>420049</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
      <c r="A53" s="86" t="s">
        <v>80</v>
      </c>
      <c r="B53" s="531" t="s">
        <v>124</v>
      </c>
      <c r="C53" s="29" t="str">
        <f t="shared" si="4"/>
        <v xml:space="preserve">England – CCGs - Derby and Derbyshire </v>
      </c>
      <c r="D53" s="50">
        <f t="shared" si="7"/>
        <v>440256</v>
      </c>
      <c r="E53" s="50">
        <f t="shared" si="7"/>
        <v>458677</v>
      </c>
      <c r="F53" s="51">
        <f t="shared" si="8"/>
        <v>1033491</v>
      </c>
      <c r="G53" s="51">
        <f t="shared" si="9"/>
        <v>508629</v>
      </c>
      <c r="H53" s="52">
        <f t="shared" si="10"/>
        <v>524862</v>
      </c>
      <c r="I53" s="61">
        <f t="shared" si="6"/>
        <v>440256</v>
      </c>
      <c r="J53" s="52">
        <f t="shared" si="5"/>
        <v>458677</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
      <c r="A54" s="86" t="s">
        <v>80</v>
      </c>
      <c r="B54" s="531" t="s">
        <v>125</v>
      </c>
      <c r="C54" s="29" t="str">
        <f t="shared" si="4"/>
        <v xml:space="preserve">England – CCGs - Devon </v>
      </c>
      <c r="D54" s="50">
        <f t="shared" si="7"/>
        <v>526473</v>
      </c>
      <c r="E54" s="50">
        <f t="shared" si="7"/>
        <v>561435</v>
      </c>
      <c r="F54" s="51">
        <f t="shared" si="8"/>
        <v>1232660</v>
      </c>
      <c r="G54" s="51">
        <f t="shared" si="9"/>
        <v>600962</v>
      </c>
      <c r="H54" s="52">
        <f t="shared" si="10"/>
        <v>631698</v>
      </c>
      <c r="I54" s="61">
        <f t="shared" si="6"/>
        <v>526473</v>
      </c>
      <c r="J54" s="52">
        <f t="shared" si="5"/>
        <v>561435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
      <c r="A55" s="86" t="s">
        <v>80</v>
      </c>
      <c r="B55" s="531" t="s">
        <v>126</v>
      </c>
      <c r="C55" s="29" t="str">
        <f t="shared" si="4"/>
        <v xml:space="preserve">England – CCGs - Doncaster </v>
      </c>
      <c r="D55" s="50">
        <f t="shared" si="7"/>
        <v>132351</v>
      </c>
      <c r="E55" s="50">
        <f t="shared" si="7"/>
        <v>135648</v>
      </c>
      <c r="F55" s="51">
        <f t="shared" si="8"/>
        <v>311027</v>
      </c>
      <c r="G55" s="51">
        <f t="shared" si="9"/>
        <v>154552</v>
      </c>
      <c r="H55" s="52">
        <f t="shared" si="10"/>
        <v>156475</v>
      </c>
      <c r="I55" s="61">
        <f t="shared" si="6"/>
        <v>132351</v>
      </c>
      <c r="J55" s="52">
        <f t="shared" si="5"/>
        <v>135648</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
      <c r="A56" s="86" t="s">
        <v>80</v>
      </c>
      <c r="B56" s="531" t="s">
        <v>127</v>
      </c>
      <c r="C56" s="29" t="str">
        <f t="shared" si="4"/>
        <v xml:space="preserve">England – CCGs - Dorset </v>
      </c>
      <c r="D56" s="50">
        <f t="shared" si="7"/>
        <v>336457</v>
      </c>
      <c r="E56" s="50">
        <f t="shared" si="7"/>
        <v>359304</v>
      </c>
      <c r="F56" s="51">
        <f t="shared" si="8"/>
        <v>785172</v>
      </c>
      <c r="G56" s="51">
        <f t="shared" si="9"/>
        <v>382244</v>
      </c>
      <c r="H56" s="52">
        <f t="shared" si="10"/>
        <v>402928</v>
      </c>
      <c r="I56" s="61">
        <f t="shared" si="6"/>
        <v>336457</v>
      </c>
      <c r="J56" s="52">
        <f t="shared" si="5"/>
        <v>359304</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
      <c r="A57" s="86" t="s">
        <v>80</v>
      </c>
      <c r="B57" s="531" t="s">
        <v>128</v>
      </c>
      <c r="C57" s="29" t="str">
        <f t="shared" si="4"/>
        <v xml:space="preserve">England – CCGs - East and North Hertfordshire </v>
      </c>
      <c r="D57" s="50">
        <f t="shared" si="7"/>
        <v>238316</v>
      </c>
      <c r="E57" s="50">
        <f t="shared" si="7"/>
        <v>253282</v>
      </c>
      <c r="F57" s="51">
        <f t="shared" si="8"/>
        <v>574319</v>
      </c>
      <c r="G57" s="51">
        <f t="shared" si="9"/>
        <v>280730</v>
      </c>
      <c r="H57" s="52">
        <f t="shared" si="10"/>
        <v>293589</v>
      </c>
      <c r="I57" s="61">
        <f t="shared" si="6"/>
        <v>238316</v>
      </c>
      <c r="J57" s="52">
        <f t="shared" si="5"/>
        <v>253282</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
      <c r="A58" s="86" t="s">
        <v>80</v>
      </c>
      <c r="B58" s="531" t="s">
        <v>129</v>
      </c>
      <c r="C58" s="29" t="str">
        <f t="shared" si="4"/>
        <v xml:space="preserve">England – CCGs - East Lancashire </v>
      </c>
      <c r="D58" s="50">
        <f t="shared" si="7"/>
        <v>166504</v>
      </c>
      <c r="E58" s="50">
        <f t="shared" si="7"/>
        <v>173021</v>
      </c>
      <c r="F58" s="51">
        <f t="shared" si="8"/>
        <v>397081</v>
      </c>
      <c r="G58" s="51">
        <f t="shared" si="9"/>
        <v>195994</v>
      </c>
      <c r="H58" s="52">
        <f t="shared" si="10"/>
        <v>201087</v>
      </c>
      <c r="I58" s="61">
        <f t="shared" si="6"/>
        <v>166504</v>
      </c>
      <c r="J58" s="52">
        <f t="shared" si="5"/>
        <v>173021</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
      <c r="A59" s="86" t="s">
        <v>80</v>
      </c>
      <c r="B59" s="531" t="s">
        <v>130</v>
      </c>
      <c r="C59" s="29" t="str">
        <f t="shared" si="4"/>
        <v xml:space="preserve">England – CCGs - East Leicestershire and Rutland </v>
      </c>
      <c r="D59" s="50">
        <f t="shared" si="7"/>
        <v>149398</v>
      </c>
      <c r="E59" s="50">
        <f t="shared" si="7"/>
        <v>155860</v>
      </c>
      <c r="F59" s="51">
        <f t="shared" si="8"/>
        <v>350329</v>
      </c>
      <c r="G59" s="51">
        <f t="shared" si="9"/>
        <v>172533</v>
      </c>
      <c r="H59" s="52">
        <f t="shared" si="10"/>
        <v>177796</v>
      </c>
      <c r="I59" s="61">
        <f t="shared" si="6"/>
        <v>149398</v>
      </c>
      <c r="J59" s="52">
        <f t="shared" si="5"/>
        <v>155860</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
      <c r="A60" s="86" t="s">
        <v>80</v>
      </c>
      <c r="B60" s="531" t="s">
        <v>131</v>
      </c>
      <c r="C60" s="29" t="str">
        <f t="shared" si="4"/>
        <v xml:space="preserve">England – CCGs - East Riding of Yorkshire </v>
      </c>
      <c r="D60" s="50">
        <f t="shared" si="7"/>
        <v>138400</v>
      </c>
      <c r="E60" s="50">
        <f t="shared" si="7"/>
        <v>146712</v>
      </c>
      <c r="F60" s="51">
        <f t="shared" si="8"/>
        <v>321772</v>
      </c>
      <c r="G60" s="51">
        <f t="shared" si="9"/>
        <v>157610</v>
      </c>
      <c r="H60" s="52">
        <f t="shared" si="10"/>
        <v>164162</v>
      </c>
      <c r="I60" s="61">
        <f t="shared" si="6"/>
        <v>138400</v>
      </c>
      <c r="J60" s="52">
        <f t="shared" si="5"/>
        <v>146712</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
      <c r="A61" s="86" t="s">
        <v>80</v>
      </c>
      <c r="B61" s="531" t="s">
        <v>132</v>
      </c>
      <c r="C61" s="29" t="str">
        <f t="shared" si="4"/>
        <v xml:space="preserve">England – CCGs - East Staffordshire </v>
      </c>
      <c r="D61" s="50">
        <f t="shared" si="7"/>
        <v>58306</v>
      </c>
      <c r="E61" s="50">
        <f t="shared" si="7"/>
        <v>59170</v>
      </c>
      <c r="F61" s="51">
        <f t="shared" si="8"/>
        <v>136641</v>
      </c>
      <c r="G61" s="51">
        <f t="shared" si="9"/>
        <v>68173</v>
      </c>
      <c r="H61" s="52">
        <f t="shared" si="10"/>
        <v>68468</v>
      </c>
      <c r="I61" s="61">
        <f t="shared" si="6"/>
        <v>58306</v>
      </c>
      <c r="J61" s="52">
        <f t="shared" ref="J61:J92" si="13">SUM(DL61:GL61)</f>
        <v>59170</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
      <c r="A62" s="86" t="s">
        <v>80</v>
      </c>
      <c r="B62" s="531" t="s">
        <v>133</v>
      </c>
      <c r="C62" s="29" t="str">
        <f t="shared" si="4"/>
        <v xml:space="preserve">England – CCGs - East Sussex </v>
      </c>
      <c r="D62" s="50">
        <f t="shared" si="7"/>
        <v>230697</v>
      </c>
      <c r="E62" s="50">
        <f t="shared" si="7"/>
        <v>254197</v>
      </c>
      <c r="F62" s="51">
        <f t="shared" si="8"/>
        <v>550720</v>
      </c>
      <c r="G62" s="51">
        <f t="shared" si="9"/>
        <v>264509</v>
      </c>
      <c r="H62" s="52">
        <f t="shared" si="10"/>
        <v>286211</v>
      </c>
      <c r="I62" s="61">
        <f t="shared" si="6"/>
        <v>230697</v>
      </c>
      <c r="J62" s="52">
        <f t="shared" si="13"/>
        <v>254197</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
      <c r="A63" s="86" t="s">
        <v>80</v>
      </c>
      <c r="B63" s="531" t="s">
        <v>134</v>
      </c>
      <c r="C63" s="29" t="str">
        <f t="shared" si="4"/>
        <v xml:space="preserve">England – CCGs - Frimley </v>
      </c>
      <c r="D63" s="50">
        <f t="shared" si="7"/>
        <v>323471</v>
      </c>
      <c r="E63" s="50">
        <f t="shared" si="7"/>
        <v>335273</v>
      </c>
      <c r="F63" s="51">
        <f t="shared" si="8"/>
        <v>773481</v>
      </c>
      <c r="G63" s="51">
        <f t="shared" si="9"/>
        <v>382291</v>
      </c>
      <c r="H63" s="52">
        <f t="shared" si="10"/>
        <v>391190</v>
      </c>
      <c r="I63" s="61">
        <f t="shared" si="6"/>
        <v>323471</v>
      </c>
      <c r="J63" s="52">
        <f t="shared" si="13"/>
        <v>335273</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
      <c r="A64" s="86" t="s">
        <v>80</v>
      </c>
      <c r="B64" s="531" t="s">
        <v>135</v>
      </c>
      <c r="C64" s="29" t="str">
        <f t="shared" si="4"/>
        <v xml:space="preserve">England – CCGs - Fylde and Wyre </v>
      </c>
      <c r="D64" s="50">
        <f t="shared" si="7"/>
        <v>86232</v>
      </c>
      <c r="E64" s="50">
        <f t="shared" si="7"/>
        <v>91724</v>
      </c>
      <c r="F64" s="51">
        <f t="shared" si="8"/>
        <v>200205</v>
      </c>
      <c r="G64" s="51">
        <f t="shared" si="9"/>
        <v>97647</v>
      </c>
      <c r="H64" s="52">
        <f t="shared" si="10"/>
        <v>102558</v>
      </c>
      <c r="I64" s="61">
        <f t="shared" si="6"/>
        <v>86232</v>
      </c>
      <c r="J64" s="52">
        <f t="shared" si="13"/>
        <v>91724</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
      <c r="A65" s="86" t="s">
        <v>80</v>
      </c>
      <c r="B65" s="531" t="s">
        <v>136</v>
      </c>
      <c r="C65" s="29" t="str">
        <f t="shared" si="4"/>
        <v xml:space="preserve">England – CCGs - Gloucestershire </v>
      </c>
      <c r="D65" s="50">
        <f t="shared" si="7"/>
        <v>275930</v>
      </c>
      <c r="E65" s="50">
        <f t="shared" si="7"/>
        <v>292588</v>
      </c>
      <c r="F65" s="51">
        <f t="shared" si="8"/>
        <v>652409</v>
      </c>
      <c r="G65" s="51">
        <f t="shared" si="9"/>
        <v>318898</v>
      </c>
      <c r="H65" s="52">
        <f t="shared" si="10"/>
        <v>333511</v>
      </c>
      <c r="I65" s="61">
        <f t="shared" si="6"/>
        <v>275930</v>
      </c>
      <c r="J65" s="52">
        <f t="shared" si="13"/>
        <v>292588</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
      <c r="A66" s="86" t="s">
        <v>80</v>
      </c>
      <c r="B66" s="531" t="s">
        <v>137</v>
      </c>
      <c r="C66" s="29" t="str">
        <f t="shared" si="4"/>
        <v xml:space="preserve">England – CCGs - Greater Preston </v>
      </c>
      <c r="D66" s="50">
        <f t="shared" si="7"/>
        <v>90098</v>
      </c>
      <c r="E66" s="50">
        <f t="shared" si="7"/>
        <v>91964</v>
      </c>
      <c r="F66" s="51">
        <f t="shared" si="8"/>
        <v>211590</v>
      </c>
      <c r="G66" s="51">
        <f t="shared" si="9"/>
        <v>105156</v>
      </c>
      <c r="H66" s="52">
        <f t="shared" si="10"/>
        <v>106434</v>
      </c>
      <c r="I66" s="61">
        <f t="shared" si="6"/>
        <v>90098</v>
      </c>
      <c r="J66" s="52">
        <f t="shared" si="13"/>
        <v>91964</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
      <c r="A67" s="86" t="s">
        <v>80</v>
      </c>
      <c r="B67" s="531" t="s">
        <v>138</v>
      </c>
      <c r="C67" s="29" t="str">
        <f t="shared" si="4"/>
        <v xml:space="preserve">England – CCGs - Halton </v>
      </c>
      <c r="D67" s="50">
        <f t="shared" si="7"/>
        <v>54028</v>
      </c>
      <c r="E67" s="50">
        <f t="shared" si="7"/>
        <v>57058</v>
      </c>
      <c r="F67" s="51">
        <f t="shared" si="8"/>
        <v>128964</v>
      </c>
      <c r="G67" s="51">
        <f t="shared" si="9"/>
        <v>63227</v>
      </c>
      <c r="H67" s="52">
        <f t="shared" si="10"/>
        <v>65737</v>
      </c>
      <c r="I67" s="61">
        <f t="shared" si="6"/>
        <v>54028</v>
      </c>
      <c r="J67" s="52">
        <f t="shared" si="13"/>
        <v>57058</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
      <c r="A68" s="86" t="s">
        <v>80</v>
      </c>
      <c r="B68" s="531" t="s">
        <v>139</v>
      </c>
      <c r="C68" s="29" t="str">
        <f t="shared" si="4"/>
        <v xml:space="preserve">England – CCGs - Hampshire, Southampton and Isle of Wight </v>
      </c>
      <c r="D68" s="50">
        <f t="shared" si="7"/>
        <v>692070</v>
      </c>
      <c r="E68" s="50">
        <f t="shared" si="7"/>
        <v>731950</v>
      </c>
      <c r="F68" s="51">
        <f t="shared" si="8"/>
        <v>1633632</v>
      </c>
      <c r="G68" s="51">
        <f t="shared" si="9"/>
        <v>799558</v>
      </c>
      <c r="H68" s="52">
        <f t="shared" si="10"/>
        <v>834074</v>
      </c>
      <c r="I68" s="61">
        <f t="shared" si="6"/>
        <v>692070</v>
      </c>
      <c r="J68" s="52">
        <f t="shared" si="13"/>
        <v>731950</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
      <c r="A69" s="86" t="s">
        <v>80</v>
      </c>
      <c r="B69" s="531" t="s">
        <v>140</v>
      </c>
      <c r="C69" s="29" t="str">
        <f t="shared" si="4"/>
        <v xml:space="preserve">England – CCGs - Herefordshire and Worcestershire </v>
      </c>
      <c r="D69" s="50">
        <f t="shared" si="7"/>
        <v>339746</v>
      </c>
      <c r="E69" s="50">
        <f t="shared" si="7"/>
        <v>359217</v>
      </c>
      <c r="F69" s="51">
        <f t="shared" si="8"/>
        <v>797935</v>
      </c>
      <c r="G69" s="51">
        <f t="shared" si="9"/>
        <v>390507</v>
      </c>
      <c r="H69" s="52">
        <f t="shared" si="10"/>
        <v>407428</v>
      </c>
      <c r="I69" s="61">
        <f t="shared" si="6"/>
        <v>339746</v>
      </c>
      <c r="J69" s="52">
        <f t="shared" si="13"/>
        <v>359217</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
      <c r="A70" s="86" t="s">
        <v>80</v>
      </c>
      <c r="B70" s="531" t="s">
        <v>141</v>
      </c>
      <c r="C70" s="29" t="str">
        <f t="shared" si="4"/>
        <v xml:space="preserve">England – CCGs - Herts Valleys </v>
      </c>
      <c r="D70" s="50">
        <f t="shared" si="7"/>
        <v>250309</v>
      </c>
      <c r="E70" s="50">
        <f t="shared" si="7"/>
        <v>267010</v>
      </c>
      <c r="F70" s="51">
        <f t="shared" si="8"/>
        <v>609741</v>
      </c>
      <c r="G70" s="51">
        <f t="shared" si="9"/>
        <v>297532</v>
      </c>
      <c r="H70" s="52">
        <f t="shared" si="10"/>
        <v>312209</v>
      </c>
      <c r="I70" s="61">
        <f t="shared" si="6"/>
        <v>250309</v>
      </c>
      <c r="J70" s="52">
        <f t="shared" si="13"/>
        <v>267010</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
      <c r="A71" s="86" t="s">
        <v>80</v>
      </c>
      <c r="B71" s="531" t="s">
        <v>142</v>
      </c>
      <c r="C71" s="29" t="str">
        <f t="shared" si="4"/>
        <v xml:space="preserve">England – CCGs - Heywood, Middleton and Rochdale </v>
      </c>
      <c r="D71" s="50">
        <f t="shared" si="7"/>
        <v>92482</v>
      </c>
      <c r="E71" s="50">
        <f t="shared" si="7"/>
        <v>97729</v>
      </c>
      <c r="F71" s="51">
        <f t="shared" si="8"/>
        <v>226992</v>
      </c>
      <c r="G71" s="51">
        <f t="shared" si="9"/>
        <v>111355</v>
      </c>
      <c r="H71" s="52">
        <f t="shared" si="10"/>
        <v>115637</v>
      </c>
      <c r="I71" s="61">
        <f t="shared" si="6"/>
        <v>92482</v>
      </c>
      <c r="J71" s="52">
        <f t="shared" si="13"/>
        <v>97729</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
      <c r="A72" s="86" t="s">
        <v>80</v>
      </c>
      <c r="B72" s="531" t="s">
        <v>143</v>
      </c>
      <c r="C72" s="29" t="str">
        <f t="shared" si="4"/>
        <v xml:space="preserve">England – CCGs - Hull </v>
      </c>
      <c r="D72" s="50">
        <f t="shared" si="7"/>
        <v>113980</v>
      </c>
      <c r="E72" s="50">
        <f t="shared" si="7"/>
        <v>114532</v>
      </c>
      <c r="F72" s="51">
        <f t="shared" si="8"/>
        <v>268852</v>
      </c>
      <c r="G72" s="51">
        <f t="shared" si="9"/>
        <v>134568</v>
      </c>
      <c r="H72" s="52">
        <f t="shared" si="10"/>
        <v>134284</v>
      </c>
      <c r="I72" s="61">
        <f t="shared" si="6"/>
        <v>113980</v>
      </c>
      <c r="J72" s="52">
        <f t="shared" si="13"/>
        <v>114532</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
      <c r="A73" s="86" t="s">
        <v>80</v>
      </c>
      <c r="B73" s="531" t="s">
        <v>144</v>
      </c>
      <c r="C73" s="29" t="str">
        <f t="shared" si="4"/>
        <v xml:space="preserve">England – CCGs - Ipswich and East Suffolk </v>
      </c>
      <c r="D73" s="50">
        <f t="shared" si="7"/>
        <v>177795</v>
      </c>
      <c r="E73" s="50">
        <f t="shared" si="7"/>
        <v>184900</v>
      </c>
      <c r="F73" s="51">
        <f t="shared" si="8"/>
        <v>414449</v>
      </c>
      <c r="G73" s="51">
        <f t="shared" si="9"/>
        <v>204167</v>
      </c>
      <c r="H73" s="52">
        <f t="shared" si="10"/>
        <v>210282</v>
      </c>
      <c r="I73" s="61">
        <f t="shared" si="6"/>
        <v>177795</v>
      </c>
      <c r="J73" s="52">
        <f t="shared" si="13"/>
        <v>184900</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
      <c r="A74" s="86" t="s">
        <v>80</v>
      </c>
      <c r="B74" s="531" t="s">
        <v>145</v>
      </c>
      <c r="C74" s="29" t="str">
        <f t="shared" si="4"/>
        <v xml:space="preserve">England – CCGs - Kent and Medway </v>
      </c>
      <c r="D74" s="50">
        <f t="shared" si="7"/>
        <v>776852</v>
      </c>
      <c r="E74" s="50">
        <f t="shared" si="7"/>
        <v>830618</v>
      </c>
      <c r="F74" s="51">
        <f t="shared" si="8"/>
        <v>1875893</v>
      </c>
      <c r="G74" s="51">
        <f t="shared" si="9"/>
        <v>914637</v>
      </c>
      <c r="H74" s="52">
        <f t="shared" si="10"/>
        <v>961256</v>
      </c>
      <c r="I74" s="61">
        <f t="shared" si="6"/>
        <v>776852</v>
      </c>
      <c r="J74" s="52">
        <f t="shared" si="13"/>
        <v>830618</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
      <c r="A75" s="86" t="s">
        <v>80</v>
      </c>
      <c r="B75" s="531" t="s">
        <v>146</v>
      </c>
      <c r="C75" s="29" t="str">
        <f t="shared" si="4"/>
        <v xml:space="preserve">England – CCGs - Kernow </v>
      </c>
      <c r="D75" s="50">
        <f t="shared" si="7"/>
        <v>245288</v>
      </c>
      <c r="E75" s="50">
        <f t="shared" si="7"/>
        <v>263949</v>
      </c>
      <c r="F75" s="51">
        <f t="shared" si="8"/>
        <v>577694</v>
      </c>
      <c r="G75" s="51">
        <f t="shared" si="9"/>
        <v>280361</v>
      </c>
      <c r="H75" s="52">
        <f t="shared" si="10"/>
        <v>297333</v>
      </c>
      <c r="I75" s="61">
        <f t="shared" si="6"/>
        <v>245288</v>
      </c>
      <c r="J75" s="52">
        <f t="shared" si="13"/>
        <v>263949</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
      <c r="A76" s="86" t="s">
        <v>80</v>
      </c>
      <c r="B76" s="531" t="s">
        <v>147</v>
      </c>
      <c r="C76" s="29" t="str">
        <f t="shared" si="4"/>
        <v xml:space="preserve">England – CCGs - Kirklees </v>
      </c>
      <c r="D76" s="50">
        <f t="shared" si="7"/>
        <v>182141</v>
      </c>
      <c r="E76" s="50">
        <f t="shared" si="7"/>
        <v>191145</v>
      </c>
      <c r="F76" s="51">
        <f t="shared" si="8"/>
        <v>437593</v>
      </c>
      <c r="G76" s="51">
        <f t="shared" si="9"/>
        <v>215001</v>
      </c>
      <c r="H76" s="52">
        <f t="shared" si="10"/>
        <v>222592</v>
      </c>
      <c r="I76" s="61">
        <f t="shared" si="6"/>
        <v>182141</v>
      </c>
      <c r="J76" s="52">
        <f t="shared" si="13"/>
        <v>191145</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
      <c r="A77" s="86" t="s">
        <v>80</v>
      </c>
      <c r="B77" s="531" t="s">
        <v>148</v>
      </c>
      <c r="C77" s="29" t="str">
        <f t="shared" si="4"/>
        <v xml:space="preserve">England – CCGs - Knowsley </v>
      </c>
      <c r="D77" s="50">
        <f t="shared" si="7"/>
        <v>63059</v>
      </c>
      <c r="E77" s="50">
        <f t="shared" si="7"/>
        <v>70382</v>
      </c>
      <c r="F77" s="51">
        <f t="shared" si="8"/>
        <v>157103</v>
      </c>
      <c r="G77" s="51">
        <f t="shared" si="9"/>
        <v>75222</v>
      </c>
      <c r="H77" s="52">
        <f t="shared" si="10"/>
        <v>81881</v>
      </c>
      <c r="I77" s="61">
        <f t="shared" si="6"/>
        <v>63059</v>
      </c>
      <c r="J77" s="52">
        <f t="shared" si="13"/>
        <v>70382</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
      <c r="A78" s="86" t="s">
        <v>80</v>
      </c>
      <c r="B78" s="531" t="s">
        <v>149</v>
      </c>
      <c r="C78" s="29" t="str">
        <f t="shared" si="4"/>
        <v xml:space="preserve">England – CCGs - Leeds </v>
      </c>
      <c r="D78" s="50">
        <f t="shared" si="7"/>
        <v>342974</v>
      </c>
      <c r="E78" s="50">
        <f t="shared" si="7"/>
        <v>363499</v>
      </c>
      <c r="F78" s="51">
        <f t="shared" si="8"/>
        <v>822483</v>
      </c>
      <c r="G78" s="51">
        <f t="shared" si="9"/>
        <v>402324</v>
      </c>
      <c r="H78" s="52">
        <f t="shared" si="10"/>
        <v>420159</v>
      </c>
      <c r="I78" s="61">
        <f t="shared" si="6"/>
        <v>342974</v>
      </c>
      <c r="J78" s="52">
        <f t="shared" si="13"/>
        <v>363499</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
      <c r="A79" s="86" t="s">
        <v>80</v>
      </c>
      <c r="B79" s="531" t="s">
        <v>150</v>
      </c>
      <c r="C79" s="29" t="str">
        <f t="shared" si="4"/>
        <v xml:space="preserve">England – CCGs - Leicester City </v>
      </c>
      <c r="D79" s="50">
        <f t="shared" si="7"/>
        <v>156728</v>
      </c>
      <c r="E79" s="50">
        <f t="shared" si="7"/>
        <v>159274</v>
      </c>
      <c r="F79" s="51">
        <f t="shared" si="8"/>
        <v>373399</v>
      </c>
      <c r="G79" s="51">
        <f t="shared" si="9"/>
        <v>186254</v>
      </c>
      <c r="H79" s="52">
        <f t="shared" si="10"/>
        <v>187145</v>
      </c>
      <c r="I79" s="61">
        <f t="shared" si="6"/>
        <v>156728</v>
      </c>
      <c r="J79" s="52">
        <f t="shared" si="13"/>
        <v>159274</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
      <c r="A80" s="86" t="s">
        <v>80</v>
      </c>
      <c r="B80" s="531" t="s">
        <v>151</v>
      </c>
      <c r="C80" s="29" t="str">
        <f t="shared" si="4"/>
        <v xml:space="preserve">England – CCGs - Lincolnshire </v>
      </c>
      <c r="D80" s="50">
        <f t="shared" si="7"/>
        <v>331395</v>
      </c>
      <c r="E80" s="50">
        <f t="shared" si="7"/>
        <v>349319</v>
      </c>
      <c r="F80" s="51">
        <f t="shared" si="8"/>
        <v>775524</v>
      </c>
      <c r="G80" s="51">
        <f t="shared" si="9"/>
        <v>380037</v>
      </c>
      <c r="H80" s="52">
        <f t="shared" si="10"/>
        <v>395487</v>
      </c>
      <c r="I80" s="61">
        <f t="shared" si="6"/>
        <v>331395</v>
      </c>
      <c r="J80" s="52">
        <f t="shared" si="13"/>
        <v>349319</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
      <c r="A81" s="86" t="s">
        <v>80</v>
      </c>
      <c r="B81" s="531" t="s">
        <v>152</v>
      </c>
      <c r="C81" s="29" t="str">
        <f t="shared" si="4"/>
        <v xml:space="preserve">England – CCGs - Liverpool </v>
      </c>
      <c r="D81" s="50">
        <f t="shared" si="7"/>
        <v>210219</v>
      </c>
      <c r="E81" s="50">
        <f t="shared" si="7"/>
        <v>222157</v>
      </c>
      <c r="F81" s="51">
        <f t="shared" si="8"/>
        <v>496770</v>
      </c>
      <c r="G81" s="51">
        <f t="shared" si="9"/>
        <v>243137</v>
      </c>
      <c r="H81" s="52">
        <f t="shared" si="10"/>
        <v>253633</v>
      </c>
      <c r="I81" s="61">
        <f t="shared" si="6"/>
        <v>210219</v>
      </c>
      <c r="J81" s="52">
        <f t="shared" si="13"/>
        <v>222157</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
      <c r="A82" s="86" t="s">
        <v>80</v>
      </c>
      <c r="B82" s="531" t="s">
        <v>153</v>
      </c>
      <c r="C82" s="29" t="str">
        <f t="shared" si="4"/>
        <v xml:space="preserve">England – CCGs - Manchester </v>
      </c>
      <c r="D82" s="50">
        <f t="shared" si="7"/>
        <v>239544</v>
      </c>
      <c r="E82" s="50">
        <f t="shared" si="7"/>
        <v>243980</v>
      </c>
      <c r="F82" s="51">
        <f t="shared" si="8"/>
        <v>568996</v>
      </c>
      <c r="G82" s="51">
        <f t="shared" si="9"/>
        <v>282913</v>
      </c>
      <c r="H82" s="52">
        <f t="shared" si="10"/>
        <v>286083</v>
      </c>
      <c r="I82" s="61">
        <f t="shared" si="6"/>
        <v>239544</v>
      </c>
      <c r="J82" s="52">
        <f t="shared" si="13"/>
        <v>243980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
      <c r="A83" s="86" t="s">
        <v>80</v>
      </c>
      <c r="B83" s="531" t="s">
        <v>154</v>
      </c>
      <c r="C83" s="29" t="str">
        <f t="shared" si="4"/>
        <v xml:space="preserve">England – CCGs - Mid Essex </v>
      </c>
      <c r="D83" s="50">
        <f t="shared" si="7"/>
        <v>171624</v>
      </c>
      <c r="E83" s="50">
        <f t="shared" si="7"/>
        <v>181799</v>
      </c>
      <c r="F83" s="51">
        <f t="shared" si="8"/>
        <v>408561</v>
      </c>
      <c r="G83" s="51">
        <f t="shared" si="9"/>
        <v>199952</v>
      </c>
      <c r="H83" s="52">
        <f t="shared" si="10"/>
        <v>208609</v>
      </c>
      <c r="I83" s="61">
        <f t="shared" si="6"/>
        <v>171624</v>
      </c>
      <c r="J83" s="52">
        <f t="shared" si="13"/>
        <v>181799</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
      <c r="A84" s="86" t="s">
        <v>80</v>
      </c>
      <c r="B84" s="531" t="s">
        <v>155</v>
      </c>
      <c r="C84" s="29" t="str">
        <f t="shared" si="4"/>
        <v xml:space="preserve">England – CCGs - Morecambe Bay </v>
      </c>
      <c r="D84" s="50">
        <f t="shared" si="7"/>
        <v>143621</v>
      </c>
      <c r="E84" s="50">
        <f t="shared" si="7"/>
        <v>150079</v>
      </c>
      <c r="F84" s="51">
        <f t="shared" si="8"/>
        <v>331197</v>
      </c>
      <c r="G84" s="51">
        <f t="shared" si="9"/>
        <v>162689</v>
      </c>
      <c r="H84" s="52">
        <f t="shared" si="10"/>
        <v>168508</v>
      </c>
      <c r="I84" s="61">
        <f t="shared" si="6"/>
        <v>143621</v>
      </c>
      <c r="J84" s="52">
        <f t="shared" si="13"/>
        <v>150079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
      <c r="A85" s="86" t="s">
        <v>80</v>
      </c>
      <c r="B85" s="531" t="s">
        <v>156</v>
      </c>
      <c r="C85" s="29" t="str">
        <f t="shared" si="4"/>
        <v xml:space="preserve">England – CCGs - Newcastle Gateshead </v>
      </c>
      <c r="D85" s="50">
        <f t="shared" si="7"/>
        <v>216385</v>
      </c>
      <c r="E85" s="50">
        <f t="shared" si="7"/>
        <v>223409</v>
      </c>
      <c r="F85" s="51">
        <f t="shared" si="8"/>
        <v>505287</v>
      </c>
      <c r="G85" s="51">
        <f t="shared" si="9"/>
        <v>249878</v>
      </c>
      <c r="H85" s="52">
        <f t="shared" si="10"/>
        <v>255409</v>
      </c>
      <c r="I85" s="61">
        <f t="shared" si="6"/>
        <v>216385</v>
      </c>
      <c r="J85" s="52">
        <f t="shared" si="13"/>
        <v>223409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
      <c r="A86" s="86" t="s">
        <v>80</v>
      </c>
      <c r="B86" s="531" t="s">
        <v>157</v>
      </c>
      <c r="C86" s="29" t="str">
        <f t="shared" si="4"/>
        <v xml:space="preserve">England – CCGs - Norfolk and Waveney </v>
      </c>
      <c r="D86" s="50">
        <f t="shared" si="7"/>
        <v>446976</v>
      </c>
      <c r="E86" s="50">
        <f t="shared" si="7"/>
        <v>470774</v>
      </c>
      <c r="F86" s="51">
        <f t="shared" si="8"/>
        <v>1041932</v>
      </c>
      <c r="G86" s="51">
        <f t="shared" si="9"/>
        <v>510572</v>
      </c>
      <c r="H86" s="52">
        <f t="shared" si="10"/>
        <v>531360</v>
      </c>
      <c r="I86" s="61">
        <f t="shared" si="6"/>
        <v>446976</v>
      </c>
      <c r="J86" s="52">
        <f t="shared" si="13"/>
        <v>470774</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
      <c r="A87" s="86" t="s">
        <v>80</v>
      </c>
      <c r="B87" s="531" t="s">
        <v>158</v>
      </c>
      <c r="C87" s="29" t="str">
        <f t="shared" si="4"/>
        <v xml:space="preserve">England – CCGs - North Central London </v>
      </c>
      <c r="D87" s="50">
        <f t="shared" si="7"/>
        <v>577242</v>
      </c>
      <c r="E87" s="50">
        <f t="shared" si="7"/>
        <v>643050</v>
      </c>
      <c r="F87" s="51">
        <f t="shared" si="8"/>
        <v>1416558</v>
      </c>
      <c r="G87" s="51">
        <f t="shared" si="9"/>
        <v>677387</v>
      </c>
      <c r="H87" s="52">
        <f t="shared" si="10"/>
        <v>739171</v>
      </c>
      <c r="I87" s="61">
        <f t="shared" si="6"/>
        <v>577242</v>
      </c>
      <c r="J87" s="52">
        <f t="shared" si="13"/>
        <v>643050</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
      <c r="A88" s="86" t="s">
        <v>80</v>
      </c>
      <c r="B88" s="531" t="s">
        <v>159</v>
      </c>
      <c r="C88" s="29" t="str">
        <f t="shared" si="4"/>
        <v xml:space="preserve">England – CCGs - North Cumbria </v>
      </c>
      <c r="D88" s="50">
        <f t="shared" si="7"/>
        <v>139276</v>
      </c>
      <c r="E88" s="50">
        <f t="shared" si="7"/>
        <v>144838</v>
      </c>
      <c r="F88" s="51">
        <f t="shared" si="8"/>
        <v>322479</v>
      </c>
      <c r="G88" s="51">
        <f t="shared" si="9"/>
        <v>158765</v>
      </c>
      <c r="H88" s="52">
        <f t="shared" si="10"/>
        <v>163714</v>
      </c>
      <c r="I88" s="61">
        <f t="shared" si="6"/>
        <v>139276</v>
      </c>
      <c r="J88" s="52">
        <f t="shared" si="13"/>
        <v>144838</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
      <c r="A89" s="86" t="s">
        <v>80</v>
      </c>
      <c r="B89" s="531" t="s">
        <v>160</v>
      </c>
      <c r="C89" s="29" t="str">
        <f t="shared" si="4"/>
        <v xml:space="preserve">England – CCGs - North East Essex </v>
      </c>
      <c r="D89" s="50">
        <f t="shared" si="7"/>
        <v>145069</v>
      </c>
      <c r="E89" s="50">
        <f t="shared" si="7"/>
        <v>155535</v>
      </c>
      <c r="F89" s="51">
        <f t="shared" si="8"/>
        <v>345845</v>
      </c>
      <c r="G89" s="51">
        <f t="shared" si="9"/>
        <v>168263</v>
      </c>
      <c r="H89" s="52">
        <f t="shared" si="10"/>
        <v>177582</v>
      </c>
      <c r="I89" s="61">
        <f t="shared" si="6"/>
        <v>145069</v>
      </c>
      <c r="J89" s="52">
        <f t="shared" si="13"/>
        <v>155535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
      <c r="A90" s="86" t="s">
        <v>80</v>
      </c>
      <c r="B90" s="531" t="s">
        <v>161</v>
      </c>
      <c r="C90" s="29" t="str">
        <f t="shared" si="4"/>
        <v xml:space="preserve">England – CCGs - North East Lincolnshire </v>
      </c>
      <c r="D90" s="50">
        <f t="shared" si="7"/>
        <v>66349</v>
      </c>
      <c r="E90" s="50">
        <f t="shared" si="7"/>
        <v>69769</v>
      </c>
      <c r="F90" s="51">
        <f t="shared" si="8"/>
        <v>157754</v>
      </c>
      <c r="G90" s="51">
        <f t="shared" si="9"/>
        <v>77352</v>
      </c>
      <c r="H90" s="52">
        <f t="shared" si="10"/>
        <v>80402</v>
      </c>
      <c r="I90" s="61">
        <f t="shared" si="6"/>
        <v>66349</v>
      </c>
      <c r="J90" s="52">
        <f t="shared" si="13"/>
        <v>69769</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
      <c r="A91" s="86" t="s">
        <v>80</v>
      </c>
      <c r="B91" s="531" t="s">
        <v>162</v>
      </c>
      <c r="C91" s="29" t="str">
        <f t="shared" si="4"/>
        <v xml:space="preserve">England – CCGs - North East London </v>
      </c>
      <c r="D91" s="50">
        <f t="shared" ref="D91:E134" si="14">I91</f>
        <v>838169</v>
      </c>
      <c r="E91" s="50">
        <f t="shared" si="14"/>
        <v>874748</v>
      </c>
      <c r="F91" s="51">
        <f t="shared" si="8"/>
        <v>2028265</v>
      </c>
      <c r="G91" s="51">
        <f t="shared" si="9"/>
        <v>998819</v>
      </c>
      <c r="H91" s="52">
        <f t="shared" si="10"/>
        <v>1029446</v>
      </c>
      <c r="I91" s="61">
        <f t="shared" si="6"/>
        <v>838169</v>
      </c>
      <c r="J91" s="52">
        <f t="shared" si="13"/>
        <v>874748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
      <c r="A92" s="86" t="s">
        <v>80</v>
      </c>
      <c r="B92" s="531" t="s">
        <v>163</v>
      </c>
      <c r="C92" s="29" t="str">
        <f t="shared" si="4"/>
        <v xml:space="preserve">England – CCGs - North Lincolnshire </v>
      </c>
      <c r="D92" s="50">
        <f t="shared" si="14"/>
        <v>72739</v>
      </c>
      <c r="E92" s="50">
        <f t="shared" si="14"/>
        <v>75200</v>
      </c>
      <c r="F92" s="51">
        <f t="shared" si="8"/>
        <v>170042</v>
      </c>
      <c r="G92" s="51">
        <f t="shared" si="9"/>
        <v>83843</v>
      </c>
      <c r="H92" s="52">
        <f t="shared" si="10"/>
        <v>86199</v>
      </c>
      <c r="I92" s="61">
        <f t="shared" si="6"/>
        <v>72739</v>
      </c>
      <c r="J92" s="52">
        <f t="shared" si="13"/>
        <v>75200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
      <c r="A93" s="86" t="s">
        <v>80</v>
      </c>
      <c r="B93" s="531" t="s">
        <v>164</v>
      </c>
      <c r="C93" s="29" t="str">
        <f t="shared" ref="C93:C134" si="15">CONCATENATE(A93," - ",B93)</f>
        <v xml:space="preserve">England – CCGs - North Staffordshire </v>
      </c>
      <c r="D93" s="50">
        <f t="shared" si="14"/>
        <v>91782</v>
      </c>
      <c r="E93" s="50">
        <f t="shared" si="14"/>
        <v>96436</v>
      </c>
      <c r="F93" s="51">
        <f t="shared" si="8"/>
        <v>213148</v>
      </c>
      <c r="G93" s="51">
        <f t="shared" si="9"/>
        <v>104607</v>
      </c>
      <c r="H93" s="52">
        <f t="shared" si="10"/>
        <v>108541</v>
      </c>
      <c r="I93" s="61">
        <f t="shared" si="6"/>
        <v>91782</v>
      </c>
      <c r="J93" s="52">
        <f t="shared" ref="J93:J124" si="16">SUM(DL93:GL93)</f>
        <v>96436</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
      <c r="A94" s="86" t="s">
        <v>80</v>
      </c>
      <c r="B94" s="531" t="s">
        <v>165</v>
      </c>
      <c r="C94" s="29" t="str">
        <f t="shared" si="15"/>
        <v xml:space="preserve">England – CCGs - North Tyneside </v>
      </c>
      <c r="D94" s="50">
        <f t="shared" si="14"/>
        <v>88075</v>
      </c>
      <c r="E94" s="50">
        <f t="shared" si="14"/>
        <v>94856</v>
      </c>
      <c r="F94" s="51">
        <f t="shared" si="8"/>
        <v>210487</v>
      </c>
      <c r="G94" s="51">
        <f t="shared" si="9"/>
        <v>102303</v>
      </c>
      <c r="H94" s="52">
        <f t="shared" si="10"/>
        <v>108184</v>
      </c>
      <c r="I94" s="61">
        <f t="shared" ref="I94:I134" si="17">SUM(Y94:CY94)</f>
        <v>88075</v>
      </c>
      <c r="J94" s="52">
        <f t="shared" si="16"/>
        <v>94856</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
      <c r="A95" s="86" t="s">
        <v>80</v>
      </c>
      <c r="B95" s="531" t="s">
        <v>166</v>
      </c>
      <c r="C95" s="29" t="str">
        <f t="shared" si="15"/>
        <v xml:space="preserve">England – CCGs - North West London </v>
      </c>
      <c r="D95" s="50">
        <f t="shared" si="14"/>
        <v>887606</v>
      </c>
      <c r="E95" s="50">
        <f t="shared" si="14"/>
        <v>939566</v>
      </c>
      <c r="F95" s="51">
        <f t="shared" ref="F95:F134" si="18">G95+H95</f>
        <v>2116269</v>
      </c>
      <c r="G95" s="51">
        <f t="shared" ref="G95:G134" si="19">SUM(M95:CY95)</f>
        <v>1035418</v>
      </c>
      <c r="H95" s="52">
        <f t="shared" ref="H95:H134" si="20">SUM(CZ95:GL95)</f>
        <v>1080851</v>
      </c>
      <c r="I95" s="61">
        <f t="shared" si="17"/>
        <v>887606</v>
      </c>
      <c r="J95" s="52">
        <f t="shared" si="16"/>
        <v>939566</v>
      </c>
      <c r="K95" s="49">
        <f t="shared" ref="K95:K134" si="21">SUM(M95:AD95)</f>
        <v>223719</v>
      </c>
      <c r="L95" s="50">
        <f t="shared" ref="L95:L134" si="22">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
      <c r="A96" s="86" t="s">
        <v>80</v>
      </c>
      <c r="B96" s="531" t="s">
        <v>167</v>
      </c>
      <c r="C96" s="29" t="str">
        <f t="shared" si="15"/>
        <v xml:space="preserve">England – CCGs - North Yorkshire </v>
      </c>
      <c r="D96" s="50">
        <f t="shared" si="14"/>
        <v>186108</v>
      </c>
      <c r="E96" s="50">
        <f t="shared" si="14"/>
        <v>194711</v>
      </c>
      <c r="F96" s="51">
        <f t="shared" si="18"/>
        <v>430179</v>
      </c>
      <c r="G96" s="51">
        <f t="shared" si="19"/>
        <v>211387</v>
      </c>
      <c r="H96" s="52">
        <f t="shared" si="20"/>
        <v>218792</v>
      </c>
      <c r="I96" s="61">
        <f t="shared" si="17"/>
        <v>186108</v>
      </c>
      <c r="J96" s="52">
        <f t="shared" si="16"/>
        <v>194711</v>
      </c>
      <c r="K96" s="49">
        <f t="shared" si="21"/>
        <v>40407</v>
      </c>
      <c r="L96" s="50">
        <f t="shared" si="22"/>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
      <c r="A97" s="86" t="s">
        <v>80</v>
      </c>
      <c r="B97" s="531" t="s">
        <v>168</v>
      </c>
      <c r="C97" s="29" t="str">
        <f t="shared" si="15"/>
        <v xml:space="preserve">England – CCGs - Northamptonshire </v>
      </c>
      <c r="D97" s="50">
        <f t="shared" si="14"/>
        <v>325455</v>
      </c>
      <c r="E97" s="50">
        <f t="shared" si="14"/>
        <v>337772</v>
      </c>
      <c r="F97" s="51">
        <f t="shared" si="18"/>
        <v>775246</v>
      </c>
      <c r="G97" s="51">
        <f t="shared" si="19"/>
        <v>382651</v>
      </c>
      <c r="H97" s="52">
        <f t="shared" si="20"/>
        <v>392595</v>
      </c>
      <c r="I97" s="61">
        <f t="shared" si="17"/>
        <v>325455</v>
      </c>
      <c r="J97" s="52">
        <f t="shared" si="16"/>
        <v>337772</v>
      </c>
      <c r="K97" s="49">
        <f t="shared" si="21"/>
        <v>86615</v>
      </c>
      <c r="L97" s="50">
        <f t="shared" si="22"/>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
      <c r="A98" s="86" t="s">
        <v>80</v>
      </c>
      <c r="B98" s="531" t="s">
        <v>169</v>
      </c>
      <c r="C98" s="29" t="str">
        <f t="shared" si="15"/>
        <v xml:space="preserve">England – CCGs - Northumberland </v>
      </c>
      <c r="D98" s="50">
        <f t="shared" si="14"/>
        <v>138987</v>
      </c>
      <c r="E98" s="50">
        <f t="shared" si="14"/>
        <v>147599</v>
      </c>
      <c r="F98" s="51">
        <f t="shared" si="18"/>
        <v>324362</v>
      </c>
      <c r="G98" s="51">
        <f t="shared" si="19"/>
        <v>158454</v>
      </c>
      <c r="H98" s="52">
        <f t="shared" si="20"/>
        <v>165908</v>
      </c>
      <c r="I98" s="61">
        <f t="shared" si="17"/>
        <v>138987</v>
      </c>
      <c r="J98" s="52">
        <f t="shared" si="16"/>
        <v>147599</v>
      </c>
      <c r="K98" s="49">
        <f t="shared" si="21"/>
        <v>30220</v>
      </c>
      <c r="L98" s="50">
        <f t="shared" si="22"/>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
      <c r="A99" s="86" t="s">
        <v>80</v>
      </c>
      <c r="B99" s="531" t="s">
        <v>170</v>
      </c>
      <c r="C99" s="29" t="str">
        <f t="shared" si="15"/>
        <v xml:space="preserve">England – CCGs - Nottingham and Nottinghamshire </v>
      </c>
      <c r="D99" s="50">
        <f t="shared" si="14"/>
        <v>440930</v>
      </c>
      <c r="E99" s="50">
        <f t="shared" si="14"/>
        <v>463502</v>
      </c>
      <c r="F99" s="51">
        <f t="shared" si="18"/>
        <v>1043323</v>
      </c>
      <c r="G99" s="51">
        <f t="shared" si="19"/>
        <v>511972</v>
      </c>
      <c r="H99" s="52">
        <f t="shared" si="20"/>
        <v>531351</v>
      </c>
      <c r="I99" s="61">
        <f t="shared" si="17"/>
        <v>440930</v>
      </c>
      <c r="J99" s="52">
        <f t="shared" si="16"/>
        <v>463502</v>
      </c>
      <c r="K99" s="49">
        <f t="shared" si="21"/>
        <v>107393</v>
      </c>
      <c r="L99" s="50">
        <f t="shared" si="22"/>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
      <c r="A100" s="86" t="s">
        <v>80</v>
      </c>
      <c r="B100" s="531" t="s">
        <v>171</v>
      </c>
      <c r="C100" s="29" t="str">
        <f t="shared" si="15"/>
        <v xml:space="preserve">England – CCGs - Oldham </v>
      </c>
      <c r="D100" s="50">
        <f t="shared" si="14"/>
        <v>98613</v>
      </c>
      <c r="E100" s="50">
        <f t="shared" si="14"/>
        <v>104493</v>
      </c>
      <c r="F100" s="51">
        <f t="shared" si="18"/>
        <v>243912</v>
      </c>
      <c r="G100" s="51">
        <f t="shared" si="19"/>
        <v>119371</v>
      </c>
      <c r="H100" s="52">
        <f t="shared" si="20"/>
        <v>124541</v>
      </c>
      <c r="I100" s="61">
        <f t="shared" si="17"/>
        <v>98613</v>
      </c>
      <c r="J100" s="52">
        <f t="shared" si="16"/>
        <v>104493</v>
      </c>
      <c r="K100" s="49">
        <f t="shared" si="21"/>
        <v>31770</v>
      </c>
      <c r="L100" s="50">
        <f t="shared" si="22"/>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
      <c r="A101" s="86" t="s">
        <v>80</v>
      </c>
      <c r="B101" s="531" t="s">
        <v>172</v>
      </c>
      <c r="C101" s="29" t="str">
        <f t="shared" si="15"/>
        <v xml:space="preserve">England – CCGs - Oxfordshire </v>
      </c>
      <c r="D101" s="50">
        <f t="shared" si="14"/>
        <v>307305</v>
      </c>
      <c r="E101" s="50">
        <f t="shared" si="14"/>
        <v>319064</v>
      </c>
      <c r="F101" s="51">
        <f t="shared" si="18"/>
        <v>721245</v>
      </c>
      <c r="G101" s="51">
        <f t="shared" si="19"/>
        <v>356252</v>
      </c>
      <c r="H101" s="52">
        <f t="shared" si="20"/>
        <v>364993</v>
      </c>
      <c r="I101" s="61">
        <f t="shared" si="17"/>
        <v>307305</v>
      </c>
      <c r="J101" s="52">
        <f t="shared" si="16"/>
        <v>319064</v>
      </c>
      <c r="K101" s="49">
        <f t="shared" si="21"/>
        <v>75041</v>
      </c>
      <c r="L101" s="50">
        <f t="shared" si="22"/>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
      <c r="A102" s="86" t="s">
        <v>80</v>
      </c>
      <c r="B102" s="531" t="s">
        <v>173</v>
      </c>
      <c r="C102" s="29" t="str">
        <f t="shared" si="15"/>
        <v xml:space="preserve">England – CCGs - Portsmouth </v>
      </c>
      <c r="D102" s="50">
        <f t="shared" si="14"/>
        <v>89417</v>
      </c>
      <c r="E102" s="50">
        <f t="shared" si="14"/>
        <v>90745</v>
      </c>
      <c r="F102" s="51">
        <f t="shared" si="18"/>
        <v>208420</v>
      </c>
      <c r="G102" s="51">
        <f t="shared" si="19"/>
        <v>103763</v>
      </c>
      <c r="H102" s="52">
        <f t="shared" si="20"/>
        <v>104657</v>
      </c>
      <c r="I102" s="61">
        <f t="shared" si="17"/>
        <v>89417</v>
      </c>
      <c r="J102" s="52">
        <f t="shared" si="16"/>
        <v>90745</v>
      </c>
      <c r="K102" s="49">
        <f t="shared" si="21"/>
        <v>21499</v>
      </c>
      <c r="L102" s="50">
        <f t="shared" si="22"/>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
      <c r="A103" s="86" t="s">
        <v>80</v>
      </c>
      <c r="B103" s="531" t="s">
        <v>174</v>
      </c>
      <c r="C103" s="29" t="str">
        <f t="shared" si="15"/>
        <v xml:space="preserve">England – CCGs - Rotherham </v>
      </c>
      <c r="D103" s="50">
        <f t="shared" si="14"/>
        <v>112571</v>
      </c>
      <c r="E103" s="50">
        <f t="shared" si="14"/>
        <v>118164</v>
      </c>
      <c r="F103" s="51">
        <f t="shared" si="18"/>
        <v>268354</v>
      </c>
      <c r="G103" s="51">
        <f t="shared" si="19"/>
        <v>131784</v>
      </c>
      <c r="H103" s="52">
        <f t="shared" si="20"/>
        <v>136570</v>
      </c>
      <c r="I103" s="61">
        <f t="shared" si="17"/>
        <v>112571</v>
      </c>
      <c r="J103" s="52">
        <f t="shared" si="16"/>
        <v>118164</v>
      </c>
      <c r="K103" s="49">
        <f t="shared" si="21"/>
        <v>29238</v>
      </c>
      <c r="L103" s="50">
        <f t="shared" si="22"/>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
      <c r="A104" s="86" t="s">
        <v>80</v>
      </c>
      <c r="B104" s="531" t="s">
        <v>175</v>
      </c>
      <c r="C104" s="29" t="str">
        <f t="shared" si="15"/>
        <v xml:space="preserve">England – CCGs - Salford </v>
      </c>
      <c r="D104" s="50">
        <f t="shared" si="14"/>
        <v>118542</v>
      </c>
      <c r="E104" s="50">
        <f t="shared" si="14"/>
        <v>118096</v>
      </c>
      <c r="F104" s="51">
        <f t="shared" si="18"/>
        <v>278064</v>
      </c>
      <c r="G104" s="51">
        <f t="shared" si="19"/>
        <v>139829</v>
      </c>
      <c r="H104" s="52">
        <f t="shared" si="20"/>
        <v>138235</v>
      </c>
      <c r="I104" s="61">
        <f t="shared" si="17"/>
        <v>118542</v>
      </c>
      <c r="J104" s="52">
        <f t="shared" si="16"/>
        <v>118096</v>
      </c>
      <c r="K104" s="49">
        <f t="shared" si="21"/>
        <v>30968</v>
      </c>
      <c r="L104" s="50">
        <f t="shared" si="22"/>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
      <c r="A105" s="86" t="s">
        <v>80</v>
      </c>
      <c r="B105" s="531" t="s">
        <v>176</v>
      </c>
      <c r="C105" s="29" t="str">
        <f t="shared" si="15"/>
        <v xml:space="preserve">England – CCGs - Sheffield </v>
      </c>
      <c r="D105" s="50">
        <f t="shared" si="14"/>
        <v>241649</v>
      </c>
      <c r="E105" s="50">
        <f t="shared" si="14"/>
        <v>249031</v>
      </c>
      <c r="F105" s="51">
        <f t="shared" si="18"/>
        <v>566242</v>
      </c>
      <c r="G105" s="51">
        <f t="shared" si="19"/>
        <v>280173</v>
      </c>
      <c r="H105" s="52">
        <f t="shared" si="20"/>
        <v>286069</v>
      </c>
      <c r="I105" s="61">
        <f t="shared" si="17"/>
        <v>241649</v>
      </c>
      <c r="J105" s="52">
        <f t="shared" si="16"/>
        <v>249031</v>
      </c>
      <c r="K105" s="49">
        <f t="shared" si="21"/>
        <v>58188</v>
      </c>
      <c r="L105" s="50">
        <f t="shared" si="22"/>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
      <c r="A106" s="86" t="s">
        <v>80</v>
      </c>
      <c r="B106" s="531" t="s">
        <v>177</v>
      </c>
      <c r="C106" s="29" t="str">
        <f t="shared" si="15"/>
        <v xml:space="preserve">England – CCGs - Shropshire, Telford and Wrekin </v>
      </c>
      <c r="D106" s="50">
        <f t="shared" si="14"/>
        <v>220848</v>
      </c>
      <c r="E106" s="50">
        <f t="shared" si="14"/>
        <v>230115</v>
      </c>
      <c r="F106" s="51">
        <f t="shared" si="18"/>
        <v>516049</v>
      </c>
      <c r="G106" s="51">
        <f t="shared" si="19"/>
        <v>254197</v>
      </c>
      <c r="H106" s="52">
        <f t="shared" si="20"/>
        <v>261852</v>
      </c>
      <c r="I106" s="61">
        <f t="shared" si="17"/>
        <v>220848</v>
      </c>
      <c r="J106" s="52">
        <f t="shared" si="16"/>
        <v>230115</v>
      </c>
      <c r="K106" s="49">
        <f t="shared" si="21"/>
        <v>51864</v>
      </c>
      <c r="L106" s="50">
        <f t="shared" si="22"/>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
      <c r="A107" s="86" t="s">
        <v>80</v>
      </c>
      <c r="B107" s="531" t="s">
        <v>178</v>
      </c>
      <c r="C107" s="29" t="str">
        <f t="shared" si="15"/>
        <v xml:space="preserve">England – CCGs - Somerset </v>
      </c>
      <c r="D107" s="50">
        <f t="shared" si="14"/>
        <v>246047</v>
      </c>
      <c r="E107" s="50">
        <f t="shared" si="14"/>
        <v>260122</v>
      </c>
      <c r="F107" s="51">
        <f t="shared" si="18"/>
        <v>576852</v>
      </c>
      <c r="G107" s="51">
        <f t="shared" si="19"/>
        <v>282176</v>
      </c>
      <c r="H107" s="52">
        <f t="shared" si="20"/>
        <v>294676</v>
      </c>
      <c r="I107" s="61">
        <f t="shared" si="17"/>
        <v>246047</v>
      </c>
      <c r="J107" s="52">
        <f t="shared" si="16"/>
        <v>260122</v>
      </c>
      <c r="K107" s="49">
        <f t="shared" si="21"/>
        <v>56523</v>
      </c>
      <c r="L107" s="50">
        <f t="shared" si="22"/>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
      <c r="A108" s="86" t="s">
        <v>80</v>
      </c>
      <c r="B108" s="531" t="s">
        <v>179</v>
      </c>
      <c r="C108" s="29" t="str">
        <f t="shared" si="15"/>
        <v xml:space="preserve">England – CCGs - South East London </v>
      </c>
      <c r="D108" s="50">
        <f t="shared" si="14"/>
        <v>739901</v>
      </c>
      <c r="E108" s="50">
        <f t="shared" si="14"/>
        <v>809292</v>
      </c>
      <c r="F108" s="51">
        <f t="shared" si="18"/>
        <v>1795871</v>
      </c>
      <c r="G108" s="51">
        <f t="shared" si="19"/>
        <v>865549</v>
      </c>
      <c r="H108" s="52">
        <f t="shared" si="20"/>
        <v>930322</v>
      </c>
      <c r="I108" s="61">
        <f t="shared" si="17"/>
        <v>739901</v>
      </c>
      <c r="J108" s="52">
        <f t="shared" si="16"/>
        <v>809292</v>
      </c>
      <c r="K108" s="49">
        <f t="shared" si="21"/>
        <v>188145</v>
      </c>
      <c r="L108" s="50">
        <f t="shared" si="22"/>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
      <c r="A109" s="86" t="s">
        <v>80</v>
      </c>
      <c r="B109" s="531" t="s">
        <v>180</v>
      </c>
      <c r="C109" s="29" t="str">
        <f t="shared" si="15"/>
        <v xml:space="preserve">England – CCGs - South East Staffordshire and Seisdon Peninsula </v>
      </c>
      <c r="D109" s="50">
        <f t="shared" si="14"/>
        <v>100167</v>
      </c>
      <c r="E109" s="50">
        <f t="shared" si="14"/>
        <v>102271</v>
      </c>
      <c r="F109" s="51">
        <f t="shared" si="18"/>
        <v>231486</v>
      </c>
      <c r="G109" s="51">
        <f t="shared" si="19"/>
        <v>114941</v>
      </c>
      <c r="H109" s="52">
        <f t="shared" si="20"/>
        <v>116545</v>
      </c>
      <c r="I109" s="61">
        <f t="shared" si="17"/>
        <v>100167</v>
      </c>
      <c r="J109" s="52">
        <f t="shared" si="16"/>
        <v>102271</v>
      </c>
      <c r="K109" s="49">
        <f t="shared" si="21"/>
        <v>22653</v>
      </c>
      <c r="L109" s="50">
        <f t="shared" si="22"/>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
      <c r="A110" s="86" t="s">
        <v>80</v>
      </c>
      <c r="B110" s="531" t="s">
        <v>181</v>
      </c>
      <c r="C110" s="29" t="str">
        <f t="shared" si="15"/>
        <v xml:space="preserve">England – CCGs - South Sefton </v>
      </c>
      <c r="D110" s="50">
        <f t="shared" si="14"/>
        <v>68221</v>
      </c>
      <c r="E110" s="50">
        <f t="shared" si="14"/>
        <v>73774</v>
      </c>
      <c r="F110" s="51">
        <f t="shared" si="18"/>
        <v>163768</v>
      </c>
      <c r="G110" s="51">
        <f t="shared" si="19"/>
        <v>79420</v>
      </c>
      <c r="H110" s="52">
        <f t="shared" si="20"/>
        <v>84348</v>
      </c>
      <c r="I110" s="61">
        <f t="shared" si="17"/>
        <v>68221</v>
      </c>
      <c r="J110" s="52">
        <f t="shared" si="16"/>
        <v>73774</v>
      </c>
      <c r="K110" s="49">
        <f t="shared" si="21"/>
        <v>16713</v>
      </c>
      <c r="L110" s="50">
        <f t="shared" si="22"/>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
      <c r="A111" s="86" t="s">
        <v>80</v>
      </c>
      <c r="B111" s="531" t="s">
        <v>182</v>
      </c>
      <c r="C111" s="29" t="str">
        <f t="shared" si="15"/>
        <v xml:space="preserve">England – CCGs - South Tyneside </v>
      </c>
      <c r="D111" s="50">
        <f t="shared" si="14"/>
        <v>62101</v>
      </c>
      <c r="E111" s="50">
        <f t="shared" si="14"/>
        <v>66747</v>
      </c>
      <c r="F111" s="51">
        <f t="shared" si="18"/>
        <v>148667</v>
      </c>
      <c r="G111" s="51">
        <f t="shared" si="19"/>
        <v>72355</v>
      </c>
      <c r="H111" s="52">
        <f t="shared" si="20"/>
        <v>76312</v>
      </c>
      <c r="I111" s="61">
        <f t="shared" si="17"/>
        <v>62101</v>
      </c>
      <c r="J111" s="52">
        <f t="shared" si="16"/>
        <v>66747</v>
      </c>
      <c r="K111" s="49">
        <f t="shared" si="21"/>
        <v>15451</v>
      </c>
      <c r="L111" s="50">
        <f t="shared" si="22"/>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
      <c r="A112" s="86" t="s">
        <v>80</v>
      </c>
      <c r="B112" s="531" t="s">
        <v>183</v>
      </c>
      <c r="C112" s="29" t="str">
        <f t="shared" si="15"/>
        <v xml:space="preserve">England – CCGs - South West London </v>
      </c>
      <c r="D112" s="50">
        <f t="shared" si="14"/>
        <v>614019</v>
      </c>
      <c r="E112" s="50">
        <f t="shared" si="14"/>
        <v>677039</v>
      </c>
      <c r="F112" s="51">
        <f t="shared" si="18"/>
        <v>1509217</v>
      </c>
      <c r="G112" s="51">
        <f t="shared" si="19"/>
        <v>725443</v>
      </c>
      <c r="H112" s="52">
        <f t="shared" si="20"/>
        <v>783774</v>
      </c>
      <c r="I112" s="61">
        <f t="shared" si="17"/>
        <v>614019</v>
      </c>
      <c r="J112" s="52">
        <f t="shared" si="16"/>
        <v>677039</v>
      </c>
      <c r="K112" s="49">
        <f t="shared" si="21"/>
        <v>166650</v>
      </c>
      <c r="L112" s="50">
        <f t="shared" si="22"/>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
      <c r="A113" s="86" t="s">
        <v>80</v>
      </c>
      <c r="B113" s="531" t="s">
        <v>184</v>
      </c>
      <c r="C113" s="29" t="str">
        <f t="shared" si="15"/>
        <v xml:space="preserve">England – CCGs - Southend </v>
      </c>
      <c r="D113" s="50">
        <f t="shared" si="14"/>
        <v>75266</v>
      </c>
      <c r="E113" s="50">
        <f t="shared" si="14"/>
        <v>80229</v>
      </c>
      <c r="F113" s="51">
        <f t="shared" si="18"/>
        <v>180915</v>
      </c>
      <c r="G113" s="51">
        <f t="shared" si="19"/>
        <v>88198</v>
      </c>
      <c r="H113" s="52">
        <f t="shared" si="20"/>
        <v>92717</v>
      </c>
      <c r="I113" s="61">
        <f t="shared" si="17"/>
        <v>75266</v>
      </c>
      <c r="J113" s="52">
        <f t="shared" si="16"/>
        <v>80229</v>
      </c>
      <c r="K113" s="49">
        <f t="shared" si="21"/>
        <v>19552</v>
      </c>
      <c r="L113" s="50">
        <f t="shared" si="22"/>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
      <c r="A114" s="86" t="s">
        <v>80</v>
      </c>
      <c r="B114" s="531" t="s">
        <v>185</v>
      </c>
      <c r="C114" s="29" t="str">
        <f t="shared" si="15"/>
        <v xml:space="preserve">England – CCGs - Southport and Formby </v>
      </c>
      <c r="D114" s="50">
        <f t="shared" si="14"/>
        <v>50156</v>
      </c>
      <c r="E114" s="50">
        <f t="shared" si="14"/>
        <v>53856</v>
      </c>
      <c r="F114" s="51">
        <f t="shared" si="18"/>
        <v>117259</v>
      </c>
      <c r="G114" s="51">
        <f t="shared" si="19"/>
        <v>56893</v>
      </c>
      <c r="H114" s="52">
        <f t="shared" si="20"/>
        <v>60366</v>
      </c>
      <c r="I114" s="61">
        <f t="shared" si="17"/>
        <v>50156</v>
      </c>
      <c r="J114" s="52">
        <f t="shared" si="16"/>
        <v>53856</v>
      </c>
      <c r="K114" s="49">
        <f t="shared" si="21"/>
        <v>10751</v>
      </c>
      <c r="L114" s="50">
        <f t="shared" si="22"/>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
      <c r="A115" s="86" t="s">
        <v>80</v>
      </c>
      <c r="B115" s="531" t="s">
        <v>186</v>
      </c>
      <c r="C115" s="29" t="str">
        <f t="shared" si="15"/>
        <v xml:space="preserve">England – CCGs - St Helens </v>
      </c>
      <c r="D115" s="50">
        <f t="shared" si="14"/>
        <v>78177</v>
      </c>
      <c r="E115" s="50">
        <f t="shared" si="14"/>
        <v>82351</v>
      </c>
      <c r="F115" s="51">
        <f t="shared" si="18"/>
        <v>184728</v>
      </c>
      <c r="G115" s="51">
        <f t="shared" si="19"/>
        <v>90663</v>
      </c>
      <c r="H115" s="52">
        <f t="shared" si="20"/>
        <v>94065</v>
      </c>
      <c r="I115" s="61">
        <f t="shared" si="17"/>
        <v>78177</v>
      </c>
      <c r="J115" s="52">
        <f t="shared" si="16"/>
        <v>82351</v>
      </c>
      <c r="K115" s="49">
        <f t="shared" si="21"/>
        <v>18955</v>
      </c>
      <c r="L115" s="50">
        <f t="shared" si="22"/>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
      <c r="A116" s="86" t="s">
        <v>80</v>
      </c>
      <c r="B116" s="531" t="s">
        <v>187</v>
      </c>
      <c r="C116" s="29" t="str">
        <f t="shared" si="15"/>
        <v xml:space="preserve">England – CCGs - Stafford and Surrounds </v>
      </c>
      <c r="D116" s="50">
        <f t="shared" si="14"/>
        <v>68403</v>
      </c>
      <c r="E116" s="50">
        <f t="shared" si="14"/>
        <v>71276</v>
      </c>
      <c r="F116" s="51">
        <f t="shared" si="18"/>
        <v>159235</v>
      </c>
      <c r="G116" s="51">
        <f t="shared" si="19"/>
        <v>78425</v>
      </c>
      <c r="H116" s="52">
        <f t="shared" si="20"/>
        <v>80810</v>
      </c>
      <c r="I116" s="61">
        <f t="shared" si="17"/>
        <v>68403</v>
      </c>
      <c r="J116" s="52">
        <f t="shared" si="16"/>
        <v>71276</v>
      </c>
      <c r="K116" s="49">
        <f t="shared" si="21"/>
        <v>15300</v>
      </c>
      <c r="L116" s="50">
        <f t="shared" si="22"/>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
      <c r="A117" s="86" t="s">
        <v>80</v>
      </c>
      <c r="B117" s="531" t="s">
        <v>188</v>
      </c>
      <c r="C117" s="29" t="str">
        <f t="shared" si="15"/>
        <v xml:space="preserve">England – CCGs - Stockport </v>
      </c>
      <c r="D117" s="50">
        <f t="shared" si="14"/>
        <v>123257</v>
      </c>
      <c r="E117" s="50">
        <f t="shared" si="14"/>
        <v>131623</v>
      </c>
      <c r="F117" s="51">
        <f t="shared" si="18"/>
        <v>297107</v>
      </c>
      <c r="G117" s="51">
        <f t="shared" si="19"/>
        <v>144724</v>
      </c>
      <c r="H117" s="52">
        <f t="shared" si="20"/>
        <v>152383</v>
      </c>
      <c r="I117" s="61">
        <f t="shared" si="17"/>
        <v>123257</v>
      </c>
      <c r="J117" s="52">
        <f t="shared" si="16"/>
        <v>131623</v>
      </c>
      <c r="K117" s="49">
        <f t="shared" si="21"/>
        <v>32601</v>
      </c>
      <c r="L117" s="50">
        <f t="shared" si="22"/>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
      <c r="A118" s="86" t="s">
        <v>80</v>
      </c>
      <c r="B118" s="531" t="s">
        <v>189</v>
      </c>
      <c r="C118" s="29" t="str">
        <f t="shared" si="15"/>
        <v xml:space="preserve">England – CCGs - Stoke on Trent </v>
      </c>
      <c r="D118" s="50">
        <f t="shared" si="14"/>
        <v>113150</v>
      </c>
      <c r="E118" s="50">
        <f t="shared" si="14"/>
        <v>114508</v>
      </c>
      <c r="F118" s="51">
        <f t="shared" si="18"/>
        <v>268013</v>
      </c>
      <c r="G118" s="51">
        <f t="shared" si="19"/>
        <v>133508</v>
      </c>
      <c r="H118" s="52">
        <f t="shared" si="20"/>
        <v>134505</v>
      </c>
      <c r="I118" s="61">
        <f t="shared" si="17"/>
        <v>113150</v>
      </c>
      <c r="J118" s="52">
        <f t="shared" si="16"/>
        <v>114508</v>
      </c>
      <c r="K118" s="49">
        <f t="shared" si="21"/>
        <v>30667</v>
      </c>
      <c r="L118" s="50">
        <f t="shared" si="22"/>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
      <c r="A119" s="86" t="s">
        <v>80</v>
      </c>
      <c r="B119" s="531" t="s">
        <v>190</v>
      </c>
      <c r="C119" s="29" t="str">
        <f t="shared" si="15"/>
        <v xml:space="preserve">England – CCGs - Sunderland </v>
      </c>
      <c r="D119" s="50">
        <f t="shared" si="14"/>
        <v>116534</v>
      </c>
      <c r="E119" s="50">
        <f t="shared" si="14"/>
        <v>124914</v>
      </c>
      <c r="F119" s="51">
        <f t="shared" si="18"/>
        <v>277354</v>
      </c>
      <c r="G119" s="51">
        <f t="shared" si="19"/>
        <v>135038</v>
      </c>
      <c r="H119" s="52">
        <f t="shared" si="20"/>
        <v>142316</v>
      </c>
      <c r="I119" s="61">
        <f t="shared" si="17"/>
        <v>116534</v>
      </c>
      <c r="J119" s="52">
        <f t="shared" si="16"/>
        <v>124914</v>
      </c>
      <c r="K119" s="49">
        <f t="shared" si="21"/>
        <v>28182</v>
      </c>
      <c r="L119" s="50">
        <f t="shared" si="22"/>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
      <c r="A120" s="86" t="s">
        <v>80</v>
      </c>
      <c r="B120" s="531" t="s">
        <v>191</v>
      </c>
      <c r="C120" s="29" t="str">
        <f t="shared" si="15"/>
        <v xml:space="preserve">England – CCGs - Surrey Heartlands </v>
      </c>
      <c r="D120" s="50">
        <f t="shared" si="14"/>
        <v>442585</v>
      </c>
      <c r="E120" s="50">
        <f t="shared" si="14"/>
        <v>471682</v>
      </c>
      <c r="F120" s="51">
        <f t="shared" si="18"/>
        <v>1065363</v>
      </c>
      <c r="G120" s="51">
        <f t="shared" si="19"/>
        <v>519878</v>
      </c>
      <c r="H120" s="52">
        <f t="shared" si="20"/>
        <v>545485</v>
      </c>
      <c r="I120" s="61">
        <f t="shared" si="17"/>
        <v>442585</v>
      </c>
      <c r="J120" s="52">
        <f t="shared" si="16"/>
        <v>471682</v>
      </c>
      <c r="K120" s="49">
        <f t="shared" si="21"/>
        <v>118363</v>
      </c>
      <c r="L120" s="50">
        <f t="shared" si="22"/>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
      <c r="A121" s="86" t="s">
        <v>80</v>
      </c>
      <c r="B121" s="531" t="s">
        <v>192</v>
      </c>
      <c r="C121" s="29" t="str">
        <f t="shared" si="15"/>
        <v xml:space="preserve">England – CCGs - Tameside and Glossop </v>
      </c>
      <c r="D121" s="50">
        <f t="shared" si="14"/>
        <v>110880</v>
      </c>
      <c r="E121" s="50">
        <f t="shared" si="14"/>
        <v>116931</v>
      </c>
      <c r="F121" s="51">
        <f t="shared" si="18"/>
        <v>266216</v>
      </c>
      <c r="G121" s="51">
        <f t="shared" si="19"/>
        <v>130586</v>
      </c>
      <c r="H121" s="52">
        <f t="shared" si="20"/>
        <v>135630</v>
      </c>
      <c r="I121" s="61">
        <f t="shared" si="17"/>
        <v>110880</v>
      </c>
      <c r="J121" s="52">
        <f t="shared" si="16"/>
        <v>116931</v>
      </c>
      <c r="K121" s="49">
        <f t="shared" si="21"/>
        <v>29885</v>
      </c>
      <c r="L121" s="50">
        <f t="shared" si="22"/>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
      <c r="A122" s="86" t="s">
        <v>80</v>
      </c>
      <c r="B122" s="531" t="s">
        <v>193</v>
      </c>
      <c r="C122" s="29" t="str">
        <f t="shared" si="15"/>
        <v xml:space="preserve">England – CCGs - Tees Valley </v>
      </c>
      <c r="D122" s="50">
        <f t="shared" si="14"/>
        <v>288879</v>
      </c>
      <c r="E122" s="50">
        <f t="shared" si="14"/>
        <v>303292</v>
      </c>
      <c r="F122" s="51">
        <f t="shared" si="18"/>
        <v>688756</v>
      </c>
      <c r="G122" s="51">
        <f t="shared" si="19"/>
        <v>338264</v>
      </c>
      <c r="H122" s="52">
        <f t="shared" si="20"/>
        <v>350492</v>
      </c>
      <c r="I122" s="61">
        <f t="shared" si="17"/>
        <v>288879</v>
      </c>
      <c r="J122" s="52">
        <f t="shared" si="16"/>
        <v>303292</v>
      </c>
      <c r="K122" s="49">
        <f t="shared" si="21"/>
        <v>75541</v>
      </c>
      <c r="L122" s="50">
        <f t="shared" si="22"/>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
      <c r="A123" s="86" t="s">
        <v>80</v>
      </c>
      <c r="B123" s="531" t="s">
        <v>194</v>
      </c>
      <c r="C123" s="29" t="str">
        <f t="shared" si="15"/>
        <v xml:space="preserve">England – CCGs - Thurrock </v>
      </c>
      <c r="D123" s="50">
        <f t="shared" si="14"/>
        <v>71148</v>
      </c>
      <c r="E123" s="50">
        <f t="shared" si="14"/>
        <v>75561</v>
      </c>
      <c r="F123" s="51">
        <f t="shared" si="18"/>
        <v>176877</v>
      </c>
      <c r="G123" s="51">
        <f t="shared" si="19"/>
        <v>86665</v>
      </c>
      <c r="H123" s="52">
        <f t="shared" si="20"/>
        <v>90212</v>
      </c>
      <c r="I123" s="61">
        <f t="shared" si="17"/>
        <v>71148</v>
      </c>
      <c r="J123" s="52">
        <f t="shared" si="16"/>
        <v>75561</v>
      </c>
      <c r="K123" s="49">
        <f t="shared" si="21"/>
        <v>23083</v>
      </c>
      <c r="L123" s="50">
        <f t="shared" si="22"/>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
      <c r="A124" s="86" t="s">
        <v>80</v>
      </c>
      <c r="B124" s="531" t="s">
        <v>195</v>
      </c>
      <c r="C124" s="29" t="str">
        <f t="shared" si="15"/>
        <v xml:space="preserve">England – CCGs - Trafford </v>
      </c>
      <c r="D124" s="50">
        <f t="shared" si="14"/>
        <v>96658</v>
      </c>
      <c r="E124" s="50">
        <f t="shared" si="14"/>
        <v>103418</v>
      </c>
      <c r="F124" s="51">
        <f t="shared" si="18"/>
        <v>236301</v>
      </c>
      <c r="G124" s="51">
        <f t="shared" si="19"/>
        <v>115249</v>
      </c>
      <c r="H124" s="52">
        <f t="shared" si="20"/>
        <v>121052</v>
      </c>
      <c r="I124" s="61">
        <f t="shared" si="17"/>
        <v>96658</v>
      </c>
      <c r="J124" s="52">
        <f t="shared" si="16"/>
        <v>103418</v>
      </c>
      <c r="K124" s="49">
        <f t="shared" si="21"/>
        <v>28380</v>
      </c>
      <c r="L124" s="50">
        <f t="shared" si="22"/>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
      <c r="A125" s="86" t="s">
        <v>80</v>
      </c>
      <c r="B125" s="531" t="s">
        <v>196</v>
      </c>
      <c r="C125" s="29" t="str">
        <f t="shared" si="15"/>
        <v xml:space="preserve">England – CCGs - Vale of York </v>
      </c>
      <c r="D125" s="50">
        <f t="shared" si="14"/>
        <v>154737</v>
      </c>
      <c r="E125" s="50">
        <f t="shared" si="14"/>
        <v>167837</v>
      </c>
      <c r="F125" s="51">
        <f t="shared" si="18"/>
        <v>364606</v>
      </c>
      <c r="G125" s="51">
        <f t="shared" si="19"/>
        <v>176409</v>
      </c>
      <c r="H125" s="52">
        <f t="shared" si="20"/>
        <v>188197</v>
      </c>
      <c r="I125" s="61">
        <f t="shared" si="17"/>
        <v>154737</v>
      </c>
      <c r="J125" s="52">
        <f t="shared" ref="J125:J134" si="23">SUM(DL125:GL125)</f>
        <v>167837</v>
      </c>
      <c r="K125" s="49">
        <f t="shared" si="21"/>
        <v>33299</v>
      </c>
      <c r="L125" s="50">
        <f t="shared" si="22"/>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
      <c r="A126" s="86" t="s">
        <v>80</v>
      </c>
      <c r="B126" s="531" t="s">
        <v>197</v>
      </c>
      <c r="C126" s="29" t="str">
        <f t="shared" si="15"/>
        <v xml:space="preserve">England – CCGs - Wakefield </v>
      </c>
      <c r="D126" s="50">
        <f t="shared" si="14"/>
        <v>150371</v>
      </c>
      <c r="E126" s="50">
        <f t="shared" si="14"/>
        <v>157384</v>
      </c>
      <c r="F126" s="51">
        <f t="shared" si="18"/>
        <v>357729</v>
      </c>
      <c r="G126" s="51">
        <f t="shared" si="19"/>
        <v>176034</v>
      </c>
      <c r="H126" s="52">
        <f t="shared" si="20"/>
        <v>181695</v>
      </c>
      <c r="I126" s="61">
        <f t="shared" si="17"/>
        <v>150371</v>
      </c>
      <c r="J126" s="52">
        <f t="shared" si="23"/>
        <v>157384</v>
      </c>
      <c r="K126" s="49">
        <f t="shared" si="21"/>
        <v>38413</v>
      </c>
      <c r="L126" s="50">
        <f t="shared" si="22"/>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
      <c r="A127" s="86" t="s">
        <v>80</v>
      </c>
      <c r="B127" s="531" t="s">
        <v>198</v>
      </c>
      <c r="C127" s="29" t="str">
        <f t="shared" si="15"/>
        <v xml:space="preserve">England – CCGs - Warrington </v>
      </c>
      <c r="D127" s="50">
        <f t="shared" si="14"/>
        <v>90188</v>
      </c>
      <c r="E127" s="50">
        <f t="shared" si="14"/>
        <v>93221</v>
      </c>
      <c r="F127" s="51">
        <f t="shared" si="18"/>
        <v>211580</v>
      </c>
      <c r="G127" s="51">
        <f t="shared" si="19"/>
        <v>104613</v>
      </c>
      <c r="H127" s="52">
        <f t="shared" si="20"/>
        <v>106967</v>
      </c>
      <c r="I127" s="61">
        <f t="shared" si="17"/>
        <v>90188</v>
      </c>
      <c r="J127" s="52">
        <f t="shared" si="23"/>
        <v>93221</v>
      </c>
      <c r="K127" s="49">
        <f t="shared" si="21"/>
        <v>22329</v>
      </c>
      <c r="L127" s="50">
        <f t="shared" si="22"/>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
      <c r="A128" s="86" t="s">
        <v>80</v>
      </c>
      <c r="B128" s="531" t="s">
        <v>199</v>
      </c>
      <c r="C128" s="29" t="str">
        <f t="shared" si="15"/>
        <v xml:space="preserve">England – CCGs - West Essex </v>
      </c>
      <c r="D128" s="50">
        <f t="shared" si="14"/>
        <v>132282</v>
      </c>
      <c r="E128" s="50">
        <f t="shared" si="14"/>
        <v>142197</v>
      </c>
      <c r="F128" s="51">
        <f t="shared" si="18"/>
        <v>321976</v>
      </c>
      <c r="G128" s="51">
        <f t="shared" si="19"/>
        <v>156557</v>
      </c>
      <c r="H128" s="52">
        <f t="shared" si="20"/>
        <v>165419</v>
      </c>
      <c r="I128" s="61">
        <f t="shared" si="17"/>
        <v>132282</v>
      </c>
      <c r="J128" s="52">
        <f t="shared" si="23"/>
        <v>142197</v>
      </c>
      <c r="K128" s="49">
        <f t="shared" si="21"/>
        <v>36523</v>
      </c>
      <c r="L128" s="50">
        <f t="shared" si="22"/>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
      <c r="A129" s="86" t="s">
        <v>80</v>
      </c>
      <c r="B129" s="531" t="s">
        <v>200</v>
      </c>
      <c r="C129" s="29" t="str">
        <f t="shared" si="15"/>
        <v xml:space="preserve">England – CCGs - West Lancashire </v>
      </c>
      <c r="D129" s="50">
        <f t="shared" si="14"/>
        <v>50062</v>
      </c>
      <c r="E129" s="50">
        <f t="shared" si="14"/>
        <v>55174</v>
      </c>
      <c r="F129" s="51">
        <f t="shared" si="18"/>
        <v>119367</v>
      </c>
      <c r="G129" s="51">
        <f t="shared" si="19"/>
        <v>57283</v>
      </c>
      <c r="H129" s="52">
        <f t="shared" si="20"/>
        <v>62084</v>
      </c>
      <c r="I129" s="61">
        <f t="shared" si="17"/>
        <v>50062</v>
      </c>
      <c r="J129" s="52">
        <f t="shared" si="23"/>
        <v>55174</v>
      </c>
      <c r="K129" s="49">
        <f t="shared" si="21"/>
        <v>11323</v>
      </c>
      <c r="L129" s="50">
        <f t="shared" si="22"/>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
      <c r="A130" s="86" t="s">
        <v>80</v>
      </c>
      <c r="B130" s="531" t="s">
        <v>201</v>
      </c>
      <c r="C130" s="29" t="str">
        <f t="shared" si="15"/>
        <v xml:space="preserve">England – CCGs - West Leicestershire </v>
      </c>
      <c r="D130" s="50">
        <f t="shared" si="14"/>
        <v>178023</v>
      </c>
      <c r="E130" s="50">
        <f t="shared" si="14"/>
        <v>181988</v>
      </c>
      <c r="F130" s="51">
        <f t="shared" si="18"/>
        <v>412977</v>
      </c>
      <c r="G130" s="51">
        <f t="shared" si="19"/>
        <v>205194</v>
      </c>
      <c r="H130" s="52">
        <f t="shared" si="20"/>
        <v>207783</v>
      </c>
      <c r="I130" s="61">
        <f t="shared" si="17"/>
        <v>178023</v>
      </c>
      <c r="J130" s="52">
        <f t="shared" si="23"/>
        <v>181988</v>
      </c>
      <c r="K130" s="49">
        <f t="shared" si="21"/>
        <v>41355</v>
      </c>
      <c r="L130" s="50">
        <f t="shared" si="22"/>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
      <c r="A131" s="86" t="s">
        <v>80</v>
      </c>
      <c r="B131" s="531" t="s">
        <v>202</v>
      </c>
      <c r="C131" s="29" t="str">
        <f t="shared" si="15"/>
        <v xml:space="preserve">England – CCGs - West Suffolk </v>
      </c>
      <c r="D131" s="50">
        <f t="shared" si="14"/>
        <v>101635</v>
      </c>
      <c r="E131" s="50">
        <f t="shared" si="14"/>
        <v>104682</v>
      </c>
      <c r="F131" s="51">
        <f t="shared" si="18"/>
        <v>237473</v>
      </c>
      <c r="G131" s="51">
        <f t="shared" si="19"/>
        <v>117832</v>
      </c>
      <c r="H131" s="52">
        <f t="shared" si="20"/>
        <v>119641</v>
      </c>
      <c r="I131" s="61">
        <f t="shared" si="17"/>
        <v>101635</v>
      </c>
      <c r="J131" s="52">
        <f t="shared" si="23"/>
        <v>104682</v>
      </c>
      <c r="K131" s="49">
        <f t="shared" si="21"/>
        <v>23967</v>
      </c>
      <c r="L131" s="50">
        <f t="shared" si="22"/>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
      <c r="A132" s="86" t="s">
        <v>80</v>
      </c>
      <c r="B132" s="531" t="s">
        <v>203</v>
      </c>
      <c r="C132" s="29" t="str">
        <f t="shared" si="15"/>
        <v xml:space="preserve">England – CCGs - West Sussex </v>
      </c>
      <c r="D132" s="50">
        <f t="shared" si="14"/>
        <v>371016</v>
      </c>
      <c r="E132" s="50">
        <f t="shared" si="14"/>
        <v>399530</v>
      </c>
      <c r="F132" s="51">
        <f t="shared" si="18"/>
        <v>885492</v>
      </c>
      <c r="G132" s="51">
        <f t="shared" si="19"/>
        <v>429875</v>
      </c>
      <c r="H132" s="52">
        <f t="shared" si="20"/>
        <v>455617</v>
      </c>
      <c r="I132" s="61">
        <f t="shared" si="17"/>
        <v>371016</v>
      </c>
      <c r="J132" s="52">
        <f t="shared" si="23"/>
        <v>399530</v>
      </c>
      <c r="K132" s="49">
        <f t="shared" si="21"/>
        <v>90255</v>
      </c>
      <c r="L132" s="50">
        <f t="shared" si="22"/>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
      <c r="A133" s="86" t="s">
        <v>80</v>
      </c>
      <c r="B133" s="531" t="s">
        <v>204</v>
      </c>
      <c r="C133" s="29" t="str">
        <f t="shared" si="15"/>
        <v xml:space="preserve">England – CCGs - Wigan Borough </v>
      </c>
      <c r="D133" s="50">
        <f t="shared" si="14"/>
        <v>142142</v>
      </c>
      <c r="E133" s="50">
        <f t="shared" si="14"/>
        <v>146354</v>
      </c>
      <c r="F133" s="51">
        <f t="shared" si="18"/>
        <v>334110</v>
      </c>
      <c r="G133" s="51">
        <f t="shared" si="19"/>
        <v>165612</v>
      </c>
      <c r="H133" s="52">
        <f t="shared" si="20"/>
        <v>168498</v>
      </c>
      <c r="I133" s="61">
        <f t="shared" si="17"/>
        <v>142142</v>
      </c>
      <c r="J133" s="52">
        <f t="shared" si="23"/>
        <v>146354</v>
      </c>
      <c r="K133" s="49">
        <f t="shared" si="21"/>
        <v>35791</v>
      </c>
      <c r="L133" s="50">
        <f t="shared" si="22"/>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
      <c r="A134" s="86" t="s">
        <v>80</v>
      </c>
      <c r="B134" s="531" t="s">
        <v>205</v>
      </c>
      <c r="C134" s="29" t="str">
        <f t="shared" si="15"/>
        <v xml:space="preserve">England – CCGs - Wirral </v>
      </c>
      <c r="D134" s="50">
        <f t="shared" si="14"/>
        <v>134091</v>
      </c>
      <c r="E134" s="50">
        <f t="shared" si="14"/>
        <v>145723</v>
      </c>
      <c r="F134" s="51">
        <f t="shared" si="18"/>
        <v>322453</v>
      </c>
      <c r="G134" s="51">
        <f t="shared" si="19"/>
        <v>156079</v>
      </c>
      <c r="H134" s="52">
        <f t="shared" si="20"/>
        <v>166374</v>
      </c>
      <c r="I134" s="61">
        <f t="shared" si="17"/>
        <v>134091</v>
      </c>
      <c r="J134" s="52">
        <f t="shared" si="23"/>
        <v>145723</v>
      </c>
      <c r="K134" s="49">
        <f t="shared" si="21"/>
        <v>33797</v>
      </c>
      <c r="L134" s="50">
        <f t="shared" si="22"/>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ht="15" x14ac:dyDescent="0.25">
      <c r="A135" s="111"/>
      <c r="B135" s="532"/>
      <c r="C135" s="111"/>
      <c r="D135" s="113">
        <f t="shared" ref="D135:L135" si="24">SUM(D29:D134)</f>
        <v>23982304</v>
      </c>
      <c r="E135" s="134">
        <f t="shared" si="24"/>
        <v>25305672</v>
      </c>
      <c r="F135" s="113">
        <f t="shared" si="24"/>
        <v>57106398</v>
      </c>
      <c r="G135" s="134">
        <f t="shared" si="24"/>
        <v>27983290</v>
      </c>
      <c r="H135" s="134">
        <f t="shared" si="24"/>
        <v>29123108</v>
      </c>
      <c r="I135" s="134">
        <f t="shared" si="24"/>
        <v>23982304</v>
      </c>
      <c r="J135" s="134">
        <f t="shared" si="24"/>
        <v>25305672</v>
      </c>
      <c r="K135" s="134">
        <f t="shared" si="24"/>
        <v>6087888</v>
      </c>
      <c r="L135" s="134">
        <f t="shared" si="24"/>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2">
      <c r="A136" s="53" t="s">
        <v>61</v>
      </c>
      <c r="B136" s="533" t="s">
        <v>206</v>
      </c>
      <c r="C136" s="29" t="str">
        <f t="shared" ref="C136:C142" si="25">CONCATENATE(A136," - ",B136)</f>
        <v xml:space="preserve">Wales – Health Boards - Aneurin Bevan University Health Board </v>
      </c>
      <c r="D136" s="50">
        <f t="shared" ref="D136:E142" si="26">I136</f>
        <v>248793</v>
      </c>
      <c r="E136" s="50">
        <f t="shared" si="26"/>
        <v>262653</v>
      </c>
      <c r="F136" s="51">
        <f t="shared" ref="F136:F142" si="27">G136+H136</f>
        <v>591396</v>
      </c>
      <c r="G136" s="51">
        <f t="shared" ref="G136:G142" si="28">SUM(M136:CY136)</f>
        <v>289759</v>
      </c>
      <c r="H136" s="52">
        <f t="shared" ref="H136:H142" si="29">SUM(CZ136:GL136)</f>
        <v>301637</v>
      </c>
      <c r="I136" s="52">
        <f>SUM(Y136:CY136)</f>
        <v>248793</v>
      </c>
      <c r="J136" s="52">
        <f t="shared" ref="J136:J142" si="30">SUM(DL136:GL136)</f>
        <v>262653</v>
      </c>
      <c r="K136" s="49">
        <f t="shared" ref="K136:K142" si="31">SUM(M136:AD136)</f>
        <v>62647</v>
      </c>
      <c r="L136" s="50">
        <f t="shared" ref="L136:L142" si="32">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
      <c r="A137" s="53" t="s">
        <v>61</v>
      </c>
      <c r="B137" s="534" t="s">
        <v>207</v>
      </c>
      <c r="C137" s="29" t="str">
        <f t="shared" si="25"/>
        <v xml:space="preserve">Wales – Health Boards - Betsi Cadwaladr University Health Board </v>
      </c>
      <c r="D137" s="50">
        <f t="shared" si="26"/>
        <v>293102</v>
      </c>
      <c r="E137" s="50">
        <f t="shared" si="26"/>
        <v>309372</v>
      </c>
      <c r="F137" s="51">
        <f t="shared" si="27"/>
        <v>688201</v>
      </c>
      <c r="G137" s="51">
        <f t="shared" si="28"/>
        <v>337029</v>
      </c>
      <c r="H137" s="52">
        <f t="shared" si="29"/>
        <v>351172</v>
      </c>
      <c r="I137" s="52">
        <f t="shared" ref="I137:I142" si="33">SUM(Y137:CY137)</f>
        <v>293102</v>
      </c>
      <c r="J137" s="52">
        <f t="shared" si="30"/>
        <v>309372</v>
      </c>
      <c r="K137" s="49">
        <f t="shared" si="31"/>
        <v>68583</v>
      </c>
      <c r="L137" s="50">
        <f t="shared" si="32"/>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
      <c r="A138" s="53" t="s">
        <v>61</v>
      </c>
      <c r="B138" s="534" t="s">
        <v>208</v>
      </c>
      <c r="C138" s="29" t="str">
        <f t="shared" si="25"/>
        <v xml:space="preserve">Wales – Health Boards - Cardiff and Vale University Health Board </v>
      </c>
      <c r="D138" s="50">
        <f t="shared" si="26"/>
        <v>212233</v>
      </c>
      <c r="E138" s="50">
        <f t="shared" si="26"/>
        <v>225638</v>
      </c>
      <c r="F138" s="51">
        <f t="shared" si="27"/>
        <v>505581</v>
      </c>
      <c r="G138" s="51">
        <f t="shared" si="28"/>
        <v>246725</v>
      </c>
      <c r="H138" s="52">
        <f t="shared" si="29"/>
        <v>258856</v>
      </c>
      <c r="I138" s="52">
        <f t="shared" si="33"/>
        <v>212233</v>
      </c>
      <c r="J138" s="52">
        <f t="shared" si="30"/>
        <v>225638</v>
      </c>
      <c r="K138" s="49">
        <f t="shared" si="31"/>
        <v>52516</v>
      </c>
      <c r="L138" s="50">
        <f t="shared" si="32"/>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
      <c r="A139" s="53" t="s">
        <v>61</v>
      </c>
      <c r="B139" s="534" t="s">
        <v>209</v>
      </c>
      <c r="C139" s="29" t="str">
        <f t="shared" si="25"/>
        <v xml:space="preserve">Wales – Health Boards - Cwm Taf Morgannwg University Health Board </v>
      </c>
      <c r="D139" s="50">
        <f t="shared" si="26"/>
        <v>187852</v>
      </c>
      <c r="E139" s="50">
        <f t="shared" si="26"/>
        <v>196895</v>
      </c>
      <c r="F139" s="51">
        <f t="shared" si="27"/>
        <v>444037</v>
      </c>
      <c r="G139" s="51">
        <f t="shared" si="28"/>
        <v>218245</v>
      </c>
      <c r="H139" s="52">
        <f t="shared" si="29"/>
        <v>225792</v>
      </c>
      <c r="I139" s="52">
        <f t="shared" si="33"/>
        <v>187852</v>
      </c>
      <c r="J139" s="52">
        <f t="shared" si="30"/>
        <v>196895</v>
      </c>
      <c r="K139" s="49">
        <f t="shared" si="31"/>
        <v>46628</v>
      </c>
      <c r="L139" s="50">
        <f t="shared" si="32"/>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
      <c r="A140" s="53" t="s">
        <v>61</v>
      </c>
      <c r="B140" s="534" t="s">
        <v>210</v>
      </c>
      <c r="C140" s="29" t="str">
        <f t="shared" si="25"/>
        <v xml:space="preserve">Wales – Health Boards - Hywel Dda University Health Board </v>
      </c>
      <c r="D140" s="50">
        <f t="shared" si="26"/>
        <v>164354</v>
      </c>
      <c r="E140" s="50">
        <f t="shared" si="26"/>
        <v>174792</v>
      </c>
      <c r="F140" s="51">
        <f t="shared" si="27"/>
        <v>385094</v>
      </c>
      <c r="G140" s="51">
        <f t="shared" si="28"/>
        <v>187853</v>
      </c>
      <c r="H140" s="52">
        <f t="shared" si="29"/>
        <v>197241</v>
      </c>
      <c r="I140" s="52">
        <f t="shared" si="33"/>
        <v>164354</v>
      </c>
      <c r="J140" s="52">
        <f t="shared" si="30"/>
        <v>174792</v>
      </c>
      <c r="K140" s="49">
        <f t="shared" si="31"/>
        <v>36778</v>
      </c>
      <c r="L140" s="50">
        <f t="shared" si="32"/>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
      <c r="A141" s="53" t="s">
        <v>61</v>
      </c>
      <c r="B141" s="534" t="s">
        <v>211</v>
      </c>
      <c r="C141" s="29" t="str">
        <f t="shared" si="25"/>
        <v xml:space="preserve">Wales – Health Boards - Powys Teaching Health Board </v>
      </c>
      <c r="D141" s="50">
        <f t="shared" si="26"/>
        <v>58414</v>
      </c>
      <c r="E141" s="50">
        <f t="shared" si="26"/>
        <v>60474</v>
      </c>
      <c r="F141" s="51">
        <f t="shared" si="27"/>
        <v>133891</v>
      </c>
      <c r="G141" s="51">
        <f t="shared" si="28"/>
        <v>66153</v>
      </c>
      <c r="H141" s="52">
        <f t="shared" si="29"/>
        <v>67738</v>
      </c>
      <c r="I141" s="52">
        <f t="shared" si="33"/>
        <v>58414</v>
      </c>
      <c r="J141" s="52">
        <f t="shared" si="30"/>
        <v>60474</v>
      </c>
      <c r="K141" s="49">
        <f t="shared" si="31"/>
        <v>12168</v>
      </c>
      <c r="L141" s="50">
        <f t="shared" si="32"/>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
      <c r="A142" s="54" t="s">
        <v>61</v>
      </c>
      <c r="B142" s="535" t="s">
        <v>212</v>
      </c>
      <c r="C142" s="43" t="str">
        <f t="shared" si="25"/>
        <v xml:space="preserve">Wales – Health Boards - Swansea Bay University Health Board </v>
      </c>
      <c r="D142" s="56">
        <f t="shared" si="26"/>
        <v>164352</v>
      </c>
      <c r="E142" s="56">
        <f t="shared" si="26"/>
        <v>170961</v>
      </c>
      <c r="F142" s="47">
        <f t="shared" si="27"/>
        <v>383440</v>
      </c>
      <c r="G142" s="47">
        <f t="shared" si="28"/>
        <v>189120</v>
      </c>
      <c r="H142" s="48">
        <f t="shared" si="29"/>
        <v>194320</v>
      </c>
      <c r="I142" s="52">
        <f t="shared" si="33"/>
        <v>164352</v>
      </c>
      <c r="J142" s="48">
        <f t="shared" si="30"/>
        <v>170961</v>
      </c>
      <c r="K142" s="55">
        <f t="shared" si="31"/>
        <v>38510</v>
      </c>
      <c r="L142" s="56">
        <f t="shared" si="32"/>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ht="15" x14ac:dyDescent="0.25">
      <c r="A143" s="115"/>
      <c r="B143" s="536"/>
      <c r="C143" s="115"/>
      <c r="D143" s="40">
        <f>SUM(D136:D142)</f>
        <v>1329100</v>
      </c>
      <c r="E143" s="40">
        <f t="shared" ref="E143:L143" si="34">SUM(E136:E142)</f>
        <v>1400785</v>
      </c>
      <c r="F143" s="40">
        <f t="shared" si="34"/>
        <v>3131640</v>
      </c>
      <c r="G143" s="40">
        <f t="shared" si="34"/>
        <v>1534884</v>
      </c>
      <c r="H143" s="40">
        <f t="shared" si="34"/>
        <v>1596756</v>
      </c>
      <c r="I143" s="40">
        <f t="shared" si="34"/>
        <v>1329100</v>
      </c>
      <c r="J143" s="40">
        <f t="shared" si="34"/>
        <v>1400785</v>
      </c>
      <c r="K143" s="40">
        <f t="shared" si="34"/>
        <v>317830</v>
      </c>
      <c r="L143" s="40">
        <f t="shared" si="34"/>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
      <c r="A144" s="58" t="s">
        <v>64</v>
      </c>
      <c r="B144" s="533" t="s">
        <v>213</v>
      </c>
      <c r="C144" s="71" t="str">
        <f>CONCATENATE(A144," - ",B144)</f>
        <v>NI – Health and Social Care Trusts - Belfast Health and Social Care Trust</v>
      </c>
      <c r="D144" s="60">
        <f t="shared" ref="D144:E148" si="35">I144</f>
        <v>151453.47400360389</v>
      </c>
      <c r="E144" s="60">
        <f t="shared" si="35"/>
        <v>161685.98345437899</v>
      </c>
      <c r="F144" s="493">
        <f>G144+H144</f>
        <v>364103.61922965694</v>
      </c>
      <c r="G144" s="493">
        <f>SUM(M144:CY144)</f>
        <v>177508.17393508262</v>
      </c>
      <c r="H144" s="61">
        <f>SUM(CZ144:GL144)</f>
        <v>186595.44529457431</v>
      </c>
      <c r="I144" s="61">
        <f>SUM(Y144:CY144)</f>
        <v>151453.47400360389</v>
      </c>
      <c r="J144" s="61">
        <f>SUM(DL144:GL144)</f>
        <v>161685.98345437899</v>
      </c>
      <c r="K144" s="494">
        <f>SUM(M144:AD144)</f>
        <v>38954.196552201036</v>
      </c>
      <c r="L144" s="60">
        <f>SUM(CZ144:DQ144)</f>
        <v>37048.788099800979</v>
      </c>
      <c r="M144" s="494">
        <v>2017.8952120383037</v>
      </c>
      <c r="N144" s="494">
        <v>2031.4154300095463</v>
      </c>
      <c r="O144" s="494">
        <v>2025.5722779004586</v>
      </c>
      <c r="P144" s="494">
        <v>2036.6363244919048</v>
      </c>
      <c r="Q144" s="494">
        <v>2174.8657606103957</v>
      </c>
      <c r="R144" s="494">
        <v>2139.1275684252282</v>
      </c>
      <c r="S144" s="494">
        <v>2269.8788621098379</v>
      </c>
      <c r="T144" s="494">
        <v>2199.8731034482757</v>
      </c>
      <c r="U144" s="494">
        <v>2214.1918960244648</v>
      </c>
      <c r="V144" s="494">
        <v>2323.0202012443356</v>
      </c>
      <c r="W144" s="494">
        <v>2319.2258355916892</v>
      </c>
      <c r="X144" s="494">
        <v>2302.9974595842955</v>
      </c>
      <c r="Y144" s="494">
        <v>2256.5049293083684</v>
      </c>
      <c r="Z144" s="494">
        <v>2212.0418107754977</v>
      </c>
      <c r="AA144" s="494">
        <v>2229.1199141767324</v>
      </c>
      <c r="AB144" s="494">
        <v>2134.8894582108355</v>
      </c>
      <c r="AC144" s="494">
        <v>2012.6591474539725</v>
      </c>
      <c r="AD144" s="494">
        <v>2054.2813607968933</v>
      </c>
      <c r="AE144" s="494">
        <v>2265.0450211864404</v>
      </c>
      <c r="AF144" s="494">
        <v>2804.7232134687529</v>
      </c>
      <c r="AG144" s="494">
        <v>2878.6458486407055</v>
      </c>
      <c r="AH144" s="494">
        <v>2648.2416475163518</v>
      </c>
      <c r="AI144" s="494">
        <v>2812.8031562871206</v>
      </c>
      <c r="AJ144" s="494">
        <v>2819.1729711141679</v>
      </c>
      <c r="AK144" s="494">
        <v>2731.7522704339053</v>
      </c>
      <c r="AL144" s="494">
        <v>2754.8174718956493</v>
      </c>
      <c r="AM144" s="494">
        <v>2792.2450211225105</v>
      </c>
      <c r="AN144" s="494">
        <v>2709.9772329246935</v>
      </c>
      <c r="AO144" s="494">
        <v>2693.0545391183132</v>
      </c>
      <c r="AP144" s="494">
        <v>2739.741847362131</v>
      </c>
      <c r="AQ144" s="494">
        <v>2738.9105892047796</v>
      </c>
      <c r="AR144" s="494">
        <v>2711.0666008067833</v>
      </c>
      <c r="AS144" s="494">
        <v>2782.8070289619263</v>
      </c>
      <c r="AT144" s="494">
        <v>2691.3420944220152</v>
      </c>
      <c r="AU144" s="494">
        <v>2575.2371291098634</v>
      </c>
      <c r="AV144" s="494">
        <v>2616.3572226656024</v>
      </c>
      <c r="AW144" s="494">
        <v>2585.9089460686691</v>
      </c>
      <c r="AX144" s="494">
        <v>2533.264568094025</v>
      </c>
      <c r="AY144" s="494">
        <v>2413.1614349775782</v>
      </c>
      <c r="AZ144" s="494">
        <v>2431.4496314496314</v>
      </c>
      <c r="BA144" s="494">
        <v>2293.8903732491299</v>
      </c>
      <c r="BB144" s="494">
        <v>2344.819097470061</v>
      </c>
      <c r="BC144" s="494">
        <v>2403.7633319021038</v>
      </c>
      <c r="BD144" s="494">
        <v>2239.8626248466794</v>
      </c>
      <c r="BE144" s="494">
        <v>2047.4737312365976</v>
      </c>
      <c r="BF144" s="494">
        <v>2052.8353243075835</v>
      </c>
      <c r="BG144" s="494">
        <v>1984.3233076189651</v>
      </c>
      <c r="BH144" s="494">
        <v>1967.3126347206103</v>
      </c>
      <c r="BI144" s="494">
        <v>1977.5348837209303</v>
      </c>
      <c r="BJ144" s="494">
        <v>2084.857469993683</v>
      </c>
      <c r="BK144" s="494">
        <v>2131.2999446158715</v>
      </c>
      <c r="BL144" s="494">
        <v>2143.6819436775263</v>
      </c>
      <c r="BM144" s="494">
        <v>2073.8563380281689</v>
      </c>
      <c r="BN144" s="494">
        <v>2300.7910402197972</v>
      </c>
      <c r="BO144" s="494">
        <v>2326.6164287385909</v>
      </c>
      <c r="BP144" s="494">
        <v>2307.9060786106033</v>
      </c>
      <c r="BQ144" s="494">
        <v>2344.6145362640732</v>
      </c>
      <c r="BR144" s="494">
        <v>2368.012116504854</v>
      </c>
      <c r="BS144" s="494">
        <v>2252.978437722139</v>
      </c>
      <c r="BT144" s="494">
        <v>2241.3179516972359</v>
      </c>
      <c r="BU144" s="494">
        <v>2297.6054466954502</v>
      </c>
      <c r="BV144" s="494">
        <v>2198.0522088353414</v>
      </c>
      <c r="BW144" s="494">
        <v>2021.5031326614003</v>
      </c>
      <c r="BX144" s="494">
        <v>2002.5265144540601</v>
      </c>
      <c r="BY144" s="494">
        <v>1890.3538506703198</v>
      </c>
      <c r="BZ144" s="494">
        <v>1822.7951142631994</v>
      </c>
      <c r="CA144" s="494">
        <v>1687.8206664564279</v>
      </c>
      <c r="CB144" s="494">
        <v>1588.8602704443015</v>
      </c>
      <c r="CC144" s="494">
        <v>1552.3684032476319</v>
      </c>
      <c r="CD144" s="494">
        <v>1527.1244533743056</v>
      </c>
      <c r="CE144" s="494">
        <v>1273.9034871433603</v>
      </c>
      <c r="CF144" s="494">
        <v>1290.2680573978055</v>
      </c>
      <c r="CG144" s="494">
        <v>1292.323121170439</v>
      </c>
      <c r="CH144" s="494">
        <v>1203.3575933400607</v>
      </c>
      <c r="CI144" s="494">
        <v>1137.5975561687032</v>
      </c>
      <c r="CJ144" s="494">
        <v>1181.2559576345984</v>
      </c>
      <c r="CK144" s="494">
        <v>1033.272138554217</v>
      </c>
      <c r="CL144" s="494">
        <v>966.99722735674675</v>
      </c>
      <c r="CM144" s="494">
        <v>986.02355350742448</v>
      </c>
      <c r="CN144" s="494">
        <v>974.00968523002427</v>
      </c>
      <c r="CO144" s="494">
        <v>796.9</v>
      </c>
      <c r="CP144" s="494">
        <v>696.19117288466236</v>
      </c>
      <c r="CQ144" s="494">
        <v>621.99595857539782</v>
      </c>
      <c r="CR144" s="494">
        <v>600.77992957746471</v>
      </c>
      <c r="CS144" s="494">
        <v>583.85111740635818</v>
      </c>
      <c r="CT144" s="494">
        <v>522.79582712369597</v>
      </c>
      <c r="CU144" s="494">
        <v>452.41860465116281</v>
      </c>
      <c r="CV144" s="494">
        <v>372.84571129707109</v>
      </c>
      <c r="CW144" s="494">
        <v>312.34061135371184</v>
      </c>
      <c r="CX144" s="494">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
      <c r="A145" s="58" t="s">
        <v>64</v>
      </c>
      <c r="B145" s="534" t="s">
        <v>214</v>
      </c>
      <c r="C145" s="29" t="str">
        <f>CONCATENATE(A145," - ",B145)</f>
        <v>NI – Health and Social Care Trusts - Northern Health and Social Care Trust</v>
      </c>
      <c r="D145" s="50">
        <f t="shared" si="35"/>
        <v>200712.94621131546</v>
      </c>
      <c r="E145" s="50">
        <f t="shared" si="35"/>
        <v>210357.44403615201</v>
      </c>
      <c r="F145" s="51">
        <f>G145+H145</f>
        <v>481382.17904342338</v>
      </c>
      <c r="G145" s="51">
        <f>SUM(M145:CY145)</f>
        <v>236709.43766448114</v>
      </c>
      <c r="H145" s="52">
        <f>SUM(CZ145:GL145)</f>
        <v>244672.74137894227</v>
      </c>
      <c r="I145" s="61">
        <f t="shared" ref="I145:I148" si="36">SUM(Y145:CY145)</f>
        <v>200712.94621131546</v>
      </c>
      <c r="J145" s="52">
        <f>SUM(DL145:GL145)</f>
        <v>210357.44403615201</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
      <c r="A146" s="58" t="s">
        <v>64</v>
      </c>
      <c r="B146" s="534" t="s">
        <v>215</v>
      </c>
      <c r="C146" s="29" t="str">
        <f>CONCATENATE(A146," - ",B146)</f>
        <v>NI – Health and Social Care Trusts - South Eastern Health and Social Care Trust</v>
      </c>
      <c r="D146" s="50">
        <f t="shared" si="35"/>
        <v>153138.26192149875</v>
      </c>
      <c r="E146" s="50">
        <f t="shared" si="35"/>
        <v>162974.18702365531</v>
      </c>
      <c r="F146" s="51">
        <f>G146+H146</f>
        <v>369789.18700736761</v>
      </c>
      <c r="G146" s="51">
        <f>SUM(M146:CY146)</f>
        <v>180780.24560799409</v>
      </c>
      <c r="H146" s="52">
        <f>SUM(CZ146:GL146)</f>
        <v>189008.94139937355</v>
      </c>
      <c r="I146" s="61">
        <f t="shared" si="36"/>
        <v>153138.26192149875</v>
      </c>
      <c r="J146" s="52">
        <f>SUM(DL146:GL146)</f>
        <v>162974.18702365531</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
      <c r="A147" s="58" t="s">
        <v>64</v>
      </c>
      <c r="B147" s="534" t="s">
        <v>216</v>
      </c>
      <c r="C147" s="29" t="str">
        <f>CONCATENATE(A147," - ",B147)</f>
        <v>NI – Health and Social Care Trusts - Southern Health and Social Care Trust</v>
      </c>
      <c r="D147" s="50">
        <f t="shared" si="35"/>
        <v>161645.60244653741</v>
      </c>
      <c r="E147" s="50">
        <f t="shared" si="35"/>
        <v>165213.12926851152</v>
      </c>
      <c r="F147" s="51">
        <f>G147+H147</f>
        <v>392401.41553556663</v>
      </c>
      <c r="G147" s="51">
        <f>SUM(M147:CY147)</f>
        <v>195257.24005223456</v>
      </c>
      <c r="H147" s="52">
        <f>SUM(CZ147:GL147)</f>
        <v>197144.17548333207</v>
      </c>
      <c r="I147" s="61">
        <f t="shared" si="36"/>
        <v>161645.60244653741</v>
      </c>
      <c r="J147" s="52">
        <f>SUM(DL147:GL147)</f>
        <v>165213.12926851152</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
      <c r="A148" s="62" t="s">
        <v>64</v>
      </c>
      <c r="B148" s="535" t="s">
        <v>217</v>
      </c>
      <c r="C148" s="43" t="str">
        <f>CONCATENATE(A148," - ",B148)</f>
        <v>NI – Health and Social Care Trusts - Western Health and Social Care Trust</v>
      </c>
      <c r="D148" s="56">
        <f t="shared" si="35"/>
        <v>125748.71541704447</v>
      </c>
      <c r="E148" s="56">
        <f t="shared" si="35"/>
        <v>130011.25621730217</v>
      </c>
      <c r="F148" s="47">
        <f>G148+H148</f>
        <v>302866.59918398538</v>
      </c>
      <c r="G148" s="47">
        <f>SUM(M148:CY148)</f>
        <v>149691.90274020744</v>
      </c>
      <c r="H148" s="48">
        <f>SUM(CZ148:GL148)</f>
        <v>153174.69644377791</v>
      </c>
      <c r="I148" s="61">
        <f t="shared" si="36"/>
        <v>125748.71541704447</v>
      </c>
      <c r="J148" s="48">
        <f>SUM(DL148:GL148)</f>
        <v>130011.25621730217</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ht="15" x14ac:dyDescent="0.25">
      <c r="A149" s="115"/>
      <c r="B149" s="536"/>
      <c r="C149" s="115"/>
      <c r="D149" s="40">
        <f>SUM(D144:D148)</f>
        <v>792699</v>
      </c>
      <c r="E149" s="40">
        <f t="shared" ref="E149:L149" si="37">SUM(E144:E148)</f>
        <v>830242</v>
      </c>
      <c r="F149" s="40">
        <f t="shared" si="37"/>
        <v>1910543</v>
      </c>
      <c r="G149" s="40">
        <f t="shared" si="37"/>
        <v>939947</v>
      </c>
      <c r="H149" s="40">
        <f t="shared" si="37"/>
        <v>970596.00000000012</v>
      </c>
      <c r="I149" s="40">
        <f t="shared" si="37"/>
        <v>792699</v>
      </c>
      <c r="J149" s="40">
        <f t="shared" si="37"/>
        <v>830242</v>
      </c>
      <c r="K149" s="40">
        <f t="shared" si="37"/>
        <v>223649.99999999997</v>
      </c>
      <c r="L149" s="40">
        <f t="shared" si="37"/>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
      <c r="A150" s="72" t="s">
        <v>59</v>
      </c>
      <c r="B150" s="537" t="s">
        <v>218</v>
      </c>
      <c r="C150" s="71" t="str">
        <f>CONCATENATE(A150," - ",B150)</f>
        <v>NHSE regions - East of England</v>
      </c>
      <c r="D150" s="60">
        <f t="shared" ref="D150:E156" si="38">I150</f>
        <v>2682211</v>
      </c>
      <c r="E150" s="60">
        <f t="shared" si="38"/>
        <v>2824860</v>
      </c>
      <c r="F150" s="493">
        <f t="shared" ref="F150:F156" si="39">G150+H150</f>
        <v>6398497</v>
      </c>
      <c r="G150" s="493">
        <f t="shared" ref="G150:G156" si="40">SUM(M150:CY150)</f>
        <v>3138914</v>
      </c>
      <c r="H150" s="61">
        <f t="shared" ref="H150:H156" si="41">SUM(CZ150:GL150)</f>
        <v>3259583</v>
      </c>
      <c r="I150" s="61">
        <f>SUM(Y150:CY150)</f>
        <v>2682211</v>
      </c>
      <c r="J150" s="61">
        <f t="shared" ref="J150:J156" si="42">SUM(DL150:GL150)</f>
        <v>2824860</v>
      </c>
      <c r="K150" s="494">
        <f t="shared" ref="K150:K156" si="43">SUM(M150:AD150)</f>
        <v>691157</v>
      </c>
      <c r="L150" s="60">
        <f t="shared" ref="L150:L156" si="44">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
      <c r="A151" s="63" t="s">
        <v>59</v>
      </c>
      <c r="B151" s="537" t="s">
        <v>219</v>
      </c>
      <c r="C151" s="29" t="str">
        <f>CONCATENATE(A151," - ",B151)</f>
        <v>NHSE regions - London</v>
      </c>
      <c r="D151" s="50">
        <f t="shared" si="38"/>
        <v>3656937</v>
      </c>
      <c r="E151" s="50">
        <f t="shared" si="38"/>
        <v>3943695</v>
      </c>
      <c r="F151" s="51">
        <f t="shared" si="39"/>
        <v>8866180</v>
      </c>
      <c r="G151" s="51">
        <f t="shared" si="40"/>
        <v>4302616</v>
      </c>
      <c r="H151" s="52">
        <f t="shared" si="41"/>
        <v>4563564</v>
      </c>
      <c r="I151" s="61">
        <f t="shared" ref="I151:I156" si="45">SUM(Y151:CY151)</f>
        <v>3656937</v>
      </c>
      <c r="J151" s="52">
        <f t="shared" si="42"/>
        <v>3943695</v>
      </c>
      <c r="K151" s="49">
        <f t="shared" si="43"/>
        <v>968394</v>
      </c>
      <c r="L151" s="50">
        <f t="shared" si="44"/>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
      <c r="A152" s="63" t="s">
        <v>59</v>
      </c>
      <c r="B152" s="537" t="s">
        <v>220</v>
      </c>
      <c r="C152" s="29" t="str">
        <f t="shared" ref="C152:C199" si="46">CONCATENATE(A152," - ",B152)</f>
        <v>NHSE regions - Midlands</v>
      </c>
      <c r="D152" s="50">
        <f t="shared" si="38"/>
        <v>4621902</v>
      </c>
      <c r="E152" s="50">
        <f t="shared" si="38"/>
        <v>4816645</v>
      </c>
      <c r="F152" s="51">
        <f t="shared" si="39"/>
        <v>10956592</v>
      </c>
      <c r="G152" s="51">
        <f t="shared" si="40"/>
        <v>5398034</v>
      </c>
      <c r="H152" s="52">
        <f t="shared" si="41"/>
        <v>5558558</v>
      </c>
      <c r="I152" s="61">
        <f t="shared" si="45"/>
        <v>4621902</v>
      </c>
      <c r="J152" s="52">
        <f t="shared" si="42"/>
        <v>4816645</v>
      </c>
      <c r="K152" s="49">
        <f t="shared" si="43"/>
        <v>1184516</v>
      </c>
      <c r="L152" s="50">
        <f t="shared" si="44"/>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
      <c r="A153" s="63" t="s">
        <v>59</v>
      </c>
      <c r="B153" s="537" t="s">
        <v>221</v>
      </c>
      <c r="C153" s="29" t="str">
        <f t="shared" si="46"/>
        <v>NHSE regions - North East and Yorkshire</v>
      </c>
      <c r="D153" s="50">
        <f t="shared" si="38"/>
        <v>3470424</v>
      </c>
      <c r="E153" s="50">
        <f t="shared" si="38"/>
        <v>3647041</v>
      </c>
      <c r="F153" s="51">
        <f t="shared" si="39"/>
        <v>8224302</v>
      </c>
      <c r="G153" s="51">
        <f t="shared" si="40"/>
        <v>4037235</v>
      </c>
      <c r="H153" s="52">
        <f t="shared" si="41"/>
        <v>4187067</v>
      </c>
      <c r="I153" s="61">
        <f t="shared" si="45"/>
        <v>3470424</v>
      </c>
      <c r="J153" s="52">
        <f t="shared" si="42"/>
        <v>3647041</v>
      </c>
      <c r="K153" s="49">
        <f t="shared" si="43"/>
        <v>865159</v>
      </c>
      <c r="L153" s="50">
        <f t="shared" si="44"/>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
      <c r="A154" s="63" t="s">
        <v>59</v>
      </c>
      <c r="B154" s="537" t="s">
        <v>222</v>
      </c>
      <c r="C154" s="29" t="str">
        <f t="shared" si="46"/>
        <v>NHSE regions - North West</v>
      </c>
      <c r="D154" s="50">
        <f t="shared" si="38"/>
        <v>3161323</v>
      </c>
      <c r="E154" s="50">
        <f t="shared" si="38"/>
        <v>3314411</v>
      </c>
      <c r="F154" s="51">
        <f t="shared" si="39"/>
        <v>7516113</v>
      </c>
      <c r="G154" s="51">
        <f t="shared" si="40"/>
        <v>3693400</v>
      </c>
      <c r="H154" s="52">
        <f t="shared" si="41"/>
        <v>3822713</v>
      </c>
      <c r="I154" s="61">
        <f t="shared" si="45"/>
        <v>3161323</v>
      </c>
      <c r="J154" s="52">
        <f t="shared" si="42"/>
        <v>3314411</v>
      </c>
      <c r="K154" s="49">
        <f t="shared" si="43"/>
        <v>811074</v>
      </c>
      <c r="L154" s="50">
        <f t="shared" si="44"/>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
      <c r="A155" s="63" t="s">
        <v>59</v>
      </c>
      <c r="B155" s="537" t="s">
        <v>223</v>
      </c>
      <c r="C155" s="29" t="str">
        <f t="shared" si="46"/>
        <v>NHSE regions - South East</v>
      </c>
      <c r="D155" s="50">
        <f t="shared" si="38"/>
        <v>3931937</v>
      </c>
      <c r="E155" s="50">
        <f t="shared" si="38"/>
        <v>4164468</v>
      </c>
      <c r="F155" s="51">
        <f t="shared" si="39"/>
        <v>9379833</v>
      </c>
      <c r="G155" s="51">
        <f t="shared" si="40"/>
        <v>4590013</v>
      </c>
      <c r="H155" s="52">
        <f t="shared" si="41"/>
        <v>4789820</v>
      </c>
      <c r="I155" s="61">
        <f t="shared" si="45"/>
        <v>3931937</v>
      </c>
      <c r="J155" s="52">
        <f t="shared" si="42"/>
        <v>4164468</v>
      </c>
      <c r="K155" s="49">
        <f t="shared" si="43"/>
        <v>1006799</v>
      </c>
      <c r="L155" s="50">
        <f t="shared" si="44"/>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
      <c r="A156" s="138" t="s">
        <v>59</v>
      </c>
      <c r="B156" s="537" t="s">
        <v>224</v>
      </c>
      <c r="C156" s="29" t="str">
        <f t="shared" si="46"/>
        <v>NHSE regions - South West</v>
      </c>
      <c r="D156" s="50">
        <f t="shared" si="38"/>
        <v>2457570</v>
      </c>
      <c r="E156" s="50">
        <f t="shared" si="38"/>
        <v>2594552</v>
      </c>
      <c r="F156" s="51">
        <f t="shared" si="39"/>
        <v>5764881</v>
      </c>
      <c r="G156" s="51">
        <f t="shared" si="40"/>
        <v>2823078</v>
      </c>
      <c r="H156" s="52">
        <f t="shared" si="41"/>
        <v>2941803</v>
      </c>
      <c r="I156" s="61">
        <f t="shared" si="45"/>
        <v>2457570</v>
      </c>
      <c r="J156" s="52">
        <f t="shared" si="42"/>
        <v>2594552</v>
      </c>
      <c r="K156" s="49">
        <f t="shared" si="43"/>
        <v>560789</v>
      </c>
      <c r="L156" s="50">
        <f t="shared" si="44"/>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ht="15" x14ac:dyDescent="0.25">
      <c r="A157" s="116"/>
      <c r="B157" s="538"/>
      <c r="C157" s="111"/>
      <c r="D157" s="117">
        <f>SUM(D150:D156)</f>
        <v>23982304</v>
      </c>
      <c r="E157" s="117">
        <f>SUM(E150:E156)</f>
        <v>25305672</v>
      </c>
      <c r="F157" s="117">
        <f>SUM(F150:F156)</f>
        <v>57106398</v>
      </c>
      <c r="G157" s="117">
        <f t="shared" ref="G157:L157" si="47">SUM(G150:G156)</f>
        <v>27983290</v>
      </c>
      <c r="H157" s="117">
        <f t="shared" si="47"/>
        <v>29123108</v>
      </c>
      <c r="I157" s="117">
        <f t="shared" si="47"/>
        <v>23982304</v>
      </c>
      <c r="J157" s="117">
        <f t="shared" si="47"/>
        <v>25305672</v>
      </c>
      <c r="K157" s="117">
        <f t="shared" si="47"/>
        <v>6087888</v>
      </c>
      <c r="L157" s="117">
        <f t="shared" si="47"/>
        <v>5799018</v>
      </c>
      <c r="M157" s="117"/>
      <c r="N157" s="492"/>
      <c r="O157" s="492"/>
      <c r="P157" s="492"/>
      <c r="Q157" s="492"/>
      <c r="R157" s="492"/>
      <c r="S157" s="492"/>
      <c r="T157" s="492"/>
      <c r="U157" s="492"/>
      <c r="V157" s="492"/>
      <c r="W157" s="492"/>
      <c r="X157" s="492"/>
      <c r="Y157" s="492"/>
      <c r="Z157" s="492"/>
      <c r="AA157" s="492"/>
      <c r="AB157" s="492"/>
      <c r="AC157" s="492"/>
      <c r="AD157" s="492"/>
      <c r="AE157" s="492"/>
      <c r="AF157" s="492"/>
      <c r="AG157" s="492"/>
      <c r="AH157" s="492"/>
      <c r="AI157" s="492"/>
      <c r="AJ157" s="492"/>
      <c r="AK157" s="492"/>
      <c r="AL157" s="492"/>
      <c r="AM157" s="492"/>
      <c r="AN157" s="492"/>
      <c r="AO157" s="492"/>
      <c r="AP157" s="492"/>
      <c r="AQ157" s="492"/>
      <c r="AR157" s="492"/>
      <c r="AS157" s="492"/>
      <c r="AT157" s="492"/>
      <c r="AU157" s="492"/>
      <c r="AV157" s="492"/>
      <c r="AW157" s="492"/>
      <c r="AX157" s="492"/>
      <c r="AY157" s="492"/>
      <c r="AZ157" s="492"/>
      <c r="BA157" s="492"/>
      <c r="BB157" s="492"/>
      <c r="BC157" s="492"/>
      <c r="BD157" s="492"/>
      <c r="BE157" s="492"/>
      <c r="BF157" s="492"/>
      <c r="BG157" s="492"/>
      <c r="BH157" s="492"/>
      <c r="BI157" s="492"/>
      <c r="BJ157" s="492"/>
      <c r="BK157" s="492"/>
      <c r="BL157" s="492"/>
      <c r="BM157" s="492"/>
      <c r="BN157" s="492"/>
      <c r="BO157" s="492"/>
      <c r="BP157" s="492"/>
      <c r="BQ157" s="492"/>
      <c r="BR157" s="492"/>
      <c r="BS157" s="492"/>
      <c r="BT157" s="492"/>
      <c r="BU157" s="492"/>
      <c r="BV157" s="492"/>
      <c r="BW157" s="492"/>
      <c r="BX157" s="492"/>
      <c r="BY157" s="492"/>
      <c r="BZ157" s="492"/>
      <c r="CA157" s="492"/>
      <c r="CB157" s="492"/>
      <c r="CC157" s="492"/>
      <c r="CD157" s="492"/>
      <c r="CE157" s="492"/>
      <c r="CF157" s="492"/>
      <c r="CG157" s="492"/>
      <c r="CH157" s="492"/>
      <c r="CI157" s="492"/>
      <c r="CJ157" s="492"/>
      <c r="CK157" s="492"/>
      <c r="CL157" s="492"/>
      <c r="CM157" s="492"/>
      <c r="CN157" s="492"/>
      <c r="CO157" s="492"/>
      <c r="CP157" s="492"/>
      <c r="CQ157" s="492"/>
      <c r="CR157" s="492"/>
      <c r="CS157" s="492"/>
      <c r="CT157" s="492"/>
      <c r="CU157" s="492"/>
      <c r="CV157" s="492"/>
      <c r="CW157" s="492"/>
      <c r="CX157" s="492"/>
      <c r="CY157" s="76"/>
      <c r="CZ157" s="117"/>
      <c r="DA157" s="492"/>
      <c r="DB157" s="492"/>
      <c r="DC157" s="492"/>
      <c r="DD157" s="492"/>
      <c r="DE157" s="492"/>
      <c r="DF157" s="492"/>
      <c r="DG157" s="492"/>
      <c r="DH157" s="492"/>
      <c r="DI157" s="492"/>
      <c r="DJ157" s="492"/>
      <c r="DK157" s="492"/>
      <c r="DL157" s="492"/>
      <c r="DM157" s="492"/>
      <c r="DN157" s="492"/>
      <c r="DO157" s="492"/>
      <c r="DP157" s="492"/>
      <c r="DQ157" s="492"/>
      <c r="DR157" s="492"/>
      <c r="DS157" s="492"/>
      <c r="DT157" s="492"/>
      <c r="DU157" s="492"/>
      <c r="DV157" s="492"/>
      <c r="DW157" s="492"/>
      <c r="DX157" s="492"/>
      <c r="DY157" s="492"/>
      <c r="DZ157" s="492"/>
      <c r="EA157" s="492"/>
      <c r="EB157" s="492"/>
      <c r="EC157" s="492"/>
      <c r="ED157" s="492"/>
      <c r="EE157" s="492"/>
      <c r="EF157" s="492"/>
      <c r="EG157" s="492"/>
      <c r="EH157" s="492"/>
      <c r="EI157" s="492"/>
      <c r="EJ157" s="492"/>
      <c r="EK157" s="492"/>
      <c r="EL157" s="492"/>
      <c r="EM157" s="492"/>
      <c r="EN157" s="492"/>
      <c r="EO157" s="492"/>
      <c r="EP157" s="492"/>
      <c r="EQ157" s="492"/>
      <c r="ER157" s="492"/>
      <c r="ES157" s="492"/>
      <c r="ET157" s="492"/>
      <c r="EU157" s="492"/>
      <c r="EV157" s="492"/>
      <c r="EW157" s="492"/>
      <c r="EX157" s="492"/>
      <c r="EY157" s="492"/>
      <c r="EZ157" s="492"/>
      <c r="FA157" s="492"/>
      <c r="FB157" s="492"/>
      <c r="FC157" s="492"/>
      <c r="FD157" s="492"/>
      <c r="FE157" s="492"/>
      <c r="FF157" s="492"/>
      <c r="FG157" s="492"/>
      <c r="FH157" s="492"/>
      <c r="FI157" s="492"/>
      <c r="FJ157" s="492"/>
      <c r="FK157" s="492"/>
      <c r="FL157" s="492"/>
      <c r="FM157" s="492"/>
      <c r="FN157" s="492"/>
      <c r="FO157" s="492"/>
      <c r="FP157" s="492"/>
      <c r="FQ157" s="492"/>
      <c r="FR157" s="492"/>
      <c r="FS157" s="492"/>
      <c r="FT157" s="492"/>
      <c r="FU157" s="492"/>
      <c r="FV157" s="492"/>
      <c r="FW157" s="492"/>
      <c r="FX157" s="492"/>
      <c r="FY157" s="492"/>
      <c r="FZ157" s="492"/>
      <c r="GA157" s="492"/>
      <c r="GB157" s="492"/>
      <c r="GC157" s="492"/>
      <c r="GD157" s="492"/>
      <c r="GE157" s="492"/>
      <c r="GF157" s="492"/>
      <c r="GG157" s="492"/>
      <c r="GH157" s="492"/>
      <c r="GI157" s="492"/>
      <c r="GJ157" s="492"/>
      <c r="GK157" s="492"/>
      <c r="GL157" s="76"/>
    </row>
    <row r="158" spans="1:194" s="1" customFormat="1" x14ac:dyDescent="0.2">
      <c r="A158" s="106" t="s">
        <v>51</v>
      </c>
      <c r="B158" s="539" t="s">
        <v>225</v>
      </c>
      <c r="C158" s="495" t="str">
        <f t="shared" si="46"/>
        <v>England ICB - NHS Bath and North East Somerset, Swindon and Wiltshire Integrated Care Board</v>
      </c>
      <c r="D158" s="78">
        <f t="shared" ref="D158:E163" si="48">I158</f>
        <v>406174</v>
      </c>
      <c r="E158" s="78">
        <f t="shared" si="48"/>
        <v>421290</v>
      </c>
      <c r="F158" s="107">
        <f t="shared" ref="F158:F163" si="49">G158+H158</f>
        <v>953852</v>
      </c>
      <c r="G158" s="493">
        <f t="shared" ref="G158:G163" si="50">SUM(M158:CY158)</f>
        <v>470982</v>
      </c>
      <c r="H158" s="61">
        <f t="shared" ref="H158:H163" si="51">SUM(CZ158:GL158)</f>
        <v>482870</v>
      </c>
      <c r="I158" s="493">
        <f>SUM(Y158:CY158)</f>
        <v>406174</v>
      </c>
      <c r="J158" s="102">
        <f t="shared" ref="J158:J199" si="52">SUM(DL158:GL158)</f>
        <v>421290</v>
      </c>
      <c r="K158" s="104">
        <f t="shared" ref="K158:K163" si="53">SUM(M158:AD158)</f>
        <v>98790</v>
      </c>
      <c r="L158" s="60">
        <f t="shared" ref="L158:L163" si="54">SUM(CZ158:DQ158)</f>
        <v>94278</v>
      </c>
      <c r="M158" s="104">
        <v>4647</v>
      </c>
      <c r="N158" s="494">
        <v>4706</v>
      </c>
      <c r="O158" s="494">
        <v>4907</v>
      </c>
      <c r="P158" s="494">
        <v>5108</v>
      </c>
      <c r="Q158" s="494">
        <v>5293</v>
      </c>
      <c r="R158" s="494">
        <v>5287</v>
      </c>
      <c r="S158" s="494">
        <v>5628</v>
      </c>
      <c r="T158" s="494">
        <v>5623</v>
      </c>
      <c r="U158" s="494">
        <v>5617</v>
      </c>
      <c r="V158" s="494">
        <v>5799</v>
      </c>
      <c r="W158" s="494">
        <v>6160</v>
      </c>
      <c r="X158" s="494">
        <v>6033</v>
      </c>
      <c r="Y158" s="494">
        <v>5955</v>
      </c>
      <c r="Z158" s="494">
        <v>5803</v>
      </c>
      <c r="AA158" s="494">
        <v>5710</v>
      </c>
      <c r="AB158" s="494">
        <v>5605</v>
      </c>
      <c r="AC158" s="494">
        <v>5496</v>
      </c>
      <c r="AD158" s="494">
        <v>5413</v>
      </c>
      <c r="AE158" s="494">
        <v>5967</v>
      </c>
      <c r="AF158" s="494">
        <v>6678</v>
      </c>
      <c r="AG158" s="494">
        <v>6216</v>
      </c>
      <c r="AH158" s="494">
        <v>5569</v>
      </c>
      <c r="AI158" s="494">
        <v>5932</v>
      </c>
      <c r="AJ158" s="494">
        <v>5961</v>
      </c>
      <c r="AK158" s="494">
        <v>5644</v>
      </c>
      <c r="AL158" s="494">
        <v>5569</v>
      </c>
      <c r="AM158" s="494">
        <v>5603</v>
      </c>
      <c r="AN158" s="494">
        <v>5436</v>
      </c>
      <c r="AO158" s="494">
        <v>5723</v>
      </c>
      <c r="AP158" s="494">
        <v>5509</v>
      </c>
      <c r="AQ158" s="494">
        <v>5906</v>
      </c>
      <c r="AR158" s="494">
        <v>5926</v>
      </c>
      <c r="AS158" s="494">
        <v>5999</v>
      </c>
      <c r="AT158" s="494">
        <v>5968</v>
      </c>
      <c r="AU158" s="494">
        <v>6124</v>
      </c>
      <c r="AV158" s="494">
        <v>6089</v>
      </c>
      <c r="AW158" s="494">
        <v>6037</v>
      </c>
      <c r="AX158" s="494">
        <v>5950</v>
      </c>
      <c r="AY158" s="494">
        <v>6029</v>
      </c>
      <c r="AZ158" s="494">
        <v>5880</v>
      </c>
      <c r="BA158" s="494">
        <v>5821</v>
      </c>
      <c r="BB158" s="494">
        <v>5960</v>
      </c>
      <c r="BC158" s="494">
        <v>6033</v>
      </c>
      <c r="BD158" s="494">
        <v>5922</v>
      </c>
      <c r="BE158" s="494">
        <v>5375</v>
      </c>
      <c r="BF158" s="494">
        <v>5274</v>
      </c>
      <c r="BG158" s="494">
        <v>5437</v>
      </c>
      <c r="BH158" s="494">
        <v>5820</v>
      </c>
      <c r="BI158" s="494">
        <v>5866</v>
      </c>
      <c r="BJ158" s="494">
        <v>6432</v>
      </c>
      <c r="BK158" s="494">
        <v>6631</v>
      </c>
      <c r="BL158" s="494">
        <v>6700</v>
      </c>
      <c r="BM158" s="494">
        <v>6536</v>
      </c>
      <c r="BN158" s="494">
        <v>6527</v>
      </c>
      <c r="BO158" s="494">
        <v>6586</v>
      </c>
      <c r="BP158" s="494">
        <v>6746</v>
      </c>
      <c r="BQ158" s="494">
        <v>6723</v>
      </c>
      <c r="BR158" s="494">
        <v>6887</v>
      </c>
      <c r="BS158" s="494">
        <v>6661</v>
      </c>
      <c r="BT158" s="494">
        <v>6550</v>
      </c>
      <c r="BU158" s="494">
        <v>6440</v>
      </c>
      <c r="BV158" s="494">
        <v>6192</v>
      </c>
      <c r="BW158" s="494">
        <v>5977</v>
      </c>
      <c r="BX158" s="494">
        <v>5691</v>
      </c>
      <c r="BY158" s="494">
        <v>5371</v>
      </c>
      <c r="BZ158" s="494">
        <v>5135</v>
      </c>
      <c r="CA158" s="494">
        <v>4863</v>
      </c>
      <c r="CB158" s="494">
        <v>4730</v>
      </c>
      <c r="CC158" s="494">
        <v>4797</v>
      </c>
      <c r="CD158" s="494">
        <v>4544</v>
      </c>
      <c r="CE158" s="494">
        <v>4485</v>
      </c>
      <c r="CF158" s="494">
        <v>4422</v>
      </c>
      <c r="CG158" s="494">
        <v>4421</v>
      </c>
      <c r="CH158" s="494">
        <v>4529</v>
      </c>
      <c r="CI158" s="494">
        <v>4861</v>
      </c>
      <c r="CJ158" s="494">
        <v>5197</v>
      </c>
      <c r="CK158" s="494">
        <v>3865</v>
      </c>
      <c r="CL158" s="494">
        <v>3773</v>
      </c>
      <c r="CM158" s="494">
        <v>3497</v>
      </c>
      <c r="CN158" s="494">
        <v>3141</v>
      </c>
      <c r="CO158" s="494">
        <v>2804</v>
      </c>
      <c r="CP158" s="494">
        <v>2380</v>
      </c>
      <c r="CQ158" s="494">
        <v>2335</v>
      </c>
      <c r="CR158" s="494">
        <v>2209</v>
      </c>
      <c r="CS158" s="494">
        <v>2008</v>
      </c>
      <c r="CT158" s="494">
        <v>1804</v>
      </c>
      <c r="CU158" s="494">
        <v>1625</v>
      </c>
      <c r="CV158" s="494">
        <v>1368</v>
      </c>
      <c r="CW158" s="494">
        <v>1144</v>
      </c>
      <c r="CX158" s="494">
        <v>1023</v>
      </c>
      <c r="CY158" s="60">
        <v>3359</v>
      </c>
      <c r="CZ158" s="104">
        <v>4395</v>
      </c>
      <c r="DA158" s="494">
        <v>4569</v>
      </c>
      <c r="DB158" s="494">
        <v>4724</v>
      </c>
      <c r="DC158" s="494">
        <v>4830</v>
      </c>
      <c r="DD158" s="494">
        <v>5033</v>
      </c>
      <c r="DE158" s="494">
        <v>5193</v>
      </c>
      <c r="DF158" s="494">
        <v>5362</v>
      </c>
      <c r="DG158" s="494">
        <v>5295</v>
      </c>
      <c r="DH158" s="494">
        <v>5344</v>
      </c>
      <c r="DI158" s="494">
        <v>5565</v>
      </c>
      <c r="DJ158" s="494">
        <v>5551</v>
      </c>
      <c r="DK158" s="494">
        <v>5719</v>
      </c>
      <c r="DL158" s="494">
        <v>5546</v>
      </c>
      <c r="DM158" s="494">
        <v>5549</v>
      </c>
      <c r="DN158" s="494">
        <v>5624</v>
      </c>
      <c r="DO158" s="494">
        <v>5574</v>
      </c>
      <c r="DP158" s="494">
        <v>5184</v>
      </c>
      <c r="DQ158" s="494">
        <v>5221</v>
      </c>
      <c r="DR158" s="494">
        <v>5415</v>
      </c>
      <c r="DS158" s="494">
        <v>5600</v>
      </c>
      <c r="DT158" s="494">
        <v>5189</v>
      </c>
      <c r="DU158" s="494">
        <v>4912</v>
      </c>
      <c r="DV158" s="494">
        <v>5426</v>
      </c>
      <c r="DW158" s="494">
        <v>5137</v>
      </c>
      <c r="DX158" s="494">
        <v>5128</v>
      </c>
      <c r="DY158" s="494">
        <v>5294</v>
      </c>
      <c r="DZ158" s="494">
        <v>5013</v>
      </c>
      <c r="EA158" s="494">
        <v>5302</v>
      </c>
      <c r="EB158" s="494">
        <v>5698</v>
      </c>
      <c r="EC158" s="494">
        <v>5815</v>
      </c>
      <c r="ED158" s="494">
        <v>5939</v>
      </c>
      <c r="EE158" s="494">
        <v>6272</v>
      </c>
      <c r="EF158" s="494">
        <v>6263</v>
      </c>
      <c r="EG158" s="494">
        <v>6313</v>
      </c>
      <c r="EH158" s="494">
        <v>6318</v>
      </c>
      <c r="EI158" s="494">
        <v>6535</v>
      </c>
      <c r="EJ158" s="494">
        <v>6131</v>
      </c>
      <c r="EK158" s="494">
        <v>6244</v>
      </c>
      <c r="EL158" s="494">
        <v>6165</v>
      </c>
      <c r="EM158" s="494">
        <v>5942</v>
      </c>
      <c r="EN158" s="494">
        <v>6211</v>
      </c>
      <c r="EO158" s="494">
        <v>6218</v>
      </c>
      <c r="EP158" s="494">
        <v>6104</v>
      </c>
      <c r="EQ158" s="494">
        <v>5799</v>
      </c>
      <c r="ER158" s="494">
        <v>5574</v>
      </c>
      <c r="ES158" s="494">
        <v>5586</v>
      </c>
      <c r="ET158" s="494">
        <v>5770</v>
      </c>
      <c r="EU158" s="494">
        <v>5831</v>
      </c>
      <c r="EV158" s="494">
        <v>6251</v>
      </c>
      <c r="EW158" s="494">
        <v>6563</v>
      </c>
      <c r="EX158" s="494">
        <v>6923</v>
      </c>
      <c r="EY158" s="494">
        <v>6736</v>
      </c>
      <c r="EZ158" s="494">
        <v>6661</v>
      </c>
      <c r="FA158" s="494">
        <v>6860</v>
      </c>
      <c r="FB158" s="494">
        <v>6795</v>
      </c>
      <c r="FC158" s="494">
        <v>7093</v>
      </c>
      <c r="FD158" s="494">
        <v>7056</v>
      </c>
      <c r="FE158" s="494">
        <v>6890</v>
      </c>
      <c r="FF158" s="494">
        <v>6926</v>
      </c>
      <c r="FG158" s="494">
        <v>6551</v>
      </c>
      <c r="FH158" s="494">
        <v>6513</v>
      </c>
      <c r="FI158" s="494">
        <v>6413</v>
      </c>
      <c r="FJ158" s="494">
        <v>5897</v>
      </c>
      <c r="FK158" s="494">
        <v>5838</v>
      </c>
      <c r="FL158" s="494">
        <v>5643</v>
      </c>
      <c r="FM158" s="494">
        <v>5384</v>
      </c>
      <c r="FN158" s="494">
        <v>5189</v>
      </c>
      <c r="FO158" s="494">
        <v>5034</v>
      </c>
      <c r="FP158" s="494">
        <v>5088</v>
      </c>
      <c r="FQ158" s="494">
        <v>5112</v>
      </c>
      <c r="FR158" s="494">
        <v>4845</v>
      </c>
      <c r="FS158" s="494">
        <v>4831</v>
      </c>
      <c r="FT158" s="494">
        <v>4917</v>
      </c>
      <c r="FU158" s="494">
        <v>5074</v>
      </c>
      <c r="FV158" s="494">
        <v>5409</v>
      </c>
      <c r="FW158" s="494">
        <v>5546</v>
      </c>
      <c r="FX158" s="494">
        <v>4375</v>
      </c>
      <c r="FY158" s="494">
        <v>4296</v>
      </c>
      <c r="FZ158" s="494">
        <v>4189</v>
      </c>
      <c r="GA158" s="494">
        <v>3718</v>
      </c>
      <c r="GB158" s="494">
        <v>3306</v>
      </c>
      <c r="GC158" s="494">
        <v>2846</v>
      </c>
      <c r="GD158" s="494">
        <v>2931</v>
      </c>
      <c r="GE158" s="494">
        <v>2828</v>
      </c>
      <c r="GF158" s="494">
        <v>2632</v>
      </c>
      <c r="GG158" s="494">
        <v>2327</v>
      </c>
      <c r="GH158" s="494">
        <v>2137</v>
      </c>
      <c r="GI158" s="494">
        <v>1982</v>
      </c>
      <c r="GJ158" s="494">
        <v>1693</v>
      </c>
      <c r="GK158" s="494">
        <v>1476</v>
      </c>
      <c r="GL158" s="60">
        <v>6674</v>
      </c>
    </row>
    <row r="159" spans="1:194" s="1" customFormat="1" x14ac:dyDescent="0.2">
      <c r="A159" s="108" t="s">
        <v>51</v>
      </c>
      <c r="B159" s="540" t="s">
        <v>226</v>
      </c>
      <c r="C159" s="135" t="str">
        <f t="shared" si="46"/>
        <v>England ICB - NHS Bedfordshire, Luton and Milton Keynes Integrated Care Board</v>
      </c>
      <c r="D159" s="79">
        <f t="shared" si="48"/>
        <v>380018</v>
      </c>
      <c r="E159" s="79">
        <f t="shared" si="48"/>
        <v>434025</v>
      </c>
      <c r="F159" s="101">
        <f t="shared" si="49"/>
        <v>1015380</v>
      </c>
      <c r="G159" s="51">
        <f t="shared" si="50"/>
        <v>503181</v>
      </c>
      <c r="H159" s="52">
        <f t="shared" si="51"/>
        <v>512199</v>
      </c>
      <c r="I159" s="51">
        <f t="shared" ref="I159:I163" si="55">SUM(AE159:CY159)</f>
        <v>380018</v>
      </c>
      <c r="J159" s="103">
        <f t="shared" si="52"/>
        <v>434025</v>
      </c>
      <c r="K159" s="105">
        <f t="shared" si="53"/>
        <v>123163</v>
      </c>
      <c r="L159" s="50">
        <f t="shared" si="54"/>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
      <c r="A160" s="108" t="s">
        <v>51</v>
      </c>
      <c r="B160" s="540" t="s">
        <v>227</v>
      </c>
      <c r="C160" s="135" t="str">
        <f t="shared" si="46"/>
        <v>England ICB - NHS Birmingham and Solihull Integrated Care Board</v>
      </c>
      <c r="D160" s="79">
        <f t="shared" si="48"/>
        <v>503372</v>
      </c>
      <c r="E160" s="79">
        <f t="shared" si="48"/>
        <v>592282</v>
      </c>
      <c r="F160" s="101">
        <f t="shared" si="49"/>
        <v>1375281</v>
      </c>
      <c r="G160" s="51">
        <f t="shared" si="50"/>
        <v>674927</v>
      </c>
      <c r="H160" s="52">
        <f t="shared" si="51"/>
        <v>700354</v>
      </c>
      <c r="I160" s="51">
        <f t="shared" si="55"/>
        <v>503372</v>
      </c>
      <c r="J160" s="103">
        <f t="shared" si="52"/>
        <v>592282</v>
      </c>
      <c r="K160" s="105">
        <f t="shared" si="53"/>
        <v>171555</v>
      </c>
      <c r="L160" s="50">
        <f t="shared" si="54"/>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
      <c r="A161" s="108" t="s">
        <v>51</v>
      </c>
      <c r="B161" s="540" t="s">
        <v>228</v>
      </c>
      <c r="C161" s="135" t="str">
        <f t="shared" si="46"/>
        <v>England ICB - NHS Black Country Integrated Care Board</v>
      </c>
      <c r="D161" s="79">
        <f t="shared" si="48"/>
        <v>453894</v>
      </c>
      <c r="E161" s="79">
        <f t="shared" si="48"/>
        <v>528144</v>
      </c>
      <c r="F161" s="101">
        <f t="shared" si="49"/>
        <v>1222935</v>
      </c>
      <c r="G161" s="51">
        <f t="shared" si="50"/>
        <v>601713</v>
      </c>
      <c r="H161" s="52">
        <f t="shared" si="51"/>
        <v>621222</v>
      </c>
      <c r="I161" s="51">
        <f t="shared" si="55"/>
        <v>453894</v>
      </c>
      <c r="J161" s="103">
        <f t="shared" si="52"/>
        <v>528144</v>
      </c>
      <c r="K161" s="105">
        <f t="shared" si="53"/>
        <v>147819</v>
      </c>
      <c r="L161" s="50">
        <f t="shared" si="54"/>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
      <c r="A162" s="108" t="s">
        <v>51</v>
      </c>
      <c r="B162" s="540" t="s">
        <v>229</v>
      </c>
      <c r="C162" s="135" t="str">
        <f t="shared" si="46"/>
        <v>England ICB - NHS Bristol, North Somerset and South Gloucestershire Integrated Care Board</v>
      </c>
      <c r="D162" s="79">
        <f t="shared" si="48"/>
        <v>390782</v>
      </c>
      <c r="E162" s="79">
        <f t="shared" si="48"/>
        <v>438642</v>
      </c>
      <c r="F162" s="101">
        <f t="shared" si="49"/>
        <v>992934</v>
      </c>
      <c r="G162" s="51">
        <f t="shared" si="50"/>
        <v>490777</v>
      </c>
      <c r="H162" s="52">
        <f t="shared" si="51"/>
        <v>502157</v>
      </c>
      <c r="I162" s="51">
        <f t="shared" si="55"/>
        <v>390782</v>
      </c>
      <c r="J162" s="103">
        <f t="shared" si="52"/>
        <v>438642</v>
      </c>
      <c r="K162" s="105">
        <f t="shared" si="53"/>
        <v>99995</v>
      </c>
      <c r="L162" s="50">
        <f t="shared" si="54"/>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
      <c r="A163" s="108" t="s">
        <v>51</v>
      </c>
      <c r="B163" s="540" t="s">
        <v>230</v>
      </c>
      <c r="C163" s="135" t="str">
        <f t="shared" si="46"/>
        <v>England ICB - NHS Buckinghamshire, Oxfordshire and Berkshire West Integrated Care Board</v>
      </c>
      <c r="D163" s="79">
        <f t="shared" si="48"/>
        <v>690249</v>
      </c>
      <c r="E163" s="79">
        <f t="shared" si="48"/>
        <v>791846</v>
      </c>
      <c r="F163" s="101">
        <f t="shared" si="49"/>
        <v>1802735</v>
      </c>
      <c r="G163" s="51">
        <f t="shared" si="50"/>
        <v>888395</v>
      </c>
      <c r="H163" s="52">
        <f t="shared" si="51"/>
        <v>914340</v>
      </c>
      <c r="I163" s="51">
        <f t="shared" si="55"/>
        <v>690249</v>
      </c>
      <c r="J163" s="103">
        <f t="shared" si="52"/>
        <v>791846</v>
      </c>
      <c r="K163" s="105">
        <f t="shared" si="53"/>
        <v>198146</v>
      </c>
      <c r="L163" s="50">
        <f t="shared" si="54"/>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
      <c r="A164" s="108" t="s">
        <v>51</v>
      </c>
      <c r="B164" s="540" t="s">
        <v>231</v>
      </c>
      <c r="C164" s="135" t="str">
        <f t="shared" si="46"/>
        <v>England ICB - NHS Cambridgeshire and Peterborough Integrated Care Board</v>
      </c>
      <c r="D164" s="79">
        <f t="shared" ref="D164:D188" si="56">I164</f>
        <v>357567</v>
      </c>
      <c r="E164" s="79">
        <f t="shared" ref="E164:E188" si="57">J164</f>
        <v>406010</v>
      </c>
      <c r="F164" s="101">
        <f t="shared" ref="F164:F188" si="58">G164+H164</f>
        <v>927342</v>
      </c>
      <c r="G164" s="51">
        <f t="shared" ref="G164:G188" si="59">SUM(M164:CY164)</f>
        <v>457923</v>
      </c>
      <c r="H164" s="52">
        <f t="shared" ref="H164:H188" si="60">SUM(CZ164:GL164)</f>
        <v>469419</v>
      </c>
      <c r="I164" s="51">
        <f t="shared" ref="I164:I188" si="61">SUM(AE164:CY164)</f>
        <v>357567</v>
      </c>
      <c r="J164" s="103">
        <f t="shared" si="52"/>
        <v>406010</v>
      </c>
      <c r="K164" s="105">
        <f t="shared" ref="K164:K188" si="62">SUM(M164:AD164)</f>
        <v>100356</v>
      </c>
      <c r="L164" s="50">
        <f t="shared" ref="L164:L188" si="63">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
      <c r="A165" s="108" t="s">
        <v>51</v>
      </c>
      <c r="B165" s="540" t="s">
        <v>232</v>
      </c>
      <c r="C165" s="135" t="str">
        <f t="shared" si="46"/>
        <v>England ICB - NHS Cheshire and Merseyside Integrated Care Board</v>
      </c>
      <c r="D165" s="79">
        <f t="shared" si="56"/>
        <v>984852</v>
      </c>
      <c r="E165" s="79">
        <f t="shared" si="57"/>
        <v>1142706</v>
      </c>
      <c r="F165" s="101">
        <f t="shared" si="58"/>
        <v>2550846</v>
      </c>
      <c r="G165" s="51">
        <f t="shared" si="59"/>
        <v>1245283</v>
      </c>
      <c r="H165" s="52">
        <f t="shared" si="60"/>
        <v>1305563</v>
      </c>
      <c r="I165" s="51">
        <f t="shared" si="61"/>
        <v>984852</v>
      </c>
      <c r="J165" s="103">
        <f t="shared" si="52"/>
        <v>1142706</v>
      </c>
      <c r="K165" s="105">
        <f t="shared" si="62"/>
        <v>260431</v>
      </c>
      <c r="L165" s="50">
        <f t="shared" si="63"/>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
      <c r="A166" s="108" t="s">
        <v>51</v>
      </c>
      <c r="B166" s="540" t="s">
        <v>233</v>
      </c>
      <c r="C166" s="135" t="str">
        <f t="shared" si="46"/>
        <v>England ICB - NHS Cornwall and the Isles of Scilly Integrated Care Board</v>
      </c>
      <c r="D166" s="79">
        <f t="shared" si="56"/>
        <v>226093</v>
      </c>
      <c r="E166" s="79">
        <f t="shared" si="57"/>
        <v>263949</v>
      </c>
      <c r="F166" s="101">
        <f t="shared" si="58"/>
        <v>577694</v>
      </c>
      <c r="G166" s="51">
        <f t="shared" si="59"/>
        <v>280361</v>
      </c>
      <c r="H166" s="52">
        <f t="shared" si="60"/>
        <v>297333</v>
      </c>
      <c r="I166" s="51">
        <f t="shared" si="61"/>
        <v>226093</v>
      </c>
      <c r="J166" s="103">
        <f t="shared" si="52"/>
        <v>263949</v>
      </c>
      <c r="K166" s="105">
        <f t="shared" si="62"/>
        <v>54268</v>
      </c>
      <c r="L166" s="50">
        <f t="shared" si="63"/>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
      <c r="A167" s="108" t="s">
        <v>51</v>
      </c>
      <c r="B167" s="540" t="s">
        <v>234</v>
      </c>
      <c r="C167" s="135" t="str">
        <f t="shared" si="46"/>
        <v>England ICB - NHS Coventry and Warwickshire Integrated Care Board</v>
      </c>
      <c r="D167" s="79">
        <f t="shared" si="56"/>
        <v>374777</v>
      </c>
      <c r="E167" s="79">
        <f t="shared" si="57"/>
        <v>420049</v>
      </c>
      <c r="F167" s="101">
        <f t="shared" si="58"/>
        <v>963204</v>
      </c>
      <c r="G167" s="51">
        <f t="shared" si="59"/>
        <v>477693</v>
      </c>
      <c r="H167" s="52">
        <f t="shared" si="60"/>
        <v>485511</v>
      </c>
      <c r="I167" s="51">
        <f t="shared" si="61"/>
        <v>374777</v>
      </c>
      <c r="J167" s="103">
        <f t="shared" si="52"/>
        <v>420049</v>
      </c>
      <c r="K167" s="105">
        <f t="shared" si="62"/>
        <v>102916</v>
      </c>
      <c r="L167" s="50">
        <f t="shared" si="63"/>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
      <c r="A168" s="108" t="s">
        <v>51</v>
      </c>
      <c r="B168" s="540" t="s">
        <v>235</v>
      </c>
      <c r="C168" s="135" t="str">
        <f t="shared" si="46"/>
        <v>England ICB - NHS Derby and Derbyshire Integrated Care Board</v>
      </c>
      <c r="D168" s="79">
        <f t="shared" si="56"/>
        <v>416604</v>
      </c>
      <c r="E168" s="79">
        <f t="shared" si="57"/>
        <v>473723</v>
      </c>
      <c r="F168" s="101">
        <f t="shared" si="58"/>
        <v>1066954</v>
      </c>
      <c r="G168" s="51">
        <f t="shared" si="59"/>
        <v>524926</v>
      </c>
      <c r="H168" s="52">
        <f t="shared" si="60"/>
        <v>542028</v>
      </c>
      <c r="I168" s="51">
        <f t="shared" si="61"/>
        <v>416604</v>
      </c>
      <c r="J168" s="103">
        <f t="shared" si="52"/>
        <v>473723</v>
      </c>
      <c r="K168" s="105">
        <f t="shared" si="62"/>
        <v>108322</v>
      </c>
      <c r="L168" s="50">
        <f t="shared" si="63"/>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
      <c r="A169" s="108" t="s">
        <v>51</v>
      </c>
      <c r="B169" s="540" t="s">
        <v>236</v>
      </c>
      <c r="C169" s="135" t="str">
        <f t="shared" si="46"/>
        <v>England ICB - NHS Devon Integrated Care Board</v>
      </c>
      <c r="D169" s="79">
        <f t="shared" si="56"/>
        <v>486049</v>
      </c>
      <c r="E169" s="79">
        <f t="shared" si="57"/>
        <v>561435</v>
      </c>
      <c r="F169" s="101">
        <f t="shared" si="58"/>
        <v>1232660</v>
      </c>
      <c r="G169" s="51">
        <f t="shared" si="59"/>
        <v>600962</v>
      </c>
      <c r="H169" s="52">
        <f t="shared" si="60"/>
        <v>631698</v>
      </c>
      <c r="I169" s="51">
        <f t="shared" si="61"/>
        <v>486049</v>
      </c>
      <c r="J169" s="103">
        <f t="shared" si="52"/>
        <v>561435</v>
      </c>
      <c r="K169" s="105">
        <f t="shared" si="62"/>
        <v>114913</v>
      </c>
      <c r="L169" s="50">
        <f t="shared" si="63"/>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
      <c r="A170" s="108" t="s">
        <v>51</v>
      </c>
      <c r="B170" s="540" t="s">
        <v>237</v>
      </c>
      <c r="C170" s="135" t="str">
        <f t="shared" si="46"/>
        <v>England ICB - NHS Dorset Integrated Care Board</v>
      </c>
      <c r="D170" s="79">
        <f t="shared" si="56"/>
        <v>310533</v>
      </c>
      <c r="E170" s="79">
        <f t="shared" si="57"/>
        <v>359304</v>
      </c>
      <c r="F170" s="101">
        <f t="shared" si="58"/>
        <v>785172</v>
      </c>
      <c r="G170" s="51">
        <f t="shared" si="59"/>
        <v>382244</v>
      </c>
      <c r="H170" s="52">
        <f t="shared" si="60"/>
        <v>402928</v>
      </c>
      <c r="I170" s="51">
        <f t="shared" si="61"/>
        <v>310533</v>
      </c>
      <c r="J170" s="103">
        <f t="shared" si="52"/>
        <v>359304</v>
      </c>
      <c r="K170" s="105">
        <f t="shared" si="62"/>
        <v>71711</v>
      </c>
      <c r="L170" s="50">
        <f t="shared" si="63"/>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
      <c r="A171" s="108" t="s">
        <v>51</v>
      </c>
      <c r="B171" s="540" t="s">
        <v>238</v>
      </c>
      <c r="C171" s="135" t="str">
        <f t="shared" si="46"/>
        <v>England ICB - NHS Frimley Integrated Care Board</v>
      </c>
      <c r="D171" s="79">
        <f t="shared" si="56"/>
        <v>291456</v>
      </c>
      <c r="E171" s="79">
        <f t="shared" si="57"/>
        <v>335273</v>
      </c>
      <c r="F171" s="101">
        <f t="shared" si="58"/>
        <v>773481</v>
      </c>
      <c r="G171" s="51">
        <f t="shared" si="59"/>
        <v>382291</v>
      </c>
      <c r="H171" s="52">
        <f t="shared" si="60"/>
        <v>391190</v>
      </c>
      <c r="I171" s="51">
        <f t="shared" si="61"/>
        <v>291456</v>
      </c>
      <c r="J171" s="103">
        <f t="shared" si="52"/>
        <v>335273</v>
      </c>
      <c r="K171" s="105">
        <f t="shared" si="62"/>
        <v>90835</v>
      </c>
      <c r="L171" s="50">
        <f t="shared" si="63"/>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
      <c r="A172" s="108" t="s">
        <v>51</v>
      </c>
      <c r="B172" s="540" t="s">
        <v>239</v>
      </c>
      <c r="C172" s="135" t="str">
        <f t="shared" si="46"/>
        <v>England ICB - NHS Gloucestershire Integrated Care Board</v>
      </c>
      <c r="D172" s="79">
        <f t="shared" si="56"/>
        <v>253430</v>
      </c>
      <c r="E172" s="79">
        <f t="shared" si="57"/>
        <v>292588</v>
      </c>
      <c r="F172" s="101">
        <f t="shared" si="58"/>
        <v>652409</v>
      </c>
      <c r="G172" s="51">
        <f t="shared" si="59"/>
        <v>318898</v>
      </c>
      <c r="H172" s="52">
        <f t="shared" si="60"/>
        <v>333511</v>
      </c>
      <c r="I172" s="51">
        <f t="shared" si="61"/>
        <v>253430</v>
      </c>
      <c r="J172" s="103">
        <f t="shared" si="52"/>
        <v>292588</v>
      </c>
      <c r="K172" s="105">
        <f t="shared" si="62"/>
        <v>65468</v>
      </c>
      <c r="L172" s="50">
        <f t="shared" si="63"/>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
      <c r="A173" s="108" t="s">
        <v>51</v>
      </c>
      <c r="B173" s="540" t="s">
        <v>240</v>
      </c>
      <c r="C173" s="135" t="str">
        <f t="shared" si="46"/>
        <v>England ICB - NHS Greater Manchester Integrated Care Board</v>
      </c>
      <c r="D173" s="79">
        <f t="shared" si="56"/>
        <v>1096990</v>
      </c>
      <c r="E173" s="79">
        <f t="shared" si="57"/>
        <v>1260429</v>
      </c>
      <c r="F173" s="101">
        <f t="shared" si="58"/>
        <v>2911744</v>
      </c>
      <c r="G173" s="51">
        <f t="shared" si="59"/>
        <v>1436730</v>
      </c>
      <c r="H173" s="52">
        <f t="shared" si="60"/>
        <v>1475014</v>
      </c>
      <c r="I173" s="51">
        <f t="shared" si="61"/>
        <v>1096990</v>
      </c>
      <c r="J173" s="103">
        <f t="shared" si="52"/>
        <v>1260429</v>
      </c>
      <c r="K173" s="105">
        <f t="shared" si="62"/>
        <v>339740</v>
      </c>
      <c r="L173" s="50">
        <f t="shared" si="63"/>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
      <c r="A174" s="108" t="s">
        <v>51</v>
      </c>
      <c r="B174" s="540" t="s">
        <v>241</v>
      </c>
      <c r="C174" s="135" t="str">
        <f t="shared" si="46"/>
        <v>England ICB - NHS Hampshire and Isle of Wight Integrated Care Board</v>
      </c>
      <c r="D174" s="79">
        <f t="shared" si="56"/>
        <v>718104</v>
      </c>
      <c r="E174" s="79">
        <f t="shared" si="57"/>
        <v>822695</v>
      </c>
      <c r="F174" s="101">
        <f t="shared" si="58"/>
        <v>1842052</v>
      </c>
      <c r="G174" s="51">
        <f t="shared" si="59"/>
        <v>903321</v>
      </c>
      <c r="H174" s="52">
        <f t="shared" si="60"/>
        <v>938731</v>
      </c>
      <c r="I174" s="51">
        <f t="shared" si="61"/>
        <v>718104</v>
      </c>
      <c r="J174" s="103">
        <f t="shared" si="52"/>
        <v>822695</v>
      </c>
      <c r="K174" s="105">
        <f t="shared" si="62"/>
        <v>185217</v>
      </c>
      <c r="L174" s="50">
        <f t="shared" si="63"/>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
      <c r="A175" s="108" t="s">
        <v>51</v>
      </c>
      <c r="B175" s="540" t="s">
        <v>242</v>
      </c>
      <c r="C175" s="135" t="str">
        <f t="shared" si="46"/>
        <v>England ICB - NHS Herefordshire and Worcestershire Integrated Care Board</v>
      </c>
      <c r="D175" s="79">
        <f t="shared" si="56"/>
        <v>311771</v>
      </c>
      <c r="E175" s="79">
        <f t="shared" si="57"/>
        <v>359217</v>
      </c>
      <c r="F175" s="101">
        <f t="shared" si="58"/>
        <v>797935</v>
      </c>
      <c r="G175" s="51">
        <f t="shared" si="59"/>
        <v>390507</v>
      </c>
      <c r="H175" s="52">
        <f t="shared" si="60"/>
        <v>407428</v>
      </c>
      <c r="I175" s="51">
        <f t="shared" si="61"/>
        <v>311771</v>
      </c>
      <c r="J175" s="103">
        <f t="shared" si="52"/>
        <v>359217</v>
      </c>
      <c r="K175" s="105">
        <f t="shared" si="62"/>
        <v>78736</v>
      </c>
      <c r="L175" s="50">
        <f t="shared" si="63"/>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
      <c r="A176" s="108" t="s">
        <v>51</v>
      </c>
      <c r="B176" s="540" t="s">
        <v>243</v>
      </c>
      <c r="C176" s="135" t="str">
        <f t="shared" si="46"/>
        <v>England ICB - NHS Hertfordshire and West Essex Integrated Care Board</v>
      </c>
      <c r="D176" s="79">
        <f t="shared" si="56"/>
        <v>561880</v>
      </c>
      <c r="E176" s="79">
        <f t="shared" si="57"/>
        <v>662489</v>
      </c>
      <c r="F176" s="101">
        <f t="shared" si="58"/>
        <v>1506036</v>
      </c>
      <c r="G176" s="51">
        <f t="shared" si="59"/>
        <v>734819</v>
      </c>
      <c r="H176" s="52">
        <f t="shared" si="60"/>
        <v>771217</v>
      </c>
      <c r="I176" s="51">
        <f t="shared" si="61"/>
        <v>561880</v>
      </c>
      <c r="J176" s="103">
        <f t="shared" si="52"/>
        <v>662489</v>
      </c>
      <c r="K176" s="105">
        <f t="shared" si="62"/>
        <v>172939</v>
      </c>
      <c r="L176" s="50">
        <f t="shared" si="63"/>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
      <c r="A177" s="108" t="s">
        <v>51</v>
      </c>
      <c r="B177" s="540" t="s">
        <v>244</v>
      </c>
      <c r="C177" s="135" t="str">
        <f t="shared" si="46"/>
        <v>England ICB - NHS Humber and North Yorkshire Integrated Care Board</v>
      </c>
      <c r="D177" s="79">
        <f t="shared" si="56"/>
        <v>672459</v>
      </c>
      <c r="E177" s="79">
        <f t="shared" si="57"/>
        <v>768761</v>
      </c>
      <c r="F177" s="101">
        <f t="shared" si="58"/>
        <v>1713205</v>
      </c>
      <c r="G177" s="51">
        <f t="shared" si="59"/>
        <v>841169</v>
      </c>
      <c r="H177" s="52">
        <f t="shared" si="60"/>
        <v>872036</v>
      </c>
      <c r="I177" s="51">
        <f t="shared" si="61"/>
        <v>672459</v>
      </c>
      <c r="J177" s="103">
        <f t="shared" si="52"/>
        <v>768761</v>
      </c>
      <c r="K177" s="105">
        <f t="shared" si="62"/>
        <v>168710</v>
      </c>
      <c r="L177" s="50">
        <f t="shared" si="63"/>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
      <c r="A178" s="108" t="s">
        <v>51</v>
      </c>
      <c r="B178" s="540" t="s">
        <v>245</v>
      </c>
      <c r="C178" s="135" t="str">
        <f t="shared" si="46"/>
        <v>England ICB - NHS Kent and Medway Integrated Care Board</v>
      </c>
      <c r="D178" s="79">
        <f t="shared" si="56"/>
        <v>705391</v>
      </c>
      <c r="E178" s="79">
        <f t="shared" si="57"/>
        <v>830618</v>
      </c>
      <c r="F178" s="101">
        <f t="shared" si="58"/>
        <v>1875893</v>
      </c>
      <c r="G178" s="51">
        <f t="shared" si="59"/>
        <v>914637</v>
      </c>
      <c r="H178" s="52">
        <f t="shared" si="60"/>
        <v>961256</v>
      </c>
      <c r="I178" s="51">
        <f t="shared" si="61"/>
        <v>705391</v>
      </c>
      <c r="J178" s="103">
        <f t="shared" si="52"/>
        <v>830618</v>
      </c>
      <c r="K178" s="105">
        <f t="shared" si="62"/>
        <v>209246</v>
      </c>
      <c r="L178" s="50">
        <f t="shared" si="63"/>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
      <c r="A179" s="108" t="s">
        <v>51</v>
      </c>
      <c r="B179" s="540" t="s">
        <v>246</v>
      </c>
      <c r="C179" s="135" t="str">
        <f t="shared" si="46"/>
        <v>England ICB - NHS Lancashire and South Cumbria Integrated Care Board</v>
      </c>
      <c r="D179" s="79">
        <f t="shared" si="56"/>
        <v>674572</v>
      </c>
      <c r="E179" s="79">
        <f t="shared" si="57"/>
        <v>769289</v>
      </c>
      <c r="F179" s="101">
        <f t="shared" si="58"/>
        <v>1737241</v>
      </c>
      <c r="G179" s="51">
        <f t="shared" si="59"/>
        <v>855662</v>
      </c>
      <c r="H179" s="52">
        <f t="shared" si="60"/>
        <v>881579</v>
      </c>
      <c r="I179" s="51">
        <f t="shared" si="61"/>
        <v>674572</v>
      </c>
      <c r="J179" s="103">
        <f t="shared" si="52"/>
        <v>769289</v>
      </c>
      <c r="K179" s="105">
        <f t="shared" si="62"/>
        <v>181090</v>
      </c>
      <c r="L179" s="50">
        <f t="shared" si="63"/>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
      <c r="A180" s="108" t="s">
        <v>51</v>
      </c>
      <c r="B180" s="540" t="s">
        <v>247</v>
      </c>
      <c r="C180" s="135" t="str">
        <f t="shared" si="46"/>
        <v>England ICB - NHS Leicester, Leicestershire and Rutland Integrated Care Board</v>
      </c>
      <c r="D180" s="79">
        <f t="shared" si="56"/>
        <v>440810</v>
      </c>
      <c r="E180" s="79">
        <f t="shared" si="57"/>
        <v>497122</v>
      </c>
      <c r="F180" s="101">
        <f t="shared" si="58"/>
        <v>1136705</v>
      </c>
      <c r="G180" s="51">
        <f t="shared" si="59"/>
        <v>563981</v>
      </c>
      <c r="H180" s="52">
        <f t="shared" si="60"/>
        <v>572724</v>
      </c>
      <c r="I180" s="51">
        <f t="shared" si="61"/>
        <v>440810</v>
      </c>
      <c r="J180" s="103">
        <f t="shared" si="52"/>
        <v>497122</v>
      </c>
      <c r="K180" s="105">
        <f t="shared" si="62"/>
        <v>123171</v>
      </c>
      <c r="L180" s="50">
        <f t="shared" si="63"/>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
      <c r="A181" s="108" t="s">
        <v>51</v>
      </c>
      <c r="B181" s="540" t="s">
        <v>248</v>
      </c>
      <c r="C181" s="135" t="str">
        <f t="shared" si="46"/>
        <v>England ICB - NHS Lincolnshire Integrated Care Board</v>
      </c>
      <c r="D181" s="79">
        <f t="shared" si="56"/>
        <v>305377</v>
      </c>
      <c r="E181" s="79">
        <f t="shared" si="57"/>
        <v>349319</v>
      </c>
      <c r="F181" s="101">
        <f t="shared" si="58"/>
        <v>775524</v>
      </c>
      <c r="G181" s="51">
        <f t="shared" si="59"/>
        <v>380037</v>
      </c>
      <c r="H181" s="52">
        <f t="shared" si="60"/>
        <v>395487</v>
      </c>
      <c r="I181" s="51">
        <f t="shared" si="61"/>
        <v>305377</v>
      </c>
      <c r="J181" s="103">
        <f t="shared" si="52"/>
        <v>349319</v>
      </c>
      <c r="K181" s="105">
        <f t="shared" si="62"/>
        <v>74660</v>
      </c>
      <c r="L181" s="50">
        <f t="shared" si="63"/>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
      <c r="A182" s="108" t="s">
        <v>51</v>
      </c>
      <c r="B182" s="540" t="s">
        <v>249</v>
      </c>
      <c r="C182" s="135" t="str">
        <f t="shared" si="46"/>
        <v>England ICB - NHS Mid and South Essex Integrated Care Board</v>
      </c>
      <c r="D182" s="79">
        <f t="shared" si="56"/>
        <v>455569</v>
      </c>
      <c r="E182" s="79">
        <f t="shared" si="57"/>
        <v>534852</v>
      </c>
      <c r="F182" s="101">
        <f t="shared" si="58"/>
        <v>1209480</v>
      </c>
      <c r="G182" s="51">
        <f t="shared" si="59"/>
        <v>589912</v>
      </c>
      <c r="H182" s="52">
        <f t="shared" si="60"/>
        <v>619568</v>
      </c>
      <c r="I182" s="51">
        <f t="shared" si="61"/>
        <v>455569</v>
      </c>
      <c r="J182" s="103">
        <f t="shared" si="52"/>
        <v>534852</v>
      </c>
      <c r="K182" s="105">
        <f t="shared" si="62"/>
        <v>134343</v>
      </c>
      <c r="L182" s="50">
        <f t="shared" si="63"/>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
      <c r="A183" s="108" t="s">
        <v>51</v>
      </c>
      <c r="B183" s="540" t="s">
        <v>250</v>
      </c>
      <c r="C183" s="135" t="str">
        <f t="shared" si="46"/>
        <v>England ICB - NHS Norfolk and Waveney Integrated Care Board</v>
      </c>
      <c r="D183" s="79">
        <f t="shared" si="56"/>
        <v>413052</v>
      </c>
      <c r="E183" s="79">
        <f t="shared" si="57"/>
        <v>470774</v>
      </c>
      <c r="F183" s="101">
        <f t="shared" si="58"/>
        <v>1041932</v>
      </c>
      <c r="G183" s="51">
        <f t="shared" si="59"/>
        <v>510572</v>
      </c>
      <c r="H183" s="52">
        <f t="shared" si="60"/>
        <v>531360</v>
      </c>
      <c r="I183" s="51">
        <f t="shared" si="61"/>
        <v>413052</v>
      </c>
      <c r="J183" s="103">
        <f t="shared" si="52"/>
        <v>470774</v>
      </c>
      <c r="K183" s="105">
        <f t="shared" si="62"/>
        <v>97520</v>
      </c>
      <c r="L183" s="50">
        <f t="shared" si="63"/>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
      <c r="A184" s="108" t="s">
        <v>51</v>
      </c>
      <c r="B184" s="540" t="s">
        <v>251</v>
      </c>
      <c r="C184" s="135" t="str">
        <f t="shared" si="46"/>
        <v>England ICB - NHS North Central London Integrated Care Board</v>
      </c>
      <c r="D184" s="79">
        <f t="shared" si="56"/>
        <v>525382</v>
      </c>
      <c r="E184" s="79">
        <f t="shared" si="57"/>
        <v>643050</v>
      </c>
      <c r="F184" s="101">
        <f t="shared" si="58"/>
        <v>1416558</v>
      </c>
      <c r="G184" s="51">
        <f t="shared" si="59"/>
        <v>677387</v>
      </c>
      <c r="H184" s="52">
        <f t="shared" si="60"/>
        <v>739171</v>
      </c>
      <c r="I184" s="51">
        <f t="shared" si="61"/>
        <v>525382</v>
      </c>
      <c r="J184" s="103">
        <f t="shared" si="52"/>
        <v>643050</v>
      </c>
      <c r="K184" s="105">
        <f t="shared" si="62"/>
        <v>152005</v>
      </c>
      <c r="L184" s="50">
        <f t="shared" si="63"/>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
      <c r="A185" s="108" t="s">
        <v>51</v>
      </c>
      <c r="B185" s="540" t="s">
        <v>252</v>
      </c>
      <c r="C185" s="135" t="str">
        <f t="shared" si="46"/>
        <v>England ICB - NHS North East and North Cumbria Integrated Care Board</v>
      </c>
      <c r="D185" s="79">
        <f t="shared" si="56"/>
        <v>1169921</v>
      </c>
      <c r="E185" s="79">
        <f t="shared" si="57"/>
        <v>1344819</v>
      </c>
      <c r="F185" s="101">
        <f t="shared" si="58"/>
        <v>3005519</v>
      </c>
      <c r="G185" s="51">
        <f t="shared" si="59"/>
        <v>1472907</v>
      </c>
      <c r="H185" s="52">
        <f t="shared" si="60"/>
        <v>1532612</v>
      </c>
      <c r="I185" s="51">
        <f t="shared" si="61"/>
        <v>1169921</v>
      </c>
      <c r="J185" s="103">
        <f t="shared" si="52"/>
        <v>1344819</v>
      </c>
      <c r="K185" s="105">
        <f t="shared" si="62"/>
        <v>302986</v>
      </c>
      <c r="L185" s="50">
        <f t="shared" si="63"/>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
      <c r="A186" s="108" t="s">
        <v>51</v>
      </c>
      <c r="B186" s="540" t="s">
        <v>253</v>
      </c>
      <c r="C186" s="135" t="str">
        <f t="shared" si="46"/>
        <v>England ICB - NHS North East London Integrated Care Board</v>
      </c>
      <c r="D186" s="79">
        <f t="shared" si="56"/>
        <v>760944</v>
      </c>
      <c r="E186" s="79">
        <f t="shared" si="57"/>
        <v>874748</v>
      </c>
      <c r="F186" s="101">
        <f t="shared" si="58"/>
        <v>2028265</v>
      </c>
      <c r="G186" s="51">
        <f t="shared" si="59"/>
        <v>998819</v>
      </c>
      <c r="H186" s="52">
        <f t="shared" si="60"/>
        <v>1029446</v>
      </c>
      <c r="I186" s="51">
        <f t="shared" si="61"/>
        <v>760944</v>
      </c>
      <c r="J186" s="103">
        <f t="shared" si="52"/>
        <v>874748</v>
      </c>
      <c r="K186" s="105">
        <f t="shared" si="62"/>
        <v>237875</v>
      </c>
      <c r="L186" s="50">
        <f t="shared" si="63"/>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
      <c r="A187" s="108" t="s">
        <v>51</v>
      </c>
      <c r="B187" s="540" t="s">
        <v>254</v>
      </c>
      <c r="C187" s="135" t="str">
        <f t="shared" si="46"/>
        <v>England ICB - NHS North West London Integrated Care Board</v>
      </c>
      <c r="D187" s="79">
        <f>I187</f>
        <v>811699</v>
      </c>
      <c r="E187" s="79">
        <f>J187</f>
        <v>939566</v>
      </c>
      <c r="F187" s="101">
        <f>G187+H187</f>
        <v>2116269</v>
      </c>
      <c r="G187" s="51">
        <f>SUM(M187:CY187)</f>
        <v>1035418</v>
      </c>
      <c r="H187" s="52">
        <f>SUM(CZ187:GL187)</f>
        <v>1080851</v>
      </c>
      <c r="I187" s="51">
        <f>SUM(AE187:CY187)</f>
        <v>811699</v>
      </c>
      <c r="J187" s="103">
        <f t="shared" si="52"/>
        <v>939566</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
      <c r="A188" s="108" t="s">
        <v>51</v>
      </c>
      <c r="B188" s="540" t="s">
        <v>255</v>
      </c>
      <c r="C188" s="135" t="str">
        <f t="shared" si="46"/>
        <v>England ICB - NHS Northamptonshire Integrated Care Board</v>
      </c>
      <c r="D188" s="79">
        <f t="shared" si="56"/>
        <v>302548</v>
      </c>
      <c r="E188" s="79">
        <f t="shared" si="57"/>
        <v>345534</v>
      </c>
      <c r="F188" s="101">
        <f t="shared" si="58"/>
        <v>792421</v>
      </c>
      <c r="G188" s="51">
        <f t="shared" si="59"/>
        <v>391147</v>
      </c>
      <c r="H188" s="52">
        <f t="shared" si="60"/>
        <v>401274</v>
      </c>
      <c r="I188" s="51">
        <f t="shared" si="61"/>
        <v>302548</v>
      </c>
      <c r="J188" s="103">
        <f t="shared" si="52"/>
        <v>345534</v>
      </c>
      <c r="K188" s="105">
        <f t="shared" si="62"/>
        <v>88599</v>
      </c>
      <c r="L188" s="50">
        <f t="shared" si="63"/>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
      <c r="A189" s="108" t="s">
        <v>51</v>
      </c>
      <c r="B189" s="540" t="s">
        <v>256</v>
      </c>
      <c r="C189" s="135" t="str">
        <f t="shared" si="46"/>
        <v>England ICB - NHS Nottingham and Nottinghamshire Integrated Care Board</v>
      </c>
      <c r="D189" s="79">
        <f t="shared" ref="D189:E193" si="64">I189</f>
        <v>451967</v>
      </c>
      <c r="E189" s="79">
        <f t="shared" si="64"/>
        <v>516482</v>
      </c>
      <c r="F189" s="101">
        <f>G189+H189</f>
        <v>1163335</v>
      </c>
      <c r="G189" s="51">
        <f>SUM(M189:CY189)</f>
        <v>571457</v>
      </c>
      <c r="H189" s="52">
        <f>SUM(CZ189:GL189)</f>
        <v>591878</v>
      </c>
      <c r="I189" s="51">
        <f>SUM(AE189:CY189)</f>
        <v>451967</v>
      </c>
      <c r="J189" s="103">
        <f t="shared" si="52"/>
        <v>516482</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
      <c r="A190" s="108" t="s">
        <v>51</v>
      </c>
      <c r="B190" s="540" t="s">
        <v>257</v>
      </c>
      <c r="C190" s="135" t="str">
        <f t="shared" si="46"/>
        <v>England ICB - NHS Shropshire, Telford and Wrekin Integrated Care Board</v>
      </c>
      <c r="D190" s="79">
        <f t="shared" si="64"/>
        <v>202333</v>
      </c>
      <c r="E190" s="79">
        <f t="shared" si="64"/>
        <v>230115</v>
      </c>
      <c r="F190" s="101">
        <f>G190+H190</f>
        <v>516049</v>
      </c>
      <c r="G190" s="51">
        <f>SUM(M190:CY190)</f>
        <v>254197</v>
      </c>
      <c r="H190" s="52">
        <f>SUM(CZ190:GL190)</f>
        <v>261852</v>
      </c>
      <c r="I190" s="51">
        <f>SUM(AE190:CY190)</f>
        <v>202333</v>
      </c>
      <c r="J190" s="103">
        <f t="shared" si="52"/>
        <v>230115</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
      <c r="A191" s="108" t="s">
        <v>51</v>
      </c>
      <c r="B191" s="540" t="s">
        <v>258</v>
      </c>
      <c r="C191" s="135" t="str">
        <f t="shared" si="46"/>
        <v>England ICB - NHS Somerset Integrated Care Board</v>
      </c>
      <c r="D191" s="79">
        <f t="shared" si="64"/>
        <v>225653</v>
      </c>
      <c r="E191" s="79">
        <f t="shared" si="64"/>
        <v>260122</v>
      </c>
      <c r="F191" s="101">
        <f>G191+H191</f>
        <v>576852</v>
      </c>
      <c r="G191" s="51">
        <f>SUM(M191:CY191)</f>
        <v>282176</v>
      </c>
      <c r="H191" s="52">
        <f>SUM(CZ191:GL191)</f>
        <v>294676</v>
      </c>
      <c r="I191" s="51">
        <f>SUM(AE191:CY191)</f>
        <v>225653</v>
      </c>
      <c r="J191" s="103">
        <f t="shared" si="52"/>
        <v>260122</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
      <c r="A192" s="108" t="s">
        <v>51</v>
      </c>
      <c r="B192" s="540" t="s">
        <v>259</v>
      </c>
      <c r="C192" s="135" t="str">
        <f t="shared" si="46"/>
        <v>England ICB - NHS South East London Integrated Care Board</v>
      </c>
      <c r="D192" s="79">
        <f t="shared" si="64"/>
        <v>677404</v>
      </c>
      <c r="E192" s="79">
        <f t="shared" si="64"/>
        <v>809292</v>
      </c>
      <c r="F192" s="101">
        <f>G192+H192</f>
        <v>1795871</v>
      </c>
      <c r="G192" s="51">
        <f>SUM(M192:CY192)</f>
        <v>865549</v>
      </c>
      <c r="H192" s="52">
        <f>SUM(CZ192:GL192)</f>
        <v>930322</v>
      </c>
      <c r="I192" s="51">
        <f>SUM(AE192:CY192)</f>
        <v>677404</v>
      </c>
      <c r="J192" s="103">
        <f t="shared" si="52"/>
        <v>809292</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
      <c r="A193" s="108" t="s">
        <v>51</v>
      </c>
      <c r="B193" s="540" t="s">
        <v>260</v>
      </c>
      <c r="C193" s="135" t="str">
        <f t="shared" si="46"/>
        <v>England ICB - NHS South West London Integrated Care Board</v>
      </c>
      <c r="D193" s="79">
        <f t="shared" si="64"/>
        <v>558793</v>
      </c>
      <c r="E193" s="79">
        <f t="shared" si="64"/>
        <v>677039</v>
      </c>
      <c r="F193" s="101">
        <f>G193+H193</f>
        <v>1509217</v>
      </c>
      <c r="G193" s="51">
        <f>SUM(M193:CY193)</f>
        <v>725443</v>
      </c>
      <c r="H193" s="52">
        <f>SUM(CZ193:GL193)</f>
        <v>783774</v>
      </c>
      <c r="I193" s="51">
        <f>SUM(AE193:CY193)</f>
        <v>558793</v>
      </c>
      <c r="J193" s="103">
        <f t="shared" si="52"/>
        <v>677039</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
      <c r="A194" s="108" t="s">
        <v>51</v>
      </c>
      <c r="B194" s="540" t="s">
        <v>261</v>
      </c>
      <c r="C194" s="135" t="str">
        <f t="shared" si="46"/>
        <v>England ICB - NHS South Yorkshire Integrated Care Board</v>
      </c>
      <c r="D194" s="79">
        <f t="shared" ref="D194:D199" si="65">I194</f>
        <v>540959</v>
      </c>
      <c r="E194" s="79">
        <f t="shared" ref="E194:E199" si="66">J194</f>
        <v>611581</v>
      </c>
      <c r="F194" s="101">
        <f t="shared" ref="F194:F199" si="67">G194+H194</f>
        <v>1392105</v>
      </c>
      <c r="G194" s="51">
        <f t="shared" ref="G194:G199" si="68">SUM(M194:CY194)</f>
        <v>687732</v>
      </c>
      <c r="H194" s="52">
        <f t="shared" ref="H194:H199" si="69">SUM(CZ194:GL194)</f>
        <v>704373</v>
      </c>
      <c r="I194" s="51">
        <f t="shared" ref="I194:I199" si="70">SUM(AE194:CY194)</f>
        <v>540959</v>
      </c>
      <c r="J194" s="103">
        <f t="shared" si="52"/>
        <v>611581</v>
      </c>
      <c r="K194" s="105">
        <f t="shared" ref="K194:K199" si="71">SUM(M194:AD194)</f>
        <v>146773</v>
      </c>
      <c r="L194" s="50">
        <f t="shared" ref="L194:L199" si="72">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
      <c r="A195" s="108" t="s">
        <v>51</v>
      </c>
      <c r="B195" s="540" t="s">
        <v>262</v>
      </c>
      <c r="C195" s="135" t="str">
        <f t="shared" si="46"/>
        <v>England ICB - NHS Staffordshire and Stoke-on-Trent Integrated Care Board</v>
      </c>
      <c r="D195" s="79">
        <f t="shared" si="65"/>
        <v>450065</v>
      </c>
      <c r="E195" s="79">
        <f t="shared" si="66"/>
        <v>504658</v>
      </c>
      <c r="F195" s="101">
        <f t="shared" si="67"/>
        <v>1146249</v>
      </c>
      <c r="G195" s="51">
        <f t="shared" si="68"/>
        <v>567449</v>
      </c>
      <c r="H195" s="52">
        <f t="shared" si="69"/>
        <v>578800</v>
      </c>
      <c r="I195" s="51">
        <f t="shared" si="70"/>
        <v>450065</v>
      </c>
      <c r="J195" s="103">
        <f t="shared" si="52"/>
        <v>504658</v>
      </c>
      <c r="K195" s="105">
        <f t="shared" si="71"/>
        <v>117384</v>
      </c>
      <c r="L195" s="50">
        <f t="shared" si="72"/>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
      <c r="A196" s="108" t="s">
        <v>51</v>
      </c>
      <c r="B196" s="540" t="s">
        <v>263</v>
      </c>
      <c r="C196" s="135" t="str">
        <f t="shared" si="46"/>
        <v>England ICB - NHS Suffolk and North East Essex Integrated Care Board</v>
      </c>
      <c r="D196" s="79">
        <f t="shared" si="65"/>
        <v>390250</v>
      </c>
      <c r="E196" s="79">
        <f t="shared" si="66"/>
        <v>445117</v>
      </c>
      <c r="F196" s="101">
        <f t="shared" si="67"/>
        <v>997767</v>
      </c>
      <c r="G196" s="51">
        <f t="shared" si="68"/>
        <v>490262</v>
      </c>
      <c r="H196" s="52">
        <f t="shared" si="69"/>
        <v>507505</v>
      </c>
      <c r="I196" s="51">
        <f t="shared" si="70"/>
        <v>390250</v>
      </c>
      <c r="J196" s="103">
        <f t="shared" si="52"/>
        <v>445117</v>
      </c>
      <c r="K196" s="105">
        <f t="shared" si="71"/>
        <v>100012</v>
      </c>
      <c r="L196" s="50">
        <f t="shared" si="72"/>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
      <c r="A197" s="108" t="s">
        <v>51</v>
      </c>
      <c r="B197" s="540" t="s">
        <v>264</v>
      </c>
      <c r="C197" s="135" t="str">
        <f t="shared" si="46"/>
        <v>England ICB - NHS Surrey Heartlands Integrated Care Board</v>
      </c>
      <c r="D197" s="79">
        <f t="shared" si="65"/>
        <v>398933</v>
      </c>
      <c r="E197" s="79">
        <f t="shared" si="66"/>
        <v>468582</v>
      </c>
      <c r="F197" s="101">
        <f t="shared" si="67"/>
        <v>1058519</v>
      </c>
      <c r="G197" s="51">
        <f t="shared" si="68"/>
        <v>516579</v>
      </c>
      <c r="H197" s="52">
        <f t="shared" si="69"/>
        <v>541940</v>
      </c>
      <c r="I197" s="51">
        <f t="shared" si="70"/>
        <v>398933</v>
      </c>
      <c r="J197" s="103">
        <f t="shared" si="52"/>
        <v>468582</v>
      </c>
      <c r="K197" s="105">
        <f t="shared" si="71"/>
        <v>117646</v>
      </c>
      <c r="L197" s="50">
        <f t="shared" si="72"/>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
      <c r="A198" s="108" t="s">
        <v>51</v>
      </c>
      <c r="B198" s="540" t="s">
        <v>265</v>
      </c>
      <c r="C198" s="135" t="str">
        <f t="shared" si="46"/>
        <v>England ICB - NHS Sussex Integrated Care Board</v>
      </c>
      <c r="D198" s="79">
        <f t="shared" si="65"/>
        <v>666059</v>
      </c>
      <c r="E198" s="79">
        <f t="shared" si="66"/>
        <v>784269</v>
      </c>
      <c r="F198" s="101">
        <f t="shared" si="67"/>
        <v>1721021</v>
      </c>
      <c r="G198" s="51">
        <f t="shared" si="68"/>
        <v>833713</v>
      </c>
      <c r="H198" s="52">
        <f t="shared" si="69"/>
        <v>887308</v>
      </c>
      <c r="I198" s="51">
        <f t="shared" si="70"/>
        <v>666059</v>
      </c>
      <c r="J198" s="103">
        <f t="shared" si="52"/>
        <v>784269</v>
      </c>
      <c r="K198" s="105">
        <f t="shared" si="71"/>
        <v>167654</v>
      </c>
      <c r="L198" s="50">
        <f t="shared" si="72"/>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
      <c r="A199" s="108" t="s">
        <v>51</v>
      </c>
      <c r="B199" s="540" t="s">
        <v>266</v>
      </c>
      <c r="C199" s="135" t="str">
        <f t="shared" si="46"/>
        <v>England ICB - NHS West Yorkshire Integrated Care Board</v>
      </c>
      <c r="D199" s="79">
        <f t="shared" si="65"/>
        <v>914649</v>
      </c>
      <c r="E199" s="79">
        <f t="shared" si="66"/>
        <v>1063867</v>
      </c>
      <c r="F199" s="101">
        <f t="shared" si="67"/>
        <v>2429755</v>
      </c>
      <c r="G199" s="51">
        <f t="shared" si="68"/>
        <v>1191152</v>
      </c>
      <c r="H199" s="52">
        <f t="shared" si="69"/>
        <v>1238603</v>
      </c>
      <c r="I199" s="51">
        <f t="shared" si="70"/>
        <v>914649</v>
      </c>
      <c r="J199" s="103">
        <f t="shared" si="52"/>
        <v>1063867</v>
      </c>
      <c r="K199" s="105">
        <f t="shared" si="71"/>
        <v>276503</v>
      </c>
      <c r="L199" s="50">
        <f t="shared" si="72"/>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ht="15" x14ac:dyDescent="0.25">
      <c r="A200" s="111"/>
      <c r="B200" s="541"/>
      <c r="C200" s="118"/>
      <c r="D200" s="133">
        <f t="shared" ref="D200:L200" si="73">SUM(D158:D199)</f>
        <v>21929384</v>
      </c>
      <c r="E200" s="133">
        <f t="shared" si="73"/>
        <v>25305672</v>
      </c>
      <c r="F200" s="133">
        <f t="shared" si="73"/>
        <v>57106398</v>
      </c>
      <c r="G200" s="133">
        <f t="shared" si="73"/>
        <v>27983290</v>
      </c>
      <c r="H200" s="133">
        <f t="shared" si="73"/>
        <v>29123108</v>
      </c>
      <c r="I200" s="133">
        <f t="shared" si="73"/>
        <v>21929384</v>
      </c>
      <c r="J200" s="133">
        <f t="shared" si="73"/>
        <v>25305672</v>
      </c>
      <c r="K200" s="133">
        <f t="shared" si="73"/>
        <v>6087888</v>
      </c>
      <c r="L200" s="133">
        <f t="shared" si="73"/>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2">
      <c r="A201" s="30" t="s">
        <v>78</v>
      </c>
      <c r="B201" s="1" t="s">
        <v>267</v>
      </c>
      <c r="C201" s="71" t="str">
        <f>CONCATENATE(A201," - ",B201)</f>
        <v>LA England - Adur</v>
      </c>
      <c r="D201" s="60">
        <f t="shared" ref="D201:D265" si="74">I201</f>
        <v>26828</v>
      </c>
      <c r="E201" s="60">
        <f t="shared" ref="E201:E265" si="75">J201</f>
        <v>29281</v>
      </c>
      <c r="F201" s="493">
        <f t="shared" ref="F201:F265" si="76">G201+H201</f>
        <v>64688</v>
      </c>
      <c r="G201" s="493">
        <f t="shared" ref="G201:G265" si="77">SUM(M201:CY201)</f>
        <v>31217</v>
      </c>
      <c r="H201" s="61">
        <f t="shared" ref="H201:H265" si="78">SUM(CZ201:GL201)</f>
        <v>33471</v>
      </c>
      <c r="I201" s="61">
        <f>SUM(Y201:CY201)</f>
        <v>26828</v>
      </c>
      <c r="J201" s="61">
        <f t="shared" ref="J201:J264" si="79">SUM(DL201:GL201)</f>
        <v>29281</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
      <c r="A202" s="30" t="s">
        <v>78</v>
      </c>
      <c r="B202" s="1" t="s">
        <v>268</v>
      </c>
      <c r="C202" s="29" t="str">
        <f>CONCATENATE(A202," - ",B202)</f>
        <v>LA England - Amber Valley</v>
      </c>
      <c r="D202" s="50">
        <f>I202</f>
        <v>54637</v>
      </c>
      <c r="E202" s="50">
        <f>J202</f>
        <v>56786</v>
      </c>
      <c r="F202" s="51">
        <f>G202+H202</f>
        <v>126944</v>
      </c>
      <c r="G202" s="51">
        <f>SUM(M202:CY202)</f>
        <v>62511</v>
      </c>
      <c r="H202" s="52">
        <f>SUM(CZ202:GL202)</f>
        <v>64433</v>
      </c>
      <c r="I202" s="61">
        <f t="shared" ref="I202:I265" si="82">SUM(Y202:CY202)</f>
        <v>54637</v>
      </c>
      <c r="J202" s="52">
        <f t="shared" si="79"/>
        <v>56786</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
      <c r="A203" s="30" t="s">
        <v>78</v>
      </c>
      <c r="B203" s="1" t="s">
        <v>269</v>
      </c>
      <c r="C203" s="29" t="str">
        <f>CONCATENATE(A203," - ",B203)</f>
        <v>LA England - Arun</v>
      </c>
      <c r="D203" s="50">
        <f t="shared" si="74"/>
        <v>70387</v>
      </c>
      <c r="E203" s="50">
        <f t="shared" si="75"/>
        <v>77230</v>
      </c>
      <c r="F203" s="51">
        <f t="shared" si="76"/>
        <v>166366</v>
      </c>
      <c r="G203" s="51">
        <f t="shared" si="77"/>
        <v>79966</v>
      </c>
      <c r="H203" s="52">
        <f t="shared" si="78"/>
        <v>86400</v>
      </c>
      <c r="I203" s="61">
        <f t="shared" si="82"/>
        <v>70387</v>
      </c>
      <c r="J203" s="52">
        <f t="shared" si="79"/>
        <v>77230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
      <c r="A204" s="30" t="s">
        <v>78</v>
      </c>
      <c r="B204" s="1" t="s">
        <v>270</v>
      </c>
      <c r="C204" s="29" t="str">
        <f t="shared" ref="C204:C267" si="83">CONCATENATE(A204," - ",B204)</f>
        <v>LA England - Ashfield</v>
      </c>
      <c r="D204" s="50">
        <f t="shared" si="74"/>
        <v>53117</v>
      </c>
      <c r="E204" s="50">
        <f t="shared" si="75"/>
        <v>56497</v>
      </c>
      <c r="F204" s="51">
        <f t="shared" si="76"/>
        <v>127179</v>
      </c>
      <c r="G204" s="51">
        <f t="shared" si="77"/>
        <v>62228</v>
      </c>
      <c r="H204" s="52">
        <f t="shared" si="78"/>
        <v>64951</v>
      </c>
      <c r="I204" s="61">
        <f t="shared" si="82"/>
        <v>53117</v>
      </c>
      <c r="J204" s="52">
        <f t="shared" si="79"/>
        <v>56497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
      <c r="A205" s="30" t="s">
        <v>78</v>
      </c>
      <c r="B205" s="1" t="s">
        <v>271</v>
      </c>
      <c r="C205" s="29" t="str">
        <f t="shared" si="83"/>
        <v>LA England - Ashford</v>
      </c>
      <c r="D205" s="50">
        <f t="shared" si="74"/>
        <v>55854</v>
      </c>
      <c r="E205" s="50">
        <f t="shared" si="75"/>
        <v>60077</v>
      </c>
      <c r="F205" s="51">
        <f t="shared" si="76"/>
        <v>135610</v>
      </c>
      <c r="G205" s="51">
        <f t="shared" si="77"/>
        <v>65965</v>
      </c>
      <c r="H205" s="52">
        <f t="shared" si="78"/>
        <v>69645</v>
      </c>
      <c r="I205" s="61">
        <f t="shared" si="82"/>
        <v>55854</v>
      </c>
      <c r="J205" s="52">
        <f t="shared" si="79"/>
        <v>60077</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
      <c r="A206" s="30" t="s">
        <v>78</v>
      </c>
      <c r="B206" s="1" t="s">
        <v>272</v>
      </c>
      <c r="C206" s="29" t="str">
        <f t="shared" si="83"/>
        <v>LA England - Babergh</v>
      </c>
      <c r="D206" s="50">
        <f t="shared" si="74"/>
        <v>40167</v>
      </c>
      <c r="E206" s="50">
        <f t="shared" si="75"/>
        <v>43170</v>
      </c>
      <c r="F206" s="51">
        <f t="shared" si="76"/>
        <v>94277</v>
      </c>
      <c r="G206" s="51">
        <f t="shared" si="77"/>
        <v>45714</v>
      </c>
      <c r="H206" s="52">
        <f t="shared" si="78"/>
        <v>48563</v>
      </c>
      <c r="I206" s="61">
        <f t="shared" si="82"/>
        <v>40167</v>
      </c>
      <c r="J206" s="52">
        <f t="shared" si="79"/>
        <v>43170</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
      <c r="A207" s="30" t="s">
        <v>78</v>
      </c>
      <c r="B207" s="1" t="s">
        <v>273</v>
      </c>
      <c r="C207" s="29" t="str">
        <f t="shared" si="83"/>
        <v>LA England - Barking and Dagenham</v>
      </c>
      <c r="D207" s="50">
        <f t="shared" si="74"/>
        <v>85466</v>
      </c>
      <c r="E207" s="50">
        <f t="shared" si="75"/>
        <v>91906</v>
      </c>
      <c r="F207" s="51">
        <f t="shared" si="76"/>
        <v>219992</v>
      </c>
      <c r="G207" s="51">
        <f t="shared" si="77"/>
        <v>107205</v>
      </c>
      <c r="H207" s="52">
        <f t="shared" si="78"/>
        <v>112787</v>
      </c>
      <c r="I207" s="61">
        <f t="shared" si="82"/>
        <v>85466</v>
      </c>
      <c r="J207" s="52">
        <f t="shared" si="79"/>
        <v>91906</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
      <c r="A208" s="30" t="s">
        <v>78</v>
      </c>
      <c r="B208" s="1" t="s">
        <v>274</v>
      </c>
      <c r="C208" s="29" t="str">
        <f t="shared" si="83"/>
        <v>LA England - Barnet</v>
      </c>
      <c r="D208" s="50">
        <f t="shared" si="74"/>
        <v>157617</v>
      </c>
      <c r="E208" s="50">
        <f t="shared" si="75"/>
        <v>171535</v>
      </c>
      <c r="F208" s="51">
        <f t="shared" si="76"/>
        <v>389101</v>
      </c>
      <c r="G208" s="51">
        <f t="shared" si="77"/>
        <v>188543</v>
      </c>
      <c r="H208" s="52">
        <f t="shared" si="78"/>
        <v>200558</v>
      </c>
      <c r="I208" s="61">
        <f t="shared" si="82"/>
        <v>157617</v>
      </c>
      <c r="J208" s="52">
        <f t="shared" si="79"/>
        <v>171535</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
      <c r="A209" s="30" t="s">
        <v>78</v>
      </c>
      <c r="B209" s="1" t="s">
        <v>275</v>
      </c>
      <c r="C209" s="29" t="str">
        <f t="shared" si="83"/>
        <v>LA England - Barnsley</v>
      </c>
      <c r="D209" s="50">
        <f t="shared" si="74"/>
        <v>104033</v>
      </c>
      <c r="E209" s="50">
        <f t="shared" si="75"/>
        <v>108738</v>
      </c>
      <c r="F209" s="51">
        <f t="shared" si="76"/>
        <v>246482</v>
      </c>
      <c r="G209" s="51">
        <f t="shared" si="77"/>
        <v>121223</v>
      </c>
      <c r="H209" s="52">
        <f t="shared" si="78"/>
        <v>125259</v>
      </c>
      <c r="I209" s="61">
        <f t="shared" si="82"/>
        <v>104033</v>
      </c>
      <c r="J209" s="52">
        <f t="shared" si="79"/>
        <v>108738</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
      <c r="A210" s="30" t="s">
        <v>78</v>
      </c>
      <c r="B210" s="1" t="s">
        <v>276</v>
      </c>
      <c r="C210" s="29" t="str">
        <f t="shared" si="83"/>
        <v>LA England - Basildon</v>
      </c>
      <c r="D210" s="50">
        <f t="shared" si="74"/>
        <v>76547</v>
      </c>
      <c r="E210" s="50">
        <f t="shared" si="75"/>
        <v>82394</v>
      </c>
      <c r="F210" s="51">
        <f t="shared" si="76"/>
        <v>188848</v>
      </c>
      <c r="G210" s="51">
        <f t="shared" si="77"/>
        <v>91792</v>
      </c>
      <c r="H210" s="52">
        <f t="shared" si="78"/>
        <v>97056</v>
      </c>
      <c r="I210" s="61">
        <f t="shared" si="82"/>
        <v>76547</v>
      </c>
      <c r="J210" s="52">
        <f t="shared" si="79"/>
        <v>82394</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
      <c r="A211" s="30" t="s">
        <v>78</v>
      </c>
      <c r="B211" s="1" t="s">
        <v>277</v>
      </c>
      <c r="C211" s="29" t="str">
        <f t="shared" si="83"/>
        <v>LA England - Basingstoke and Deane</v>
      </c>
      <c r="D211" s="50">
        <f t="shared" si="74"/>
        <v>79222</v>
      </c>
      <c r="E211" s="50">
        <f t="shared" si="75"/>
        <v>81685</v>
      </c>
      <c r="F211" s="51">
        <f t="shared" si="76"/>
        <v>187817</v>
      </c>
      <c r="G211" s="51">
        <f t="shared" si="77"/>
        <v>93056</v>
      </c>
      <c r="H211" s="52">
        <f t="shared" si="78"/>
        <v>94761</v>
      </c>
      <c r="I211" s="61">
        <f t="shared" si="82"/>
        <v>79222</v>
      </c>
      <c r="J211" s="52">
        <f t="shared" si="79"/>
        <v>81685</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
      <c r="A212" s="30" t="s">
        <v>78</v>
      </c>
      <c r="B212" s="1" t="s">
        <v>278</v>
      </c>
      <c r="C212" s="29" t="str">
        <f t="shared" si="83"/>
        <v>LA England - Bassetlaw</v>
      </c>
      <c r="D212" s="50">
        <f t="shared" si="74"/>
        <v>51512</v>
      </c>
      <c r="E212" s="50">
        <f t="shared" si="75"/>
        <v>52980</v>
      </c>
      <c r="F212" s="51">
        <f t="shared" si="76"/>
        <v>120012</v>
      </c>
      <c r="G212" s="51">
        <f t="shared" si="77"/>
        <v>59485</v>
      </c>
      <c r="H212" s="52">
        <f t="shared" si="78"/>
        <v>60527</v>
      </c>
      <c r="I212" s="61">
        <f t="shared" si="82"/>
        <v>51512</v>
      </c>
      <c r="J212" s="52">
        <f t="shared" si="79"/>
        <v>52980</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
      <c r="A213" s="30" t="s">
        <v>78</v>
      </c>
      <c r="B213" s="1" t="s">
        <v>279</v>
      </c>
      <c r="C213" s="29" t="str">
        <f t="shared" si="83"/>
        <v>LA England - Bath and North East Somerset</v>
      </c>
      <c r="D213" s="50">
        <f t="shared" si="74"/>
        <v>83509</v>
      </c>
      <c r="E213" s="50">
        <f t="shared" si="75"/>
        <v>88668</v>
      </c>
      <c r="F213" s="51">
        <f t="shared" si="76"/>
        <v>195618</v>
      </c>
      <c r="G213" s="51">
        <f t="shared" si="77"/>
        <v>95553</v>
      </c>
      <c r="H213" s="52">
        <f t="shared" si="78"/>
        <v>100065</v>
      </c>
      <c r="I213" s="61">
        <f t="shared" si="82"/>
        <v>83509</v>
      </c>
      <c r="J213" s="52">
        <f t="shared" si="79"/>
        <v>88668</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
      <c r="A214" s="30" t="s">
        <v>78</v>
      </c>
      <c r="B214" s="1" t="s">
        <v>280</v>
      </c>
      <c r="C214" s="29" t="str">
        <f t="shared" si="83"/>
        <v>LA England - Bedford</v>
      </c>
      <c r="D214" s="50">
        <f t="shared" si="74"/>
        <v>77777</v>
      </c>
      <c r="E214" s="50">
        <f t="shared" si="75"/>
        <v>81638</v>
      </c>
      <c r="F214" s="51">
        <f t="shared" si="76"/>
        <v>187466</v>
      </c>
      <c r="G214" s="51">
        <f t="shared" si="77"/>
        <v>92103</v>
      </c>
      <c r="H214" s="52">
        <f t="shared" si="78"/>
        <v>95363</v>
      </c>
      <c r="I214" s="61">
        <f t="shared" si="82"/>
        <v>77777</v>
      </c>
      <c r="J214" s="52">
        <f t="shared" si="79"/>
        <v>81638</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
      <c r="A215" s="30" t="s">
        <v>78</v>
      </c>
      <c r="B215" s="1" t="s">
        <v>281</v>
      </c>
      <c r="C215" s="29" t="str">
        <f t="shared" si="83"/>
        <v>LA England - Bexley</v>
      </c>
      <c r="D215" s="50">
        <f t="shared" si="74"/>
        <v>99961</v>
      </c>
      <c r="E215" s="50">
        <f t="shared" si="75"/>
        <v>109984</v>
      </c>
      <c r="F215" s="51">
        <f t="shared" si="76"/>
        <v>247835</v>
      </c>
      <c r="G215" s="51">
        <f t="shared" si="77"/>
        <v>119290</v>
      </c>
      <c r="H215" s="52">
        <f t="shared" si="78"/>
        <v>128545</v>
      </c>
      <c r="I215" s="61">
        <f t="shared" si="82"/>
        <v>99961</v>
      </c>
      <c r="J215" s="52">
        <f t="shared" si="79"/>
        <v>109984</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
      <c r="A216" s="30" t="s">
        <v>78</v>
      </c>
      <c r="B216" s="1" t="s">
        <v>282</v>
      </c>
      <c r="C216" s="29" t="str">
        <f t="shared" si="83"/>
        <v>LA England - Birmingham</v>
      </c>
      <c r="D216" s="50">
        <f t="shared" si="74"/>
        <v>472854</v>
      </c>
      <c r="E216" s="50">
        <f t="shared" si="75"/>
        <v>495572</v>
      </c>
      <c r="F216" s="51">
        <f t="shared" si="76"/>
        <v>1157603</v>
      </c>
      <c r="G216" s="51">
        <f t="shared" si="77"/>
        <v>569108</v>
      </c>
      <c r="H216" s="52">
        <f t="shared" si="78"/>
        <v>588495</v>
      </c>
      <c r="I216" s="61">
        <f t="shared" si="82"/>
        <v>472854</v>
      </c>
      <c r="J216" s="52">
        <f t="shared" si="79"/>
        <v>495572</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
      <c r="A217" s="30" t="s">
        <v>78</v>
      </c>
      <c r="B217" s="1" t="s">
        <v>283</v>
      </c>
      <c r="C217" s="29" t="str">
        <f t="shared" si="83"/>
        <v>LA England - Blaby</v>
      </c>
      <c r="D217" s="50">
        <f t="shared" si="74"/>
        <v>43579</v>
      </c>
      <c r="E217" s="50">
        <f t="shared" si="75"/>
        <v>46028</v>
      </c>
      <c r="F217" s="51">
        <f t="shared" si="76"/>
        <v>104182</v>
      </c>
      <c r="G217" s="51">
        <f t="shared" si="77"/>
        <v>51069</v>
      </c>
      <c r="H217" s="52">
        <f t="shared" si="78"/>
        <v>53113</v>
      </c>
      <c r="I217" s="61">
        <f t="shared" si="82"/>
        <v>43579</v>
      </c>
      <c r="J217" s="52">
        <f t="shared" si="79"/>
        <v>46028</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
      <c r="A218" s="30" t="s">
        <v>78</v>
      </c>
      <c r="B218" s="1" t="s">
        <v>284</v>
      </c>
      <c r="C218" s="29" t="str">
        <f t="shared" si="83"/>
        <v>LA England - Blackburn with Darwen</v>
      </c>
      <c r="D218" s="50">
        <f t="shared" si="74"/>
        <v>64222</v>
      </c>
      <c r="E218" s="50">
        <f t="shared" si="75"/>
        <v>65690</v>
      </c>
      <c r="F218" s="51">
        <f t="shared" si="76"/>
        <v>155762</v>
      </c>
      <c r="G218" s="51">
        <f t="shared" si="77"/>
        <v>77331</v>
      </c>
      <c r="H218" s="52">
        <f t="shared" si="78"/>
        <v>78431</v>
      </c>
      <c r="I218" s="61">
        <f t="shared" si="82"/>
        <v>64222</v>
      </c>
      <c r="J218" s="52">
        <f t="shared" si="79"/>
        <v>65690</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
      <c r="A219" s="30" t="s">
        <v>78</v>
      </c>
      <c r="B219" s="1" t="s">
        <v>285</v>
      </c>
      <c r="C219" s="29" t="str">
        <f t="shared" si="83"/>
        <v>LA England - Blackpool</v>
      </c>
      <c r="D219" s="50">
        <f t="shared" si="74"/>
        <v>60641</v>
      </c>
      <c r="E219" s="50">
        <f t="shared" si="75"/>
        <v>62397</v>
      </c>
      <c r="F219" s="51">
        <f t="shared" si="76"/>
        <v>141574</v>
      </c>
      <c r="G219" s="51">
        <f t="shared" si="77"/>
        <v>70014</v>
      </c>
      <c r="H219" s="52">
        <f t="shared" si="78"/>
        <v>71560</v>
      </c>
      <c r="I219" s="61">
        <f t="shared" si="82"/>
        <v>60641</v>
      </c>
      <c r="J219" s="52">
        <f t="shared" si="79"/>
        <v>62397</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
      <c r="A220" s="30" t="s">
        <v>78</v>
      </c>
      <c r="B220" s="1" t="s">
        <v>286</v>
      </c>
      <c r="C220" s="29" t="str">
        <f t="shared" si="83"/>
        <v>LA England - Bolsover</v>
      </c>
      <c r="D220" s="50">
        <f t="shared" si="74"/>
        <v>34786</v>
      </c>
      <c r="E220" s="50">
        <f t="shared" si="75"/>
        <v>36307</v>
      </c>
      <c r="F220" s="51">
        <f t="shared" si="76"/>
        <v>81553</v>
      </c>
      <c r="G220" s="51">
        <f t="shared" si="77"/>
        <v>40122</v>
      </c>
      <c r="H220" s="52">
        <f t="shared" si="78"/>
        <v>41431</v>
      </c>
      <c r="I220" s="61">
        <f t="shared" si="82"/>
        <v>34786</v>
      </c>
      <c r="J220" s="52">
        <f t="shared" si="79"/>
        <v>36307</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
      <c r="A221" s="30" t="s">
        <v>78</v>
      </c>
      <c r="B221" s="1" t="s">
        <v>287</v>
      </c>
      <c r="C221" s="29" t="str">
        <f t="shared" si="83"/>
        <v>LA England - Bolton</v>
      </c>
      <c r="D221" s="50">
        <f t="shared" si="74"/>
        <v>123561</v>
      </c>
      <c r="E221" s="50">
        <f t="shared" si="75"/>
        <v>127822</v>
      </c>
      <c r="F221" s="51">
        <f t="shared" si="76"/>
        <v>298903</v>
      </c>
      <c r="G221" s="51">
        <f t="shared" si="77"/>
        <v>147723</v>
      </c>
      <c r="H221" s="52">
        <f t="shared" si="78"/>
        <v>151180</v>
      </c>
      <c r="I221" s="61">
        <f t="shared" si="82"/>
        <v>123561</v>
      </c>
      <c r="J221" s="52">
        <f t="shared" si="79"/>
        <v>127822</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
      <c r="A222" s="30" t="s">
        <v>78</v>
      </c>
      <c r="B222" s="1" t="s">
        <v>288</v>
      </c>
      <c r="C222" s="29" t="str">
        <f t="shared" si="83"/>
        <v>LA England - Boston</v>
      </c>
      <c r="D222" s="50">
        <f t="shared" si="74"/>
        <v>29765</v>
      </c>
      <c r="E222" s="50">
        <f t="shared" si="75"/>
        <v>31240</v>
      </c>
      <c r="F222" s="51">
        <f t="shared" si="76"/>
        <v>70806</v>
      </c>
      <c r="G222" s="51">
        <f t="shared" si="77"/>
        <v>34835</v>
      </c>
      <c r="H222" s="52">
        <f t="shared" si="78"/>
        <v>35971</v>
      </c>
      <c r="I222" s="61">
        <f t="shared" si="82"/>
        <v>29765</v>
      </c>
      <c r="J222" s="52">
        <f t="shared" si="79"/>
        <v>31240</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
      <c r="A223" s="30" t="s">
        <v>78</v>
      </c>
      <c r="B223" s="1" t="s">
        <v>289</v>
      </c>
      <c r="C223" s="29" t="str">
        <f t="shared" si="83"/>
        <v>LA England - Bournemouth, Christchurch and Poole</v>
      </c>
      <c r="D223" s="50">
        <f t="shared" si="74"/>
        <v>171260</v>
      </c>
      <c r="E223" s="50">
        <f t="shared" si="75"/>
        <v>182110</v>
      </c>
      <c r="F223" s="51">
        <f t="shared" si="76"/>
        <v>401898</v>
      </c>
      <c r="G223" s="51">
        <f t="shared" si="77"/>
        <v>196127</v>
      </c>
      <c r="H223" s="52">
        <f t="shared" si="78"/>
        <v>205771</v>
      </c>
      <c r="I223" s="61">
        <f t="shared" si="82"/>
        <v>171260</v>
      </c>
      <c r="J223" s="52">
        <f t="shared" si="79"/>
        <v>182110</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
      <c r="A224" s="30" t="s">
        <v>78</v>
      </c>
      <c r="B224" s="1" t="s">
        <v>290</v>
      </c>
      <c r="C224" s="29" t="str">
        <f t="shared" si="83"/>
        <v>LA England - Bracknell Forest</v>
      </c>
      <c r="D224" s="50">
        <f t="shared" si="74"/>
        <v>53173</v>
      </c>
      <c r="E224" s="50">
        <f t="shared" si="75"/>
        <v>55466</v>
      </c>
      <c r="F224" s="51">
        <f t="shared" si="76"/>
        <v>126881</v>
      </c>
      <c r="G224" s="51">
        <f t="shared" si="77"/>
        <v>62570</v>
      </c>
      <c r="H224" s="52">
        <f t="shared" si="78"/>
        <v>64311</v>
      </c>
      <c r="I224" s="61">
        <f t="shared" si="82"/>
        <v>53173</v>
      </c>
      <c r="J224" s="52">
        <f t="shared" si="79"/>
        <v>55466</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
      <c r="A225" s="30" t="s">
        <v>78</v>
      </c>
      <c r="B225" s="1" t="s">
        <v>291</v>
      </c>
      <c r="C225" s="29" t="str">
        <f t="shared" si="83"/>
        <v>LA England - Bradford</v>
      </c>
      <c r="D225" s="50">
        <f t="shared" si="74"/>
        <v>224998</v>
      </c>
      <c r="E225" s="50">
        <f t="shared" si="75"/>
        <v>236097</v>
      </c>
      <c r="F225" s="51">
        <f t="shared" si="76"/>
        <v>552644</v>
      </c>
      <c r="G225" s="51">
        <f t="shared" si="77"/>
        <v>271181</v>
      </c>
      <c r="H225" s="52">
        <f t="shared" si="78"/>
        <v>281463</v>
      </c>
      <c r="I225" s="61">
        <f t="shared" si="82"/>
        <v>224998</v>
      </c>
      <c r="J225" s="52">
        <f t="shared" si="79"/>
        <v>236097</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
      <c r="A226" s="30" t="s">
        <v>78</v>
      </c>
      <c r="B226" s="1" t="s">
        <v>292</v>
      </c>
      <c r="C226" s="29" t="str">
        <f t="shared" si="83"/>
        <v>LA England - Braintree</v>
      </c>
      <c r="D226" s="50">
        <f t="shared" si="74"/>
        <v>66068</v>
      </c>
      <c r="E226" s="50">
        <f t="shared" si="75"/>
        <v>70118</v>
      </c>
      <c r="F226" s="51">
        <f t="shared" si="76"/>
        <v>157681</v>
      </c>
      <c r="G226" s="51">
        <f t="shared" si="77"/>
        <v>77152</v>
      </c>
      <c r="H226" s="52">
        <f t="shared" si="78"/>
        <v>80529</v>
      </c>
      <c r="I226" s="61">
        <f t="shared" si="82"/>
        <v>66068</v>
      </c>
      <c r="J226" s="52">
        <f t="shared" si="79"/>
        <v>70118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
      <c r="A227" s="30" t="s">
        <v>78</v>
      </c>
      <c r="B227" s="1" t="s">
        <v>293</v>
      </c>
      <c r="C227" s="29" t="str">
        <f t="shared" si="83"/>
        <v>LA England - Breckland</v>
      </c>
      <c r="D227" s="50">
        <f t="shared" si="74"/>
        <v>62108</v>
      </c>
      <c r="E227" s="50">
        <f t="shared" si="75"/>
        <v>63794</v>
      </c>
      <c r="F227" s="51">
        <f t="shared" si="76"/>
        <v>143479</v>
      </c>
      <c r="G227" s="51">
        <f t="shared" si="77"/>
        <v>71134</v>
      </c>
      <c r="H227" s="52">
        <f t="shared" si="78"/>
        <v>72345</v>
      </c>
      <c r="I227" s="61">
        <f t="shared" si="82"/>
        <v>62108</v>
      </c>
      <c r="J227" s="52">
        <f t="shared" si="79"/>
        <v>63794</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
      <c r="A228" s="30" t="s">
        <v>78</v>
      </c>
      <c r="B228" s="1" t="s">
        <v>294</v>
      </c>
      <c r="C228" s="29" t="str">
        <f t="shared" si="83"/>
        <v>LA England - Brent</v>
      </c>
      <c r="D228" s="50">
        <f t="shared" si="74"/>
        <v>142431</v>
      </c>
      <c r="E228" s="50">
        <f t="shared" si="75"/>
        <v>150651</v>
      </c>
      <c r="F228" s="51">
        <f t="shared" si="76"/>
        <v>341221</v>
      </c>
      <c r="G228" s="51">
        <f t="shared" si="77"/>
        <v>167159</v>
      </c>
      <c r="H228" s="52">
        <f t="shared" si="78"/>
        <v>174062</v>
      </c>
      <c r="I228" s="61">
        <f t="shared" si="82"/>
        <v>142431</v>
      </c>
      <c r="J228" s="52">
        <f t="shared" si="79"/>
        <v>150651</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
      <c r="A229" s="30" t="s">
        <v>78</v>
      </c>
      <c r="B229" s="1" t="s">
        <v>295</v>
      </c>
      <c r="C229" s="29" t="str">
        <f t="shared" si="83"/>
        <v>LA England - Brentwood</v>
      </c>
      <c r="D229" s="50">
        <f t="shared" si="74"/>
        <v>31896</v>
      </c>
      <c r="E229" s="50">
        <f t="shared" si="75"/>
        <v>34548</v>
      </c>
      <c r="F229" s="51">
        <f t="shared" si="76"/>
        <v>77332</v>
      </c>
      <c r="G229" s="51">
        <f t="shared" si="77"/>
        <v>37566</v>
      </c>
      <c r="H229" s="52">
        <f t="shared" si="78"/>
        <v>39766</v>
      </c>
      <c r="I229" s="61">
        <f t="shared" si="82"/>
        <v>31896</v>
      </c>
      <c r="J229" s="52">
        <f t="shared" si="79"/>
        <v>34548</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
      <c r="A230" s="30" t="s">
        <v>78</v>
      </c>
      <c r="B230" s="1" t="s">
        <v>296</v>
      </c>
      <c r="C230" s="29" t="str">
        <f t="shared" si="83"/>
        <v>LA England - Brighton and Hove</v>
      </c>
      <c r="D230" s="50">
        <f t="shared" si="74"/>
        <v>120795</v>
      </c>
      <c r="E230" s="50">
        <f t="shared" si="75"/>
        <v>127442</v>
      </c>
      <c r="F230" s="51">
        <f t="shared" si="76"/>
        <v>277965</v>
      </c>
      <c r="G230" s="51">
        <f t="shared" si="77"/>
        <v>136030</v>
      </c>
      <c r="H230" s="52">
        <f t="shared" si="78"/>
        <v>141935</v>
      </c>
      <c r="I230" s="61">
        <f t="shared" si="82"/>
        <v>120795</v>
      </c>
      <c r="J230" s="52">
        <f t="shared" si="79"/>
        <v>127442</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
      <c r="A231" s="30" t="s">
        <v>78</v>
      </c>
      <c r="B231" s="1" t="s">
        <v>297</v>
      </c>
      <c r="C231" s="29" t="str">
        <f t="shared" si="83"/>
        <v>LA England - Bristol, City of</v>
      </c>
      <c r="D231" s="50">
        <f t="shared" si="74"/>
        <v>206464</v>
      </c>
      <c r="E231" s="50">
        <f t="shared" si="75"/>
        <v>210576</v>
      </c>
      <c r="F231" s="51">
        <f t="shared" si="76"/>
        <v>479024</v>
      </c>
      <c r="G231" s="51">
        <f t="shared" si="77"/>
        <v>238161</v>
      </c>
      <c r="H231" s="52">
        <f t="shared" si="78"/>
        <v>240863</v>
      </c>
      <c r="I231" s="61">
        <f t="shared" si="82"/>
        <v>206464</v>
      </c>
      <c r="J231" s="52">
        <f t="shared" si="79"/>
        <v>210576</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
      <c r="A232" s="30" t="s">
        <v>78</v>
      </c>
      <c r="B232" s="1" t="s">
        <v>298</v>
      </c>
      <c r="C232" s="29" t="str">
        <f t="shared" si="83"/>
        <v>LA England - Broadland</v>
      </c>
      <c r="D232" s="50">
        <f t="shared" si="74"/>
        <v>57168</v>
      </c>
      <c r="E232" s="50">
        <f t="shared" si="75"/>
        <v>60913</v>
      </c>
      <c r="F232" s="51">
        <f t="shared" si="76"/>
        <v>133872</v>
      </c>
      <c r="G232" s="51">
        <f t="shared" si="77"/>
        <v>65230</v>
      </c>
      <c r="H232" s="52">
        <f t="shared" si="78"/>
        <v>68642</v>
      </c>
      <c r="I232" s="61">
        <f t="shared" si="82"/>
        <v>57168</v>
      </c>
      <c r="J232" s="52">
        <f t="shared" si="79"/>
        <v>60913</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
      <c r="A233" s="30" t="s">
        <v>78</v>
      </c>
      <c r="B233" s="1" t="s">
        <v>299</v>
      </c>
      <c r="C233" s="29" t="str">
        <f t="shared" si="83"/>
        <v>LA England - Bromley</v>
      </c>
      <c r="D233" s="50">
        <f t="shared" si="74"/>
        <v>133280</v>
      </c>
      <c r="E233" s="50">
        <f t="shared" si="75"/>
        <v>148163</v>
      </c>
      <c r="F233" s="51">
        <f t="shared" si="76"/>
        <v>329578</v>
      </c>
      <c r="G233" s="51">
        <f t="shared" si="77"/>
        <v>157924</v>
      </c>
      <c r="H233" s="52">
        <f t="shared" si="78"/>
        <v>171654</v>
      </c>
      <c r="I233" s="61">
        <f t="shared" si="82"/>
        <v>133280</v>
      </c>
      <c r="J233" s="52">
        <f t="shared" si="79"/>
        <v>148163</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
      <c r="A234" s="30" t="s">
        <v>78</v>
      </c>
      <c r="B234" s="1" t="s">
        <v>300</v>
      </c>
      <c r="C234" s="29" t="str">
        <f t="shared" si="83"/>
        <v>LA England - Bromsgrove</v>
      </c>
      <c r="D234" s="50">
        <f t="shared" si="74"/>
        <v>42058</v>
      </c>
      <c r="E234" s="50">
        <f t="shared" si="75"/>
        <v>44643</v>
      </c>
      <c r="F234" s="51">
        <f t="shared" si="76"/>
        <v>100076</v>
      </c>
      <c r="G234" s="51">
        <f t="shared" si="77"/>
        <v>48813</v>
      </c>
      <c r="H234" s="52">
        <f t="shared" si="78"/>
        <v>51263</v>
      </c>
      <c r="I234" s="61">
        <f t="shared" si="82"/>
        <v>42058</v>
      </c>
      <c r="J234" s="52">
        <f t="shared" si="79"/>
        <v>44643</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
      <c r="A235" s="30" t="s">
        <v>78</v>
      </c>
      <c r="B235" s="1" t="s">
        <v>301</v>
      </c>
      <c r="C235" s="29" t="str">
        <f t="shared" si="83"/>
        <v>LA England - Broxbourne</v>
      </c>
      <c r="D235" s="50">
        <f t="shared" si="74"/>
        <v>40438</v>
      </c>
      <c r="E235" s="50">
        <f t="shared" si="75"/>
        <v>43872</v>
      </c>
      <c r="F235" s="51">
        <f t="shared" si="76"/>
        <v>99103</v>
      </c>
      <c r="G235" s="51">
        <f t="shared" si="77"/>
        <v>47849</v>
      </c>
      <c r="H235" s="52">
        <f t="shared" si="78"/>
        <v>51254</v>
      </c>
      <c r="I235" s="61">
        <f t="shared" si="82"/>
        <v>40438</v>
      </c>
      <c r="J235" s="52">
        <f t="shared" si="79"/>
        <v>43872</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
      <c r="A236" s="30" t="s">
        <v>78</v>
      </c>
      <c r="B236" s="1" t="s">
        <v>302</v>
      </c>
      <c r="C236" s="29" t="str">
        <f t="shared" si="83"/>
        <v>LA England - Broxtowe</v>
      </c>
      <c r="D236" s="50">
        <f t="shared" si="74"/>
        <v>48035</v>
      </c>
      <c r="E236" s="50">
        <f t="shared" si="75"/>
        <v>50317</v>
      </c>
      <c r="F236" s="51">
        <f t="shared" si="76"/>
        <v>112113</v>
      </c>
      <c r="G236" s="51">
        <f t="shared" si="77"/>
        <v>55101</v>
      </c>
      <c r="H236" s="52">
        <f t="shared" si="78"/>
        <v>57012</v>
      </c>
      <c r="I236" s="61">
        <f t="shared" si="82"/>
        <v>48035</v>
      </c>
      <c r="J236" s="52">
        <f t="shared" si="79"/>
        <v>50317</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
      <c r="A237" s="30" t="s">
        <v>78</v>
      </c>
      <c r="B237" s="1" t="s">
        <v>303</v>
      </c>
      <c r="C237" s="29" t="str">
        <f t="shared" si="83"/>
        <v>LA England - Buckinghamshire</v>
      </c>
      <c r="D237" s="50">
        <f t="shared" si="74"/>
        <v>232166</v>
      </c>
      <c r="E237" s="50">
        <f t="shared" si="75"/>
        <v>246208</v>
      </c>
      <c r="F237" s="51">
        <f t="shared" si="76"/>
        <v>560409</v>
      </c>
      <c r="G237" s="51">
        <f t="shared" si="77"/>
        <v>274097</v>
      </c>
      <c r="H237" s="52">
        <f t="shared" si="78"/>
        <v>286312</v>
      </c>
      <c r="I237" s="61">
        <f t="shared" si="82"/>
        <v>232166</v>
      </c>
      <c r="J237" s="52">
        <f t="shared" si="79"/>
        <v>246208</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
      <c r="A238" s="30" t="s">
        <v>78</v>
      </c>
      <c r="B238" s="1" t="s">
        <v>304</v>
      </c>
      <c r="C238" s="29" t="str">
        <f t="shared" si="83"/>
        <v>LA England - Burnley</v>
      </c>
      <c r="D238" s="50">
        <f t="shared" si="74"/>
        <v>39867</v>
      </c>
      <c r="E238" s="50">
        <f t="shared" si="75"/>
        <v>41310</v>
      </c>
      <c r="F238" s="51">
        <f t="shared" si="76"/>
        <v>95553</v>
      </c>
      <c r="G238" s="51">
        <f t="shared" si="77"/>
        <v>47238</v>
      </c>
      <c r="H238" s="52">
        <f t="shared" si="78"/>
        <v>48315</v>
      </c>
      <c r="I238" s="61">
        <f t="shared" si="82"/>
        <v>39867</v>
      </c>
      <c r="J238" s="52">
        <f t="shared" si="79"/>
        <v>41310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
      <c r="A239" s="30" t="s">
        <v>78</v>
      </c>
      <c r="B239" s="1" t="s">
        <v>305</v>
      </c>
      <c r="C239" s="29" t="str">
        <f t="shared" si="83"/>
        <v>LA England - Bury</v>
      </c>
      <c r="D239" s="50">
        <f t="shared" si="74"/>
        <v>81000</v>
      </c>
      <c r="E239" s="50">
        <f t="shared" si="75"/>
        <v>85029</v>
      </c>
      <c r="F239" s="51">
        <f t="shared" si="76"/>
        <v>194606</v>
      </c>
      <c r="G239" s="51">
        <f t="shared" si="77"/>
        <v>95665</v>
      </c>
      <c r="H239" s="52">
        <f t="shared" si="78"/>
        <v>98941</v>
      </c>
      <c r="I239" s="61">
        <f t="shared" si="82"/>
        <v>81000</v>
      </c>
      <c r="J239" s="52">
        <f t="shared" si="79"/>
        <v>85029</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
      <c r="A240" s="30" t="s">
        <v>78</v>
      </c>
      <c r="B240" s="1" t="s">
        <v>306</v>
      </c>
      <c r="C240" s="29" t="str">
        <f t="shared" si="83"/>
        <v>LA England - Calderdale</v>
      </c>
      <c r="D240" s="50">
        <f t="shared" si="74"/>
        <v>86580</v>
      </c>
      <c r="E240" s="50">
        <f t="shared" si="75"/>
        <v>91980</v>
      </c>
      <c r="F240" s="51">
        <f t="shared" si="76"/>
        <v>207699</v>
      </c>
      <c r="G240" s="51">
        <f t="shared" si="77"/>
        <v>101550</v>
      </c>
      <c r="H240" s="52">
        <f t="shared" si="78"/>
        <v>106149</v>
      </c>
      <c r="I240" s="61">
        <f t="shared" si="82"/>
        <v>86580</v>
      </c>
      <c r="J240" s="52">
        <f t="shared" si="79"/>
        <v>91980</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
      <c r="A241" s="30" t="s">
        <v>78</v>
      </c>
      <c r="B241" s="1" t="s">
        <v>307</v>
      </c>
      <c r="C241" s="29" t="str">
        <f t="shared" si="83"/>
        <v>LA England - Cambridge</v>
      </c>
      <c r="D241" s="50">
        <f t="shared" si="74"/>
        <v>65613</v>
      </c>
      <c r="E241" s="50">
        <f t="shared" si="75"/>
        <v>65614</v>
      </c>
      <c r="F241" s="51">
        <f t="shared" si="76"/>
        <v>146995</v>
      </c>
      <c r="G241" s="51">
        <f t="shared" si="77"/>
        <v>73731</v>
      </c>
      <c r="H241" s="52">
        <f t="shared" si="78"/>
        <v>73264</v>
      </c>
      <c r="I241" s="61">
        <f t="shared" si="82"/>
        <v>65613</v>
      </c>
      <c r="J241" s="52">
        <f t="shared" si="79"/>
        <v>65614</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
      <c r="A242" s="30" t="s">
        <v>78</v>
      </c>
      <c r="B242" s="1" t="s">
        <v>308</v>
      </c>
      <c r="C242" s="29" t="str">
        <f t="shared" si="83"/>
        <v>LA England - Camden</v>
      </c>
      <c r="D242" s="50">
        <f t="shared" si="74"/>
        <v>90183</v>
      </c>
      <c r="E242" s="50">
        <f t="shared" si="75"/>
        <v>104095</v>
      </c>
      <c r="F242" s="51">
        <f t="shared" si="76"/>
        <v>218049</v>
      </c>
      <c r="G242" s="51">
        <f t="shared" si="77"/>
        <v>102201</v>
      </c>
      <c r="H242" s="52">
        <f t="shared" si="78"/>
        <v>115848</v>
      </c>
      <c r="I242" s="61">
        <f t="shared" si="82"/>
        <v>90183</v>
      </c>
      <c r="J242" s="52">
        <f t="shared" si="79"/>
        <v>104095</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
      <c r="A243" s="30" t="s">
        <v>78</v>
      </c>
      <c r="B243" s="1" t="s">
        <v>309</v>
      </c>
      <c r="C243" s="29" t="str">
        <f t="shared" si="83"/>
        <v>LA England - Cannock Chase</v>
      </c>
      <c r="D243" s="50">
        <f t="shared" si="74"/>
        <v>42847</v>
      </c>
      <c r="E243" s="50">
        <f t="shared" si="75"/>
        <v>44722</v>
      </c>
      <c r="F243" s="51">
        <f t="shared" si="76"/>
        <v>101140</v>
      </c>
      <c r="G243" s="51">
        <f t="shared" si="77"/>
        <v>49797</v>
      </c>
      <c r="H243" s="52">
        <f t="shared" si="78"/>
        <v>51343</v>
      </c>
      <c r="I243" s="61">
        <f t="shared" si="82"/>
        <v>42847</v>
      </c>
      <c r="J243" s="52">
        <f t="shared" si="79"/>
        <v>44722</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
      <c r="A244" s="30" t="s">
        <v>78</v>
      </c>
      <c r="B244" s="1" t="s">
        <v>310</v>
      </c>
      <c r="C244" s="29" t="str">
        <f t="shared" si="83"/>
        <v>LA England - Canterbury</v>
      </c>
      <c r="D244" s="50">
        <f t="shared" si="74"/>
        <v>66559</v>
      </c>
      <c r="E244" s="50">
        <f t="shared" si="75"/>
        <v>72937</v>
      </c>
      <c r="F244" s="51">
        <f t="shared" si="76"/>
        <v>157550</v>
      </c>
      <c r="G244" s="51">
        <f t="shared" si="77"/>
        <v>75880</v>
      </c>
      <c r="H244" s="52">
        <f t="shared" si="78"/>
        <v>81670</v>
      </c>
      <c r="I244" s="61">
        <f t="shared" si="82"/>
        <v>66559</v>
      </c>
      <c r="J244" s="52">
        <f t="shared" si="79"/>
        <v>72937</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
      <c r="A245" s="30" t="s">
        <v>78</v>
      </c>
      <c r="B245" s="1" t="s">
        <v>311</v>
      </c>
      <c r="C245" s="29" t="str">
        <f t="shared" si="83"/>
        <v>LA England - Castle Point</v>
      </c>
      <c r="D245" s="50">
        <f t="shared" si="74"/>
        <v>37709</v>
      </c>
      <c r="E245" s="50">
        <f t="shared" si="75"/>
        <v>40833</v>
      </c>
      <c r="F245" s="51">
        <f t="shared" si="76"/>
        <v>89731</v>
      </c>
      <c r="G245" s="51">
        <f t="shared" si="77"/>
        <v>43479</v>
      </c>
      <c r="H245" s="52">
        <f t="shared" si="78"/>
        <v>46252</v>
      </c>
      <c r="I245" s="61">
        <f t="shared" si="82"/>
        <v>37709</v>
      </c>
      <c r="J245" s="52">
        <f t="shared" si="79"/>
        <v>40833</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
      <c r="A246" s="30" t="s">
        <v>78</v>
      </c>
      <c r="B246" s="1" t="s">
        <v>312</v>
      </c>
      <c r="C246" s="29" t="str">
        <f t="shared" si="83"/>
        <v>LA England - Central Bedfordshire</v>
      </c>
      <c r="D246" s="50">
        <f t="shared" si="74"/>
        <v>125435</v>
      </c>
      <c r="E246" s="50">
        <f t="shared" si="75"/>
        <v>131155</v>
      </c>
      <c r="F246" s="51">
        <f t="shared" si="76"/>
        <v>301501</v>
      </c>
      <c r="G246" s="51">
        <f t="shared" si="77"/>
        <v>148473</v>
      </c>
      <c r="H246" s="52">
        <f t="shared" si="78"/>
        <v>153028</v>
      </c>
      <c r="I246" s="61">
        <f t="shared" si="82"/>
        <v>125435</v>
      </c>
      <c r="J246" s="52">
        <f t="shared" si="79"/>
        <v>131155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
      <c r="A247" s="30" t="s">
        <v>78</v>
      </c>
      <c r="B247" s="1" t="s">
        <v>313</v>
      </c>
      <c r="C247" s="29" t="str">
        <f t="shared" si="83"/>
        <v>LA England - Charnwood</v>
      </c>
      <c r="D247" s="50">
        <f t="shared" si="74"/>
        <v>80816</v>
      </c>
      <c r="E247" s="50">
        <f t="shared" si="75"/>
        <v>80852</v>
      </c>
      <c r="F247" s="51">
        <f t="shared" si="76"/>
        <v>184748</v>
      </c>
      <c r="G247" s="51">
        <f t="shared" si="77"/>
        <v>92694</v>
      </c>
      <c r="H247" s="52">
        <f t="shared" si="78"/>
        <v>92054</v>
      </c>
      <c r="I247" s="61">
        <f t="shared" si="82"/>
        <v>80816</v>
      </c>
      <c r="J247" s="52">
        <f t="shared" si="79"/>
        <v>80852</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
      <c r="A248" s="30" t="s">
        <v>78</v>
      </c>
      <c r="B248" s="1" t="s">
        <v>314</v>
      </c>
      <c r="C248" s="29" t="str">
        <f t="shared" si="83"/>
        <v>LA England - Chelmsford</v>
      </c>
      <c r="D248" s="50">
        <f t="shared" si="74"/>
        <v>76660</v>
      </c>
      <c r="E248" s="50">
        <f t="shared" si="75"/>
        <v>81133</v>
      </c>
      <c r="F248" s="51">
        <f t="shared" si="76"/>
        <v>183326</v>
      </c>
      <c r="G248" s="51">
        <f t="shared" si="77"/>
        <v>89765</v>
      </c>
      <c r="H248" s="52">
        <f t="shared" si="78"/>
        <v>93561</v>
      </c>
      <c r="I248" s="61">
        <f t="shared" si="82"/>
        <v>76660</v>
      </c>
      <c r="J248" s="52">
        <f t="shared" si="79"/>
        <v>81133</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
      <c r="A249" s="30" t="s">
        <v>78</v>
      </c>
      <c r="B249" s="1" t="s">
        <v>315</v>
      </c>
      <c r="C249" s="29" t="str">
        <f t="shared" si="83"/>
        <v>LA England - Cheltenham</v>
      </c>
      <c r="D249" s="50">
        <f t="shared" si="74"/>
        <v>50841</v>
      </c>
      <c r="E249" s="50">
        <f t="shared" si="75"/>
        <v>53635</v>
      </c>
      <c r="F249" s="51">
        <f t="shared" si="76"/>
        <v>119434</v>
      </c>
      <c r="G249" s="51">
        <f t="shared" si="77"/>
        <v>58454</v>
      </c>
      <c r="H249" s="52">
        <f t="shared" si="78"/>
        <v>60980</v>
      </c>
      <c r="I249" s="61">
        <f t="shared" si="82"/>
        <v>50841</v>
      </c>
      <c r="J249" s="52">
        <f t="shared" si="79"/>
        <v>53635</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
      <c r="A250" s="30" t="s">
        <v>78</v>
      </c>
      <c r="B250" s="1" t="s">
        <v>316</v>
      </c>
      <c r="C250" s="29" t="str">
        <f t="shared" si="83"/>
        <v>LA England - Cherwell</v>
      </c>
      <c r="D250" s="50">
        <f t="shared" si="74"/>
        <v>69389</v>
      </c>
      <c r="E250" s="50">
        <f t="shared" si="75"/>
        <v>71501</v>
      </c>
      <c r="F250" s="51">
        <f t="shared" si="76"/>
        <v>164155</v>
      </c>
      <c r="G250" s="51">
        <f t="shared" si="77"/>
        <v>81428</v>
      </c>
      <c r="H250" s="52">
        <f t="shared" si="78"/>
        <v>82727</v>
      </c>
      <c r="I250" s="61">
        <f t="shared" si="82"/>
        <v>69389</v>
      </c>
      <c r="J250" s="52">
        <f t="shared" si="79"/>
        <v>71501</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
      <c r="A251" s="30" t="s">
        <v>78</v>
      </c>
      <c r="B251" s="1" t="s">
        <v>317</v>
      </c>
      <c r="C251" s="29" t="str">
        <f t="shared" si="83"/>
        <v>LA England - Cheshire East</v>
      </c>
      <c r="D251" s="50">
        <f t="shared" si="74"/>
        <v>172241</v>
      </c>
      <c r="E251" s="50">
        <f t="shared" si="75"/>
        <v>181796</v>
      </c>
      <c r="F251" s="51">
        <f t="shared" si="76"/>
        <v>406527</v>
      </c>
      <c r="G251" s="51">
        <f t="shared" si="77"/>
        <v>199222</v>
      </c>
      <c r="H251" s="52">
        <f t="shared" si="78"/>
        <v>207305</v>
      </c>
      <c r="I251" s="61">
        <f t="shared" si="82"/>
        <v>172241</v>
      </c>
      <c r="J251" s="52">
        <f t="shared" si="79"/>
        <v>181796</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
      <c r="A252" s="30" t="s">
        <v>78</v>
      </c>
      <c r="B252" s="1" t="s">
        <v>318</v>
      </c>
      <c r="C252" s="29" t="str">
        <f t="shared" si="83"/>
        <v>LA England - Cheshire West and Chester</v>
      </c>
      <c r="D252" s="50">
        <f t="shared" si="74"/>
        <v>153300</v>
      </c>
      <c r="E252" s="50">
        <f t="shared" si="75"/>
        <v>162388</v>
      </c>
      <c r="F252" s="51">
        <f t="shared" si="76"/>
        <v>361694</v>
      </c>
      <c r="G252" s="51">
        <f t="shared" si="77"/>
        <v>176807</v>
      </c>
      <c r="H252" s="52">
        <f t="shared" si="78"/>
        <v>184887</v>
      </c>
      <c r="I252" s="61">
        <f t="shared" si="82"/>
        <v>153300</v>
      </c>
      <c r="J252" s="52">
        <f t="shared" si="79"/>
        <v>162388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
      <c r="A253" s="30" t="s">
        <v>78</v>
      </c>
      <c r="B253" s="1" t="s">
        <v>319</v>
      </c>
      <c r="C253" s="29" t="str">
        <f t="shared" si="83"/>
        <v>LA England - Chesterfield</v>
      </c>
      <c r="D253" s="50">
        <f t="shared" si="74"/>
        <v>44606</v>
      </c>
      <c r="E253" s="50">
        <f t="shared" si="75"/>
        <v>46603</v>
      </c>
      <c r="F253" s="51">
        <f t="shared" si="76"/>
        <v>104110</v>
      </c>
      <c r="G253" s="51">
        <f t="shared" si="77"/>
        <v>51153</v>
      </c>
      <c r="H253" s="52">
        <f t="shared" si="78"/>
        <v>52957</v>
      </c>
      <c r="I253" s="61">
        <f t="shared" si="82"/>
        <v>44606</v>
      </c>
      <c r="J253" s="52">
        <f t="shared" si="79"/>
        <v>46603</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
      <c r="A254" s="30" t="s">
        <v>78</v>
      </c>
      <c r="B254" s="1" t="s">
        <v>320</v>
      </c>
      <c r="C254" s="29" t="str">
        <f t="shared" si="83"/>
        <v>LA England - Chichester</v>
      </c>
      <c r="D254" s="50">
        <f t="shared" si="74"/>
        <v>53092</v>
      </c>
      <c r="E254" s="50">
        <f t="shared" si="75"/>
        <v>58715</v>
      </c>
      <c r="F254" s="51">
        <f t="shared" si="76"/>
        <v>126103</v>
      </c>
      <c r="G254" s="51">
        <f t="shared" si="77"/>
        <v>60354</v>
      </c>
      <c r="H254" s="52">
        <f t="shared" si="78"/>
        <v>65749</v>
      </c>
      <c r="I254" s="61">
        <f t="shared" si="82"/>
        <v>53092</v>
      </c>
      <c r="J254" s="52">
        <f t="shared" si="79"/>
        <v>58715</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
      <c r="A255" s="30" t="s">
        <v>78</v>
      </c>
      <c r="B255" s="1" t="s">
        <v>321</v>
      </c>
      <c r="C255" s="29" t="str">
        <f t="shared" si="83"/>
        <v>LA England - Chorley</v>
      </c>
      <c r="D255" s="50">
        <f t="shared" si="74"/>
        <v>51086</v>
      </c>
      <c r="E255" s="50">
        <f t="shared" si="75"/>
        <v>51847</v>
      </c>
      <c r="F255" s="51">
        <f t="shared" si="76"/>
        <v>118624</v>
      </c>
      <c r="G255" s="51">
        <f t="shared" si="77"/>
        <v>59153</v>
      </c>
      <c r="H255" s="52">
        <f t="shared" si="78"/>
        <v>59471</v>
      </c>
      <c r="I255" s="61">
        <f t="shared" si="82"/>
        <v>51086</v>
      </c>
      <c r="J255" s="52">
        <f t="shared" si="79"/>
        <v>51847</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
      <c r="A256" s="30" t="s">
        <v>78</v>
      </c>
      <c r="B256" s="1" t="s">
        <v>322</v>
      </c>
      <c r="C256" s="29" t="str">
        <f t="shared" si="83"/>
        <v>LA England - City of London</v>
      </c>
      <c r="D256" s="50">
        <f t="shared" si="74"/>
        <v>5849</v>
      </c>
      <c r="E256" s="50">
        <f t="shared" si="75"/>
        <v>4581</v>
      </c>
      <c r="F256" s="51">
        <f t="shared" si="76"/>
        <v>10847</v>
      </c>
      <c r="G256" s="51">
        <f t="shared" si="77"/>
        <v>6061</v>
      </c>
      <c r="H256" s="52">
        <f t="shared" si="78"/>
        <v>4786</v>
      </c>
      <c r="I256" s="61">
        <f t="shared" si="82"/>
        <v>5849</v>
      </c>
      <c r="J256" s="52">
        <f t="shared" si="79"/>
        <v>4581</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
      <c r="A257" s="30" t="s">
        <v>78</v>
      </c>
      <c r="B257" s="1" t="s">
        <v>323</v>
      </c>
      <c r="C257" s="29" t="str">
        <f t="shared" si="83"/>
        <v>LA England - Colchester</v>
      </c>
      <c r="D257" s="50">
        <f t="shared" si="74"/>
        <v>81115</v>
      </c>
      <c r="E257" s="50">
        <f t="shared" si="75"/>
        <v>85651</v>
      </c>
      <c r="F257" s="51">
        <f t="shared" si="76"/>
        <v>194394</v>
      </c>
      <c r="G257" s="51">
        <f t="shared" si="77"/>
        <v>95293</v>
      </c>
      <c r="H257" s="52">
        <f t="shared" si="78"/>
        <v>99101</v>
      </c>
      <c r="I257" s="61">
        <f t="shared" si="82"/>
        <v>81115</v>
      </c>
      <c r="J257" s="52">
        <f t="shared" si="79"/>
        <v>85651</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
      <c r="A258" s="30" t="s">
        <v>78</v>
      </c>
      <c r="B258" s="1" t="s">
        <v>324</v>
      </c>
      <c r="C258" s="29" t="str">
        <f t="shared" si="83"/>
        <v>LA England - Cornwall</v>
      </c>
      <c r="D258" s="50">
        <f t="shared" si="74"/>
        <v>244291</v>
      </c>
      <c r="E258" s="50">
        <f t="shared" si="75"/>
        <v>262913</v>
      </c>
      <c r="F258" s="51">
        <f t="shared" si="76"/>
        <v>575413</v>
      </c>
      <c r="G258" s="51">
        <f t="shared" si="77"/>
        <v>279238</v>
      </c>
      <c r="H258" s="52">
        <f t="shared" si="78"/>
        <v>296175</v>
      </c>
      <c r="I258" s="61">
        <f t="shared" si="82"/>
        <v>244291</v>
      </c>
      <c r="J258" s="52">
        <f t="shared" si="79"/>
        <v>262913</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
      <c r="A259" s="30" t="s">
        <v>78</v>
      </c>
      <c r="B259" s="1" t="s">
        <v>325</v>
      </c>
      <c r="C259" s="29" t="str">
        <f t="shared" si="83"/>
        <v>LA England - Cotswold</v>
      </c>
      <c r="D259" s="50">
        <f t="shared" si="74"/>
        <v>38568</v>
      </c>
      <c r="E259" s="50">
        <f t="shared" si="75"/>
        <v>42147</v>
      </c>
      <c r="F259" s="51">
        <f t="shared" si="76"/>
        <v>91311</v>
      </c>
      <c r="G259" s="51">
        <f t="shared" si="77"/>
        <v>43939</v>
      </c>
      <c r="H259" s="52">
        <f t="shared" si="78"/>
        <v>47372</v>
      </c>
      <c r="I259" s="61">
        <f t="shared" si="82"/>
        <v>38568</v>
      </c>
      <c r="J259" s="52">
        <f t="shared" si="79"/>
        <v>42147</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
      <c r="A260" s="30" t="s">
        <v>78</v>
      </c>
      <c r="B260" s="1" t="s">
        <v>326</v>
      </c>
      <c r="C260" s="29" t="str">
        <f t="shared" si="83"/>
        <v>LA England - County Durham</v>
      </c>
      <c r="D260" s="50">
        <f t="shared" si="74"/>
        <v>224558</v>
      </c>
      <c r="E260" s="50">
        <f t="shared" si="75"/>
        <v>239164</v>
      </c>
      <c r="F260" s="51">
        <f t="shared" si="76"/>
        <v>528127</v>
      </c>
      <c r="G260" s="51">
        <f t="shared" si="77"/>
        <v>257850</v>
      </c>
      <c r="H260" s="52">
        <f t="shared" si="78"/>
        <v>270277</v>
      </c>
      <c r="I260" s="61">
        <f t="shared" si="82"/>
        <v>224558</v>
      </c>
      <c r="J260" s="52">
        <f t="shared" si="79"/>
        <v>239164</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
      <c r="A261" s="30" t="s">
        <v>78</v>
      </c>
      <c r="B261" s="1" t="s">
        <v>327</v>
      </c>
      <c r="C261" s="29" t="str">
        <f t="shared" si="83"/>
        <v>LA England - Coventry</v>
      </c>
      <c r="D261" s="50">
        <f t="shared" si="74"/>
        <v>151527</v>
      </c>
      <c r="E261" s="50">
        <f t="shared" si="75"/>
        <v>151240</v>
      </c>
      <c r="F261" s="51">
        <f t="shared" si="76"/>
        <v>355600</v>
      </c>
      <c r="G261" s="51">
        <f t="shared" si="77"/>
        <v>178537</v>
      </c>
      <c r="H261" s="52">
        <f t="shared" si="78"/>
        <v>177063</v>
      </c>
      <c r="I261" s="61">
        <f t="shared" si="82"/>
        <v>151527</v>
      </c>
      <c r="J261" s="52">
        <f t="shared" si="79"/>
        <v>151240</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
      <c r="A262" s="30" t="s">
        <v>78</v>
      </c>
      <c r="B262" s="1" t="s">
        <v>328</v>
      </c>
      <c r="C262" s="29" t="str">
        <f t="shared" si="83"/>
        <v>LA England - Crawley</v>
      </c>
      <c r="D262" s="50">
        <f t="shared" si="74"/>
        <v>49616</v>
      </c>
      <c r="E262" s="50">
        <f t="shared" si="75"/>
        <v>50633</v>
      </c>
      <c r="F262" s="51">
        <f t="shared" si="76"/>
        <v>119509</v>
      </c>
      <c r="G262" s="51">
        <f t="shared" si="77"/>
        <v>59616</v>
      </c>
      <c r="H262" s="52">
        <f t="shared" si="78"/>
        <v>59893</v>
      </c>
      <c r="I262" s="61">
        <f t="shared" si="82"/>
        <v>49616</v>
      </c>
      <c r="J262" s="52">
        <f t="shared" si="79"/>
        <v>50633</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
      <c r="A263" s="30" t="s">
        <v>78</v>
      </c>
      <c r="B263" s="1" t="s">
        <v>329</v>
      </c>
      <c r="C263" s="29" t="str">
        <f t="shared" si="83"/>
        <v>LA England - Croydon</v>
      </c>
      <c r="D263" s="50">
        <f t="shared" si="74"/>
        <v>158419</v>
      </c>
      <c r="E263" s="50">
        <f t="shared" si="75"/>
        <v>173986</v>
      </c>
      <c r="F263" s="51">
        <f t="shared" si="76"/>
        <v>392224</v>
      </c>
      <c r="G263" s="51">
        <f t="shared" si="77"/>
        <v>188728</v>
      </c>
      <c r="H263" s="52">
        <f t="shared" si="78"/>
        <v>203496</v>
      </c>
      <c r="I263" s="61">
        <f t="shared" si="82"/>
        <v>158419</v>
      </c>
      <c r="J263" s="52">
        <f t="shared" si="79"/>
        <v>173986</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
      <c r="A264" s="30" t="s">
        <v>78</v>
      </c>
      <c r="B264" s="1" t="s">
        <v>330</v>
      </c>
      <c r="C264" s="29" t="str">
        <f t="shared" si="83"/>
        <v>LA England - Cumberland</v>
      </c>
      <c r="D264" s="50">
        <f t="shared" si="74"/>
        <v>118378</v>
      </c>
      <c r="E264" s="50">
        <f t="shared" si="75"/>
        <v>123511</v>
      </c>
      <c r="F264" s="51">
        <f t="shared" si="76"/>
        <v>275390</v>
      </c>
      <c r="G264" s="51">
        <f t="shared" si="77"/>
        <v>135396</v>
      </c>
      <c r="H264" s="52">
        <f t="shared" si="78"/>
        <v>139994</v>
      </c>
      <c r="I264" s="61">
        <f t="shared" si="82"/>
        <v>118378</v>
      </c>
      <c r="J264" s="52">
        <f t="shared" si="79"/>
        <v>123511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
      <c r="A265" s="30" t="s">
        <v>78</v>
      </c>
      <c r="B265" s="1" t="s">
        <v>331</v>
      </c>
      <c r="C265" s="29" t="str">
        <f t="shared" si="83"/>
        <v>LA England - Dacorum</v>
      </c>
      <c r="D265" s="50">
        <f t="shared" si="74"/>
        <v>64598</v>
      </c>
      <c r="E265" s="50">
        <f t="shared" si="75"/>
        <v>67953</v>
      </c>
      <c r="F265" s="51">
        <f t="shared" si="76"/>
        <v>156123</v>
      </c>
      <c r="G265" s="51">
        <f t="shared" si="77"/>
        <v>76670</v>
      </c>
      <c r="H265" s="52">
        <f t="shared" si="78"/>
        <v>79453</v>
      </c>
      <c r="I265" s="61">
        <f t="shared" si="82"/>
        <v>64598</v>
      </c>
      <c r="J265" s="52">
        <f t="shared" ref="J265:J328" si="84">SUM(DL265:GL265)</f>
        <v>67953</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
      <c r="A266" s="30" t="s">
        <v>78</v>
      </c>
      <c r="B266" s="1" t="s">
        <v>332</v>
      </c>
      <c r="C266" s="29" t="str">
        <f t="shared" si="83"/>
        <v>LA England - Darlington</v>
      </c>
      <c r="D266" s="50">
        <f t="shared" ref="D266:D329" si="85">I266</f>
        <v>46238</v>
      </c>
      <c r="E266" s="50">
        <f t="shared" ref="E266:E329" si="86">J266</f>
        <v>48777</v>
      </c>
      <c r="F266" s="51">
        <f t="shared" ref="F266:F329" si="87">G266+H266</f>
        <v>109469</v>
      </c>
      <c r="G266" s="51">
        <f t="shared" ref="G266:G329" si="88">SUM(M266:CY266)</f>
        <v>53627</v>
      </c>
      <c r="H266" s="52">
        <f t="shared" ref="H266:H329" si="89">SUM(CZ266:GL266)</f>
        <v>55842</v>
      </c>
      <c r="I266" s="61">
        <f t="shared" ref="I266:I329" si="90">SUM(Y266:CY266)</f>
        <v>46238</v>
      </c>
      <c r="J266" s="52">
        <f t="shared" si="84"/>
        <v>48777</v>
      </c>
      <c r="K266" s="49">
        <f t="shared" ref="K266:K329" si="91">SUM(M266:AD266)</f>
        <v>11476</v>
      </c>
      <c r="L266" s="50">
        <f t="shared" ref="L266:L329" si="92">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
      <c r="A267" s="30" t="s">
        <v>78</v>
      </c>
      <c r="B267" s="1" t="s">
        <v>333</v>
      </c>
      <c r="C267" s="29" t="str">
        <f t="shared" si="83"/>
        <v>LA England - Dartford</v>
      </c>
      <c r="D267" s="50">
        <f t="shared" si="85"/>
        <v>47504</v>
      </c>
      <c r="E267" s="50">
        <f t="shared" si="86"/>
        <v>50888</v>
      </c>
      <c r="F267" s="51">
        <f t="shared" si="87"/>
        <v>118820</v>
      </c>
      <c r="G267" s="51">
        <f t="shared" si="88"/>
        <v>58067</v>
      </c>
      <c r="H267" s="52">
        <f t="shared" si="89"/>
        <v>60753</v>
      </c>
      <c r="I267" s="61">
        <f t="shared" si="90"/>
        <v>47504</v>
      </c>
      <c r="J267" s="52">
        <f t="shared" si="84"/>
        <v>50888</v>
      </c>
      <c r="K267" s="49">
        <f t="shared" si="91"/>
        <v>15395</v>
      </c>
      <c r="L267" s="50">
        <f t="shared" si="92"/>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
      <c r="A268" s="30" t="s">
        <v>78</v>
      </c>
      <c r="B268" s="1" t="s">
        <v>334</v>
      </c>
      <c r="C268" s="29" t="str">
        <f t="shared" ref="C268:C331" si="93">CONCATENATE(A268," - ",B268)</f>
        <v>LA England - Derby</v>
      </c>
      <c r="D268" s="50">
        <f t="shared" si="85"/>
        <v>110963</v>
      </c>
      <c r="E268" s="50">
        <f t="shared" si="86"/>
        <v>113329</v>
      </c>
      <c r="F268" s="51">
        <f t="shared" si="87"/>
        <v>263490</v>
      </c>
      <c r="G268" s="51">
        <f t="shared" si="88"/>
        <v>130912</v>
      </c>
      <c r="H268" s="52">
        <f t="shared" si="89"/>
        <v>132578</v>
      </c>
      <c r="I268" s="61">
        <f t="shared" si="90"/>
        <v>110963</v>
      </c>
      <c r="J268" s="52">
        <f t="shared" si="84"/>
        <v>113329</v>
      </c>
      <c r="K268" s="49">
        <f t="shared" si="91"/>
        <v>30389</v>
      </c>
      <c r="L268" s="50">
        <f t="shared" si="92"/>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
      <c r="A269" s="30" t="s">
        <v>78</v>
      </c>
      <c r="B269" s="1" t="s">
        <v>335</v>
      </c>
      <c r="C269" s="29" t="str">
        <f t="shared" si="93"/>
        <v>LA England - Derbyshire Dales</v>
      </c>
      <c r="D269" s="50">
        <f t="shared" si="85"/>
        <v>31360</v>
      </c>
      <c r="E269" s="50">
        <f t="shared" si="86"/>
        <v>33047</v>
      </c>
      <c r="F269" s="51">
        <f t="shared" si="87"/>
        <v>71752</v>
      </c>
      <c r="G269" s="51">
        <f t="shared" si="88"/>
        <v>35013</v>
      </c>
      <c r="H269" s="52">
        <f t="shared" si="89"/>
        <v>36739</v>
      </c>
      <c r="I269" s="61">
        <f t="shared" si="90"/>
        <v>31360</v>
      </c>
      <c r="J269" s="52">
        <f t="shared" si="84"/>
        <v>33047</v>
      </c>
      <c r="K269" s="49">
        <f t="shared" si="91"/>
        <v>5983</v>
      </c>
      <c r="L269" s="50">
        <f t="shared" si="92"/>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
      <c r="A270" s="30" t="s">
        <v>78</v>
      </c>
      <c r="B270" s="1" t="s">
        <v>336</v>
      </c>
      <c r="C270" s="29" t="str">
        <f t="shared" si="93"/>
        <v>LA England - Doncaster</v>
      </c>
      <c r="D270" s="50">
        <f t="shared" si="85"/>
        <v>132351</v>
      </c>
      <c r="E270" s="50">
        <f t="shared" si="86"/>
        <v>135648</v>
      </c>
      <c r="F270" s="51">
        <f t="shared" si="87"/>
        <v>311027</v>
      </c>
      <c r="G270" s="51">
        <f t="shared" si="88"/>
        <v>154552</v>
      </c>
      <c r="H270" s="52">
        <f t="shared" si="89"/>
        <v>156475</v>
      </c>
      <c r="I270" s="61">
        <f t="shared" si="90"/>
        <v>132351</v>
      </c>
      <c r="J270" s="52">
        <f t="shared" si="84"/>
        <v>135648</v>
      </c>
      <c r="K270" s="49">
        <f t="shared" si="91"/>
        <v>33440</v>
      </c>
      <c r="L270" s="50">
        <f t="shared" si="92"/>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
      <c r="A271" s="30" t="s">
        <v>78</v>
      </c>
      <c r="B271" s="1" t="s">
        <v>337</v>
      </c>
      <c r="C271" s="29" t="str">
        <f t="shared" si="93"/>
        <v>LA England - Dorset</v>
      </c>
      <c r="D271" s="50">
        <f t="shared" si="85"/>
        <v>165197</v>
      </c>
      <c r="E271" s="50">
        <f t="shared" si="86"/>
        <v>177194</v>
      </c>
      <c r="F271" s="51">
        <f t="shared" si="87"/>
        <v>383274</v>
      </c>
      <c r="G271" s="51">
        <f t="shared" si="88"/>
        <v>186117</v>
      </c>
      <c r="H271" s="52">
        <f t="shared" si="89"/>
        <v>197157</v>
      </c>
      <c r="I271" s="61">
        <f t="shared" si="90"/>
        <v>165197</v>
      </c>
      <c r="J271" s="52">
        <f t="shared" si="84"/>
        <v>177194</v>
      </c>
      <c r="K271" s="49">
        <f t="shared" si="91"/>
        <v>33825</v>
      </c>
      <c r="L271" s="50">
        <f t="shared" si="92"/>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
      <c r="A272" s="30" t="s">
        <v>78</v>
      </c>
      <c r="B272" s="1" t="s">
        <v>338</v>
      </c>
      <c r="C272" s="29" t="str">
        <f t="shared" si="93"/>
        <v>LA England - Dover</v>
      </c>
      <c r="D272" s="50">
        <f t="shared" si="85"/>
        <v>49595</v>
      </c>
      <c r="E272" s="50">
        <f t="shared" si="86"/>
        <v>52952</v>
      </c>
      <c r="F272" s="51">
        <f t="shared" si="87"/>
        <v>117473</v>
      </c>
      <c r="G272" s="51">
        <f t="shared" si="88"/>
        <v>57217</v>
      </c>
      <c r="H272" s="52">
        <f t="shared" si="89"/>
        <v>60256</v>
      </c>
      <c r="I272" s="61">
        <f t="shared" si="90"/>
        <v>49595</v>
      </c>
      <c r="J272" s="52">
        <f t="shared" si="84"/>
        <v>52952</v>
      </c>
      <c r="K272" s="49">
        <f t="shared" si="91"/>
        <v>11780</v>
      </c>
      <c r="L272" s="50">
        <f t="shared" si="92"/>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
      <c r="A273" s="30" t="s">
        <v>78</v>
      </c>
      <c r="B273" s="1" t="s">
        <v>339</v>
      </c>
      <c r="C273" s="29" t="str">
        <f t="shared" si="93"/>
        <v>LA England - Dudley</v>
      </c>
      <c r="D273" s="50">
        <f t="shared" si="85"/>
        <v>136269</v>
      </c>
      <c r="E273" s="50">
        <f t="shared" si="86"/>
        <v>142690</v>
      </c>
      <c r="F273" s="51">
        <f t="shared" si="87"/>
        <v>324969</v>
      </c>
      <c r="G273" s="51">
        <f t="shared" si="88"/>
        <v>159772</v>
      </c>
      <c r="H273" s="52">
        <f t="shared" si="89"/>
        <v>165197</v>
      </c>
      <c r="I273" s="61">
        <f t="shared" si="90"/>
        <v>136269</v>
      </c>
      <c r="J273" s="52">
        <f t="shared" si="84"/>
        <v>142690</v>
      </c>
      <c r="K273" s="49">
        <f t="shared" si="91"/>
        <v>35310</v>
      </c>
      <c r="L273" s="50">
        <f t="shared" si="92"/>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
      <c r="A274" s="30" t="s">
        <v>78</v>
      </c>
      <c r="B274" s="1" t="s">
        <v>340</v>
      </c>
      <c r="C274" s="29" t="str">
        <f t="shared" si="93"/>
        <v>LA England - Ealing</v>
      </c>
      <c r="D274" s="50">
        <f t="shared" si="85"/>
        <v>155789</v>
      </c>
      <c r="E274" s="50">
        <f t="shared" si="86"/>
        <v>161718</v>
      </c>
      <c r="F274" s="51">
        <f t="shared" si="87"/>
        <v>369937</v>
      </c>
      <c r="G274" s="51">
        <f t="shared" si="88"/>
        <v>182643</v>
      </c>
      <c r="H274" s="52">
        <f t="shared" si="89"/>
        <v>187294</v>
      </c>
      <c r="I274" s="61">
        <f t="shared" si="90"/>
        <v>155789</v>
      </c>
      <c r="J274" s="52">
        <f t="shared" si="84"/>
        <v>161718</v>
      </c>
      <c r="K274" s="49">
        <f t="shared" si="91"/>
        <v>41250</v>
      </c>
      <c r="L274" s="50">
        <f t="shared" si="92"/>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
      <c r="A275" s="30" t="s">
        <v>78</v>
      </c>
      <c r="B275" s="1" t="s">
        <v>341</v>
      </c>
      <c r="C275" s="29" t="str">
        <f t="shared" si="93"/>
        <v>LA England - East Cambridgeshire</v>
      </c>
      <c r="D275" s="50">
        <f t="shared" si="85"/>
        <v>37724</v>
      </c>
      <c r="E275" s="50">
        <f t="shared" si="86"/>
        <v>39651</v>
      </c>
      <c r="F275" s="51">
        <f t="shared" si="87"/>
        <v>89394</v>
      </c>
      <c r="G275" s="51">
        <f t="shared" si="88"/>
        <v>43858</v>
      </c>
      <c r="H275" s="52">
        <f t="shared" si="89"/>
        <v>45536</v>
      </c>
      <c r="I275" s="61">
        <f t="shared" si="90"/>
        <v>37724</v>
      </c>
      <c r="J275" s="52">
        <f t="shared" si="84"/>
        <v>39651</v>
      </c>
      <c r="K275" s="49">
        <f t="shared" si="91"/>
        <v>9457</v>
      </c>
      <c r="L275" s="50">
        <f t="shared" si="92"/>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
      <c r="A276" s="30" t="s">
        <v>78</v>
      </c>
      <c r="B276" s="1" t="s">
        <v>342</v>
      </c>
      <c r="C276" s="29" t="str">
        <f t="shared" si="93"/>
        <v>LA England - East Devon</v>
      </c>
      <c r="D276" s="50">
        <f t="shared" si="85"/>
        <v>65383</v>
      </c>
      <c r="E276" s="50">
        <f t="shared" si="86"/>
        <v>71343</v>
      </c>
      <c r="F276" s="51">
        <f t="shared" si="87"/>
        <v>154500</v>
      </c>
      <c r="G276" s="51">
        <f t="shared" si="88"/>
        <v>74554</v>
      </c>
      <c r="H276" s="52">
        <f t="shared" si="89"/>
        <v>79946</v>
      </c>
      <c r="I276" s="61">
        <f t="shared" si="90"/>
        <v>65383</v>
      </c>
      <c r="J276" s="52">
        <f t="shared" si="84"/>
        <v>71343</v>
      </c>
      <c r="K276" s="49">
        <f t="shared" si="91"/>
        <v>13985</v>
      </c>
      <c r="L276" s="50">
        <f t="shared" si="92"/>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
      <c r="A277" s="30" t="s">
        <v>78</v>
      </c>
      <c r="B277" s="1" t="s">
        <v>343</v>
      </c>
      <c r="C277" s="29" t="str">
        <f t="shared" si="93"/>
        <v>LA England - East Hampshire</v>
      </c>
      <c r="D277" s="50">
        <f t="shared" si="85"/>
        <v>53638</v>
      </c>
      <c r="E277" s="50">
        <f t="shared" si="86"/>
        <v>57674</v>
      </c>
      <c r="F277" s="51">
        <f t="shared" si="87"/>
        <v>127319</v>
      </c>
      <c r="G277" s="51">
        <f t="shared" si="88"/>
        <v>61855</v>
      </c>
      <c r="H277" s="52">
        <f t="shared" si="89"/>
        <v>65464</v>
      </c>
      <c r="I277" s="61">
        <f t="shared" si="90"/>
        <v>53638</v>
      </c>
      <c r="J277" s="52">
        <f t="shared" si="84"/>
        <v>57674</v>
      </c>
      <c r="K277" s="49">
        <f t="shared" si="91"/>
        <v>12858</v>
      </c>
      <c r="L277" s="50">
        <f t="shared" si="92"/>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
      <c r="A278" s="30" t="s">
        <v>78</v>
      </c>
      <c r="B278" s="1" t="s">
        <v>344</v>
      </c>
      <c r="C278" s="29" t="str">
        <f t="shared" si="93"/>
        <v>LA England - East Hertfordshire</v>
      </c>
      <c r="D278" s="50">
        <f t="shared" si="85"/>
        <v>63148</v>
      </c>
      <c r="E278" s="50">
        <f t="shared" si="86"/>
        <v>67293</v>
      </c>
      <c r="F278" s="51">
        <f t="shared" si="87"/>
        <v>151635</v>
      </c>
      <c r="G278" s="51">
        <f t="shared" si="88"/>
        <v>74063</v>
      </c>
      <c r="H278" s="52">
        <f t="shared" si="89"/>
        <v>77572</v>
      </c>
      <c r="I278" s="61">
        <f t="shared" si="90"/>
        <v>63148</v>
      </c>
      <c r="J278" s="52">
        <f t="shared" si="84"/>
        <v>67293</v>
      </c>
      <c r="K278" s="49">
        <f t="shared" si="91"/>
        <v>16921</v>
      </c>
      <c r="L278" s="50">
        <f t="shared" si="92"/>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
      <c r="A279" s="30" t="s">
        <v>78</v>
      </c>
      <c r="B279" s="1" t="s">
        <v>345</v>
      </c>
      <c r="C279" s="29" t="str">
        <f t="shared" si="93"/>
        <v>LA England - East Lindsey</v>
      </c>
      <c r="D279" s="50">
        <f t="shared" si="85"/>
        <v>62970</v>
      </c>
      <c r="E279" s="50">
        <f t="shared" si="86"/>
        <v>66458</v>
      </c>
      <c r="F279" s="51">
        <f t="shared" si="87"/>
        <v>144415</v>
      </c>
      <c r="G279" s="51">
        <f t="shared" si="88"/>
        <v>70629</v>
      </c>
      <c r="H279" s="52">
        <f t="shared" si="89"/>
        <v>73786</v>
      </c>
      <c r="I279" s="61">
        <f t="shared" si="90"/>
        <v>62970</v>
      </c>
      <c r="J279" s="52">
        <f t="shared" si="84"/>
        <v>66458</v>
      </c>
      <c r="K279" s="49">
        <f t="shared" si="91"/>
        <v>12015</v>
      </c>
      <c r="L279" s="50">
        <f t="shared" si="92"/>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
      <c r="A280" s="30" t="s">
        <v>78</v>
      </c>
      <c r="B280" s="1" t="s">
        <v>346</v>
      </c>
      <c r="C280" s="29" t="str">
        <f t="shared" si="93"/>
        <v>LA England - East Riding of Yorkshire</v>
      </c>
      <c r="D280" s="50">
        <f t="shared" si="85"/>
        <v>149043</v>
      </c>
      <c r="E280" s="50">
        <f t="shared" si="86"/>
        <v>157706</v>
      </c>
      <c r="F280" s="51">
        <f t="shared" si="87"/>
        <v>346309</v>
      </c>
      <c r="G280" s="51">
        <f t="shared" si="88"/>
        <v>169714</v>
      </c>
      <c r="H280" s="52">
        <f t="shared" si="89"/>
        <v>176595</v>
      </c>
      <c r="I280" s="61">
        <f t="shared" si="90"/>
        <v>149043</v>
      </c>
      <c r="J280" s="52">
        <f t="shared" si="84"/>
        <v>157706</v>
      </c>
      <c r="K280" s="49">
        <f t="shared" si="91"/>
        <v>32031</v>
      </c>
      <c r="L280" s="50">
        <f t="shared" si="92"/>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
      <c r="A281" s="30" t="s">
        <v>78</v>
      </c>
      <c r="B281" s="1" t="s">
        <v>347</v>
      </c>
      <c r="C281" s="29" t="str">
        <f t="shared" si="93"/>
        <v>LA England - East Staffordshire</v>
      </c>
      <c r="D281" s="50">
        <f t="shared" si="85"/>
        <v>53683</v>
      </c>
      <c r="E281" s="50">
        <f t="shared" si="86"/>
        <v>54303</v>
      </c>
      <c r="F281" s="51">
        <f t="shared" si="87"/>
        <v>125760</v>
      </c>
      <c r="G281" s="51">
        <f t="shared" si="88"/>
        <v>62858</v>
      </c>
      <c r="H281" s="52">
        <f t="shared" si="89"/>
        <v>62902</v>
      </c>
      <c r="I281" s="61">
        <f t="shared" si="90"/>
        <v>53683</v>
      </c>
      <c r="J281" s="52">
        <f t="shared" si="84"/>
        <v>54303</v>
      </c>
      <c r="K281" s="49">
        <f t="shared" si="91"/>
        <v>13823</v>
      </c>
      <c r="L281" s="50">
        <f t="shared" si="92"/>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
      <c r="A282" s="30" t="s">
        <v>78</v>
      </c>
      <c r="B282" s="1" t="s">
        <v>348</v>
      </c>
      <c r="C282" s="29" t="str">
        <f t="shared" si="93"/>
        <v>LA England - East Suffolk</v>
      </c>
      <c r="D282" s="50">
        <f t="shared" si="85"/>
        <v>106256</v>
      </c>
      <c r="E282" s="50">
        <f t="shared" si="86"/>
        <v>112749</v>
      </c>
      <c r="F282" s="51">
        <f t="shared" si="87"/>
        <v>247080</v>
      </c>
      <c r="G282" s="51">
        <f t="shared" si="88"/>
        <v>120575</v>
      </c>
      <c r="H282" s="52">
        <f t="shared" si="89"/>
        <v>126505</v>
      </c>
      <c r="I282" s="61">
        <f t="shared" si="90"/>
        <v>106256</v>
      </c>
      <c r="J282" s="52">
        <f t="shared" si="84"/>
        <v>112749</v>
      </c>
      <c r="K282" s="49">
        <f t="shared" si="91"/>
        <v>22626</v>
      </c>
      <c r="L282" s="50">
        <f t="shared" si="92"/>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
      <c r="A283" s="30" t="s">
        <v>78</v>
      </c>
      <c r="B283" s="1" t="s">
        <v>349</v>
      </c>
      <c r="C283" s="29" t="str">
        <f t="shared" si="93"/>
        <v>LA England - Eastbourne</v>
      </c>
      <c r="D283" s="50">
        <f t="shared" si="85"/>
        <v>42625</v>
      </c>
      <c r="E283" s="50">
        <f t="shared" si="86"/>
        <v>47265</v>
      </c>
      <c r="F283" s="51">
        <f t="shared" si="87"/>
        <v>102247</v>
      </c>
      <c r="G283" s="51">
        <f t="shared" si="88"/>
        <v>48882</v>
      </c>
      <c r="H283" s="52">
        <f t="shared" si="89"/>
        <v>53365</v>
      </c>
      <c r="I283" s="61">
        <f t="shared" si="90"/>
        <v>42625</v>
      </c>
      <c r="J283" s="52">
        <f t="shared" si="84"/>
        <v>47265</v>
      </c>
      <c r="K283" s="49">
        <f t="shared" si="91"/>
        <v>10004</v>
      </c>
      <c r="L283" s="50">
        <f t="shared" si="92"/>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
      <c r="A284" s="30" t="s">
        <v>78</v>
      </c>
      <c r="B284" s="1" t="s">
        <v>350</v>
      </c>
      <c r="C284" s="29" t="str">
        <f t="shared" si="93"/>
        <v>LA England - Eastleigh</v>
      </c>
      <c r="D284" s="50">
        <f t="shared" si="85"/>
        <v>57993</v>
      </c>
      <c r="E284" s="50">
        <f t="shared" si="86"/>
        <v>61292</v>
      </c>
      <c r="F284" s="51">
        <f t="shared" si="87"/>
        <v>138935</v>
      </c>
      <c r="G284" s="51">
        <f t="shared" si="88"/>
        <v>68002</v>
      </c>
      <c r="H284" s="52">
        <f t="shared" si="89"/>
        <v>70933</v>
      </c>
      <c r="I284" s="61">
        <f t="shared" si="90"/>
        <v>57993</v>
      </c>
      <c r="J284" s="52">
        <f t="shared" si="84"/>
        <v>61292</v>
      </c>
      <c r="K284" s="49">
        <f t="shared" si="91"/>
        <v>15146</v>
      </c>
      <c r="L284" s="50">
        <f t="shared" si="92"/>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
      <c r="A285" s="30" t="s">
        <v>78</v>
      </c>
      <c r="B285" s="1" t="s">
        <v>351</v>
      </c>
      <c r="C285" s="29" t="str">
        <f t="shared" si="93"/>
        <v>LA England - Elmbridge</v>
      </c>
      <c r="D285" s="50">
        <f t="shared" si="85"/>
        <v>56521</v>
      </c>
      <c r="E285" s="50">
        <f t="shared" si="86"/>
        <v>61476</v>
      </c>
      <c r="F285" s="51">
        <f t="shared" si="87"/>
        <v>140024</v>
      </c>
      <c r="G285" s="51">
        <f t="shared" si="88"/>
        <v>67751</v>
      </c>
      <c r="H285" s="52">
        <f t="shared" si="89"/>
        <v>72273</v>
      </c>
      <c r="I285" s="61">
        <f t="shared" si="90"/>
        <v>56521</v>
      </c>
      <c r="J285" s="52">
        <f t="shared" si="84"/>
        <v>61476</v>
      </c>
      <c r="K285" s="49">
        <f t="shared" si="91"/>
        <v>17175</v>
      </c>
      <c r="L285" s="50">
        <f t="shared" si="92"/>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
      <c r="A286" s="30" t="s">
        <v>78</v>
      </c>
      <c r="B286" s="1" t="s">
        <v>352</v>
      </c>
      <c r="C286" s="29" t="str">
        <f t="shared" si="93"/>
        <v>LA England - Enfield</v>
      </c>
      <c r="D286" s="50">
        <f t="shared" si="85"/>
        <v>129552</v>
      </c>
      <c r="E286" s="50">
        <f t="shared" si="86"/>
        <v>145375</v>
      </c>
      <c r="F286" s="51">
        <f t="shared" si="87"/>
        <v>327224</v>
      </c>
      <c r="G286" s="51">
        <f t="shared" si="88"/>
        <v>156122</v>
      </c>
      <c r="H286" s="52">
        <f t="shared" si="89"/>
        <v>171102</v>
      </c>
      <c r="I286" s="61">
        <f t="shared" si="90"/>
        <v>129552</v>
      </c>
      <c r="J286" s="52">
        <f t="shared" si="84"/>
        <v>145375</v>
      </c>
      <c r="K286" s="49">
        <f t="shared" si="91"/>
        <v>41384</v>
      </c>
      <c r="L286" s="50">
        <f t="shared" si="92"/>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
      <c r="A287" s="30" t="s">
        <v>78</v>
      </c>
      <c r="B287" s="1" t="s">
        <v>353</v>
      </c>
      <c r="C287" s="29" t="str">
        <f t="shared" si="93"/>
        <v>LA England - Epping Forest</v>
      </c>
      <c r="D287" s="50">
        <f t="shared" si="85"/>
        <v>55796</v>
      </c>
      <c r="E287" s="50">
        <f t="shared" si="86"/>
        <v>60431</v>
      </c>
      <c r="F287" s="51">
        <f t="shared" si="87"/>
        <v>134989</v>
      </c>
      <c r="G287" s="51">
        <f t="shared" si="88"/>
        <v>65377</v>
      </c>
      <c r="H287" s="52">
        <f t="shared" si="89"/>
        <v>69612</v>
      </c>
      <c r="I287" s="61">
        <f t="shared" si="90"/>
        <v>55796</v>
      </c>
      <c r="J287" s="52">
        <f t="shared" si="84"/>
        <v>60431</v>
      </c>
      <c r="K287" s="49">
        <f t="shared" si="91"/>
        <v>14464</v>
      </c>
      <c r="L287" s="50">
        <f t="shared" si="92"/>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
      <c r="A288" s="30" t="s">
        <v>78</v>
      </c>
      <c r="B288" s="1" t="s">
        <v>354</v>
      </c>
      <c r="C288" s="29" t="str">
        <f t="shared" si="93"/>
        <v>LA England - Epsom and Ewell</v>
      </c>
      <c r="D288" s="50">
        <f t="shared" si="85"/>
        <v>33153</v>
      </c>
      <c r="E288" s="50">
        <f t="shared" si="86"/>
        <v>35923</v>
      </c>
      <c r="F288" s="51">
        <f t="shared" si="87"/>
        <v>81184</v>
      </c>
      <c r="G288" s="51">
        <f t="shared" si="88"/>
        <v>39349</v>
      </c>
      <c r="H288" s="52">
        <f t="shared" si="89"/>
        <v>41835</v>
      </c>
      <c r="I288" s="61">
        <f t="shared" si="90"/>
        <v>33153</v>
      </c>
      <c r="J288" s="52">
        <f t="shared" si="84"/>
        <v>35923</v>
      </c>
      <c r="K288" s="49">
        <f t="shared" si="91"/>
        <v>9600</v>
      </c>
      <c r="L288" s="50">
        <f t="shared" si="92"/>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
      <c r="A289" s="30" t="s">
        <v>78</v>
      </c>
      <c r="B289" s="1" t="s">
        <v>355</v>
      </c>
      <c r="C289" s="29" t="str">
        <f t="shared" si="93"/>
        <v>LA England - Erewash</v>
      </c>
      <c r="D289" s="50">
        <f t="shared" si="85"/>
        <v>48137</v>
      </c>
      <c r="E289" s="50">
        <f t="shared" si="86"/>
        <v>50661</v>
      </c>
      <c r="F289" s="51">
        <f t="shared" si="87"/>
        <v>113080</v>
      </c>
      <c r="G289" s="51">
        <f t="shared" si="88"/>
        <v>55544</v>
      </c>
      <c r="H289" s="52">
        <f t="shared" si="89"/>
        <v>57536</v>
      </c>
      <c r="I289" s="61">
        <f t="shared" si="90"/>
        <v>48137</v>
      </c>
      <c r="J289" s="52">
        <f t="shared" si="84"/>
        <v>50661</v>
      </c>
      <c r="K289" s="49">
        <f t="shared" si="91"/>
        <v>11328</v>
      </c>
      <c r="L289" s="50">
        <f t="shared" si="92"/>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
      <c r="A290" s="30" t="s">
        <v>78</v>
      </c>
      <c r="B290" s="1" t="s">
        <v>356</v>
      </c>
      <c r="C290" s="29" t="str">
        <f t="shared" si="93"/>
        <v>LA England - Exeter</v>
      </c>
      <c r="D290" s="50">
        <f t="shared" si="85"/>
        <v>58447</v>
      </c>
      <c r="E290" s="50">
        <f t="shared" si="86"/>
        <v>61882</v>
      </c>
      <c r="F290" s="51">
        <f t="shared" si="87"/>
        <v>134939</v>
      </c>
      <c r="G290" s="51">
        <f t="shared" si="88"/>
        <v>65979</v>
      </c>
      <c r="H290" s="52">
        <f t="shared" si="89"/>
        <v>68960</v>
      </c>
      <c r="I290" s="61">
        <f t="shared" si="90"/>
        <v>58447</v>
      </c>
      <c r="J290" s="52">
        <f t="shared" si="84"/>
        <v>61882</v>
      </c>
      <c r="K290" s="49">
        <f t="shared" si="91"/>
        <v>11335</v>
      </c>
      <c r="L290" s="50">
        <f t="shared" si="92"/>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
      <c r="A291" s="30" t="s">
        <v>78</v>
      </c>
      <c r="B291" s="1" t="s">
        <v>357</v>
      </c>
      <c r="C291" s="29" t="str">
        <f t="shared" si="93"/>
        <v>LA England - Fareham</v>
      </c>
      <c r="D291" s="50">
        <f t="shared" si="85"/>
        <v>48978</v>
      </c>
      <c r="E291" s="50">
        <f t="shared" si="86"/>
        <v>51923</v>
      </c>
      <c r="F291" s="51">
        <f t="shared" si="87"/>
        <v>114547</v>
      </c>
      <c r="G291" s="51">
        <f t="shared" si="88"/>
        <v>55913</v>
      </c>
      <c r="H291" s="52">
        <f t="shared" si="89"/>
        <v>58634</v>
      </c>
      <c r="I291" s="61">
        <f t="shared" si="90"/>
        <v>48978</v>
      </c>
      <c r="J291" s="52">
        <f t="shared" si="84"/>
        <v>51923</v>
      </c>
      <c r="K291" s="49">
        <f t="shared" si="91"/>
        <v>10708</v>
      </c>
      <c r="L291" s="50">
        <f t="shared" si="92"/>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
      <c r="A292" s="30" t="s">
        <v>78</v>
      </c>
      <c r="B292" s="1" t="s">
        <v>358</v>
      </c>
      <c r="C292" s="29" t="str">
        <f t="shared" si="93"/>
        <v>LA England - Fenland</v>
      </c>
      <c r="D292" s="50">
        <f t="shared" si="85"/>
        <v>43538</v>
      </c>
      <c r="E292" s="50">
        <f t="shared" si="86"/>
        <v>46130</v>
      </c>
      <c r="F292" s="51">
        <f t="shared" si="87"/>
        <v>103035</v>
      </c>
      <c r="G292" s="51">
        <f t="shared" si="88"/>
        <v>50391</v>
      </c>
      <c r="H292" s="52">
        <f t="shared" si="89"/>
        <v>52644</v>
      </c>
      <c r="I292" s="61">
        <f t="shared" si="90"/>
        <v>43538</v>
      </c>
      <c r="J292" s="52">
        <f t="shared" si="84"/>
        <v>46130</v>
      </c>
      <c r="K292" s="49">
        <f t="shared" si="91"/>
        <v>10259</v>
      </c>
      <c r="L292" s="50">
        <f t="shared" si="92"/>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
      <c r="A293" s="30" t="s">
        <v>78</v>
      </c>
      <c r="B293" s="1" t="s">
        <v>359</v>
      </c>
      <c r="C293" s="29" t="str">
        <f t="shared" si="93"/>
        <v>LA England - Folkestone and Hythe</v>
      </c>
      <c r="D293" s="50">
        <f t="shared" si="85"/>
        <v>46927</v>
      </c>
      <c r="E293" s="50">
        <f t="shared" si="86"/>
        <v>50069</v>
      </c>
      <c r="F293" s="51">
        <f t="shared" si="87"/>
        <v>110237</v>
      </c>
      <c r="G293" s="51">
        <f t="shared" si="88"/>
        <v>53700</v>
      </c>
      <c r="H293" s="52">
        <f t="shared" si="89"/>
        <v>56537</v>
      </c>
      <c r="I293" s="61">
        <f t="shared" si="90"/>
        <v>46927</v>
      </c>
      <c r="J293" s="52">
        <f t="shared" si="84"/>
        <v>50069</v>
      </c>
      <c r="K293" s="49">
        <f t="shared" si="91"/>
        <v>10527</v>
      </c>
      <c r="L293" s="50">
        <f t="shared" si="92"/>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
      <c r="A294" s="30" t="s">
        <v>78</v>
      </c>
      <c r="B294" s="1" t="s">
        <v>360</v>
      </c>
      <c r="C294" s="29" t="str">
        <f t="shared" si="93"/>
        <v>LA England - Forest of Dean</v>
      </c>
      <c r="D294" s="50">
        <f t="shared" si="85"/>
        <v>37840</v>
      </c>
      <c r="E294" s="50">
        <f t="shared" si="86"/>
        <v>39714</v>
      </c>
      <c r="F294" s="51">
        <f t="shared" si="87"/>
        <v>87937</v>
      </c>
      <c r="G294" s="51">
        <f t="shared" si="88"/>
        <v>43131</v>
      </c>
      <c r="H294" s="52">
        <f t="shared" si="89"/>
        <v>44806</v>
      </c>
      <c r="I294" s="61">
        <f t="shared" si="90"/>
        <v>37840</v>
      </c>
      <c r="J294" s="52">
        <f t="shared" si="84"/>
        <v>39714</v>
      </c>
      <c r="K294" s="49">
        <f t="shared" si="91"/>
        <v>8112</v>
      </c>
      <c r="L294" s="50">
        <f t="shared" si="92"/>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
      <c r="A295" s="30" t="s">
        <v>78</v>
      </c>
      <c r="B295" s="1" t="s">
        <v>361</v>
      </c>
      <c r="C295" s="29" t="str">
        <f t="shared" si="93"/>
        <v>LA England - Fylde</v>
      </c>
      <c r="D295" s="50">
        <f t="shared" si="85"/>
        <v>36089</v>
      </c>
      <c r="E295" s="50">
        <f t="shared" si="86"/>
        <v>37970</v>
      </c>
      <c r="F295" s="51">
        <f t="shared" si="87"/>
        <v>83008</v>
      </c>
      <c r="G295" s="51">
        <f t="shared" si="88"/>
        <v>40611</v>
      </c>
      <c r="H295" s="52">
        <f t="shared" si="89"/>
        <v>42397</v>
      </c>
      <c r="I295" s="61">
        <f t="shared" si="90"/>
        <v>36089</v>
      </c>
      <c r="J295" s="52">
        <f t="shared" si="84"/>
        <v>37970</v>
      </c>
      <c r="K295" s="49">
        <f t="shared" si="91"/>
        <v>7066</v>
      </c>
      <c r="L295" s="50">
        <f t="shared" si="92"/>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
      <c r="A296" s="30" t="s">
        <v>78</v>
      </c>
      <c r="B296" s="1" t="s">
        <v>362</v>
      </c>
      <c r="C296" s="29" t="str">
        <f t="shared" si="93"/>
        <v>LA England - Gateshead</v>
      </c>
      <c r="D296" s="50">
        <f t="shared" si="85"/>
        <v>84167</v>
      </c>
      <c r="E296" s="50">
        <f t="shared" si="86"/>
        <v>87717</v>
      </c>
      <c r="F296" s="51">
        <f t="shared" si="87"/>
        <v>197722</v>
      </c>
      <c r="G296" s="51">
        <f t="shared" si="88"/>
        <v>97281</v>
      </c>
      <c r="H296" s="52">
        <f t="shared" si="89"/>
        <v>100441</v>
      </c>
      <c r="I296" s="61">
        <f t="shared" si="90"/>
        <v>84167</v>
      </c>
      <c r="J296" s="52">
        <f t="shared" si="84"/>
        <v>87717</v>
      </c>
      <c r="K296" s="49">
        <f t="shared" si="91"/>
        <v>19929</v>
      </c>
      <c r="L296" s="50">
        <f t="shared" si="92"/>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
      <c r="A297" s="30" t="s">
        <v>78</v>
      </c>
      <c r="B297" s="1" t="s">
        <v>363</v>
      </c>
      <c r="C297" s="29" t="str">
        <f t="shared" si="93"/>
        <v>LA England - Gedling</v>
      </c>
      <c r="D297" s="50">
        <f t="shared" si="85"/>
        <v>49355</v>
      </c>
      <c r="E297" s="50">
        <f t="shared" si="86"/>
        <v>53083</v>
      </c>
      <c r="F297" s="51">
        <f t="shared" si="87"/>
        <v>117730</v>
      </c>
      <c r="G297" s="51">
        <f t="shared" si="88"/>
        <v>57091</v>
      </c>
      <c r="H297" s="52">
        <f t="shared" si="89"/>
        <v>60639</v>
      </c>
      <c r="I297" s="61">
        <f t="shared" si="90"/>
        <v>49355</v>
      </c>
      <c r="J297" s="52">
        <f t="shared" si="84"/>
        <v>53083</v>
      </c>
      <c r="K297" s="49">
        <f t="shared" si="91"/>
        <v>11918</v>
      </c>
      <c r="L297" s="50">
        <f t="shared" si="92"/>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
      <c r="A298" s="30" t="s">
        <v>78</v>
      </c>
      <c r="B298" s="1" t="s">
        <v>364</v>
      </c>
      <c r="C298" s="29" t="str">
        <f t="shared" si="93"/>
        <v>LA England - Gloucester</v>
      </c>
      <c r="D298" s="50">
        <f t="shared" si="85"/>
        <v>56336</v>
      </c>
      <c r="E298" s="50">
        <f t="shared" si="86"/>
        <v>58105</v>
      </c>
      <c r="F298" s="51">
        <f t="shared" si="87"/>
        <v>133522</v>
      </c>
      <c r="G298" s="51">
        <f t="shared" si="88"/>
        <v>66103</v>
      </c>
      <c r="H298" s="52">
        <f t="shared" si="89"/>
        <v>67419</v>
      </c>
      <c r="I298" s="61">
        <f t="shared" si="90"/>
        <v>56336</v>
      </c>
      <c r="J298" s="52">
        <f t="shared" si="84"/>
        <v>58105</v>
      </c>
      <c r="K298" s="49">
        <f t="shared" si="91"/>
        <v>14778</v>
      </c>
      <c r="L298" s="50">
        <f t="shared" si="92"/>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
      <c r="A299" s="30" t="s">
        <v>78</v>
      </c>
      <c r="B299" s="1" t="s">
        <v>365</v>
      </c>
      <c r="C299" s="29" t="str">
        <f t="shared" si="93"/>
        <v>LA England - Gosport</v>
      </c>
      <c r="D299" s="50">
        <f t="shared" si="85"/>
        <v>34775</v>
      </c>
      <c r="E299" s="50">
        <f t="shared" si="86"/>
        <v>36828</v>
      </c>
      <c r="F299" s="51">
        <f t="shared" si="87"/>
        <v>82285</v>
      </c>
      <c r="G299" s="51">
        <f t="shared" si="88"/>
        <v>40357</v>
      </c>
      <c r="H299" s="52">
        <f t="shared" si="89"/>
        <v>41928</v>
      </c>
      <c r="I299" s="61">
        <f t="shared" si="90"/>
        <v>34775</v>
      </c>
      <c r="J299" s="52">
        <f t="shared" si="84"/>
        <v>36828</v>
      </c>
      <c r="K299" s="49">
        <f t="shared" si="91"/>
        <v>8649</v>
      </c>
      <c r="L299" s="50">
        <f t="shared" si="92"/>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
      <c r="A300" s="30" t="s">
        <v>78</v>
      </c>
      <c r="B300" s="1" t="s">
        <v>366</v>
      </c>
      <c r="C300" s="29" t="str">
        <f t="shared" si="93"/>
        <v>LA England - Gravesham</v>
      </c>
      <c r="D300" s="50">
        <f t="shared" si="85"/>
        <v>43561</v>
      </c>
      <c r="E300" s="50">
        <f t="shared" si="86"/>
        <v>46538</v>
      </c>
      <c r="F300" s="51">
        <f t="shared" si="87"/>
        <v>106970</v>
      </c>
      <c r="G300" s="51">
        <f t="shared" si="88"/>
        <v>52155</v>
      </c>
      <c r="H300" s="52">
        <f t="shared" si="89"/>
        <v>54815</v>
      </c>
      <c r="I300" s="61">
        <f t="shared" si="90"/>
        <v>43561</v>
      </c>
      <c r="J300" s="52">
        <f t="shared" si="84"/>
        <v>46538</v>
      </c>
      <c r="K300" s="49">
        <f t="shared" si="91"/>
        <v>12920</v>
      </c>
      <c r="L300" s="50">
        <f t="shared" si="92"/>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
      <c r="A301" s="30" t="s">
        <v>78</v>
      </c>
      <c r="B301" s="1" t="s">
        <v>367</v>
      </c>
      <c r="C301" s="29" t="str">
        <f t="shared" si="93"/>
        <v>LA England - Great Yarmouth</v>
      </c>
      <c r="D301" s="50">
        <f t="shared" si="85"/>
        <v>42321</v>
      </c>
      <c r="E301" s="50">
        <f t="shared" si="86"/>
        <v>45107</v>
      </c>
      <c r="F301" s="51">
        <f t="shared" si="87"/>
        <v>99862</v>
      </c>
      <c r="G301" s="51">
        <f t="shared" si="88"/>
        <v>48741</v>
      </c>
      <c r="H301" s="52">
        <f t="shared" si="89"/>
        <v>51121</v>
      </c>
      <c r="I301" s="61">
        <f t="shared" si="90"/>
        <v>42321</v>
      </c>
      <c r="J301" s="52">
        <f t="shared" si="84"/>
        <v>45107</v>
      </c>
      <c r="K301" s="49">
        <f t="shared" si="91"/>
        <v>9842</v>
      </c>
      <c r="L301" s="50">
        <f t="shared" si="92"/>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
      <c r="A302" s="30" t="s">
        <v>78</v>
      </c>
      <c r="B302" s="1" t="s">
        <v>368</v>
      </c>
      <c r="C302" s="29" t="str">
        <f t="shared" si="93"/>
        <v>LA England - Greenwich</v>
      </c>
      <c r="D302" s="50">
        <f t="shared" si="85"/>
        <v>119418</v>
      </c>
      <c r="E302" s="50">
        <f t="shared" si="86"/>
        <v>127129</v>
      </c>
      <c r="F302" s="51">
        <f t="shared" si="87"/>
        <v>291080</v>
      </c>
      <c r="G302" s="51">
        <f t="shared" si="88"/>
        <v>141998</v>
      </c>
      <c r="H302" s="52">
        <f t="shared" si="89"/>
        <v>149082</v>
      </c>
      <c r="I302" s="61">
        <f t="shared" si="90"/>
        <v>119418</v>
      </c>
      <c r="J302" s="52">
        <f t="shared" si="84"/>
        <v>127129</v>
      </c>
      <c r="K302" s="49">
        <f t="shared" si="91"/>
        <v>33329</v>
      </c>
      <c r="L302" s="50">
        <f t="shared" si="92"/>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
      <c r="A303" s="30" t="s">
        <v>78</v>
      </c>
      <c r="B303" s="1" t="s">
        <v>369</v>
      </c>
      <c r="C303" s="29" t="str">
        <f t="shared" si="93"/>
        <v>LA England - Guildford</v>
      </c>
      <c r="D303" s="50">
        <f t="shared" si="85"/>
        <v>62456</v>
      </c>
      <c r="E303" s="50">
        <f t="shared" si="86"/>
        <v>64940</v>
      </c>
      <c r="F303" s="51">
        <f t="shared" si="87"/>
        <v>145673</v>
      </c>
      <c r="G303" s="51">
        <f t="shared" si="88"/>
        <v>71786</v>
      </c>
      <c r="H303" s="52">
        <f t="shared" si="89"/>
        <v>73887</v>
      </c>
      <c r="I303" s="61">
        <f t="shared" si="90"/>
        <v>62456</v>
      </c>
      <c r="J303" s="52">
        <f t="shared" si="84"/>
        <v>64940</v>
      </c>
      <c r="K303" s="49">
        <f t="shared" si="91"/>
        <v>14331</v>
      </c>
      <c r="L303" s="50">
        <f t="shared" si="92"/>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
      <c r="A304" s="30" t="s">
        <v>78</v>
      </c>
      <c r="B304" s="1" t="s">
        <v>370</v>
      </c>
      <c r="C304" s="29" t="str">
        <f t="shared" si="93"/>
        <v>LA England - Hackney</v>
      </c>
      <c r="D304" s="50">
        <f t="shared" si="85"/>
        <v>105762</v>
      </c>
      <c r="E304" s="50">
        <f t="shared" si="86"/>
        <v>118753</v>
      </c>
      <c r="F304" s="51">
        <f t="shared" si="87"/>
        <v>261491</v>
      </c>
      <c r="G304" s="51">
        <f t="shared" si="88"/>
        <v>124628</v>
      </c>
      <c r="H304" s="52">
        <f t="shared" si="89"/>
        <v>136863</v>
      </c>
      <c r="I304" s="61">
        <f t="shared" si="90"/>
        <v>105762</v>
      </c>
      <c r="J304" s="52">
        <f t="shared" si="84"/>
        <v>118753</v>
      </c>
      <c r="K304" s="49">
        <f t="shared" si="91"/>
        <v>28004</v>
      </c>
      <c r="L304" s="50">
        <f t="shared" si="92"/>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
      <c r="A305" s="30" t="s">
        <v>78</v>
      </c>
      <c r="B305" s="1" t="s">
        <v>371</v>
      </c>
      <c r="C305" s="29" t="str">
        <f t="shared" si="93"/>
        <v>LA England - Halton</v>
      </c>
      <c r="D305" s="50">
        <f t="shared" si="85"/>
        <v>54028</v>
      </c>
      <c r="E305" s="50">
        <f t="shared" si="86"/>
        <v>57058</v>
      </c>
      <c r="F305" s="51">
        <f t="shared" si="87"/>
        <v>128964</v>
      </c>
      <c r="G305" s="51">
        <f t="shared" si="88"/>
        <v>63227</v>
      </c>
      <c r="H305" s="52">
        <f t="shared" si="89"/>
        <v>65737</v>
      </c>
      <c r="I305" s="61">
        <f t="shared" si="90"/>
        <v>54028</v>
      </c>
      <c r="J305" s="52">
        <f t="shared" si="84"/>
        <v>57058</v>
      </c>
      <c r="K305" s="49">
        <f t="shared" si="91"/>
        <v>14135</v>
      </c>
      <c r="L305" s="50">
        <f t="shared" si="92"/>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
      <c r="A306" s="30" t="s">
        <v>78</v>
      </c>
      <c r="B306" s="1" t="s">
        <v>372</v>
      </c>
      <c r="C306" s="29" t="str">
        <f t="shared" si="93"/>
        <v>LA England - Hammersmith and Fulham</v>
      </c>
      <c r="D306" s="50">
        <f t="shared" si="85"/>
        <v>75799</v>
      </c>
      <c r="E306" s="50">
        <f t="shared" si="86"/>
        <v>88041</v>
      </c>
      <c r="F306" s="51">
        <f t="shared" si="87"/>
        <v>185238</v>
      </c>
      <c r="G306" s="51">
        <f t="shared" si="88"/>
        <v>86607</v>
      </c>
      <c r="H306" s="52">
        <f t="shared" si="89"/>
        <v>98631</v>
      </c>
      <c r="I306" s="61">
        <f t="shared" si="90"/>
        <v>75799</v>
      </c>
      <c r="J306" s="52">
        <f t="shared" si="84"/>
        <v>88041</v>
      </c>
      <c r="K306" s="49">
        <f t="shared" si="91"/>
        <v>15973</v>
      </c>
      <c r="L306" s="50">
        <f t="shared" si="92"/>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
      <c r="A307" s="30" t="s">
        <v>78</v>
      </c>
      <c r="B307" s="1" t="s">
        <v>373</v>
      </c>
      <c r="C307" s="29" t="str">
        <f t="shared" si="93"/>
        <v>LA England - Harborough</v>
      </c>
      <c r="D307" s="50">
        <f t="shared" si="85"/>
        <v>43093</v>
      </c>
      <c r="E307" s="50">
        <f t="shared" si="86"/>
        <v>44724</v>
      </c>
      <c r="F307" s="51">
        <f t="shared" si="87"/>
        <v>100481</v>
      </c>
      <c r="G307" s="51">
        <f t="shared" si="88"/>
        <v>49592</v>
      </c>
      <c r="H307" s="52">
        <f t="shared" si="89"/>
        <v>50889</v>
      </c>
      <c r="I307" s="61">
        <f t="shared" si="90"/>
        <v>43093</v>
      </c>
      <c r="J307" s="52">
        <f t="shared" si="84"/>
        <v>44724</v>
      </c>
      <c r="K307" s="49">
        <f t="shared" si="91"/>
        <v>10419</v>
      </c>
      <c r="L307" s="50">
        <f t="shared" si="92"/>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
      <c r="A308" s="30" t="s">
        <v>78</v>
      </c>
      <c r="B308" s="1" t="s">
        <v>374</v>
      </c>
      <c r="C308" s="29" t="str">
        <f t="shared" si="93"/>
        <v>LA England - Haringey</v>
      </c>
      <c r="D308" s="50">
        <f t="shared" si="85"/>
        <v>107914</v>
      </c>
      <c r="E308" s="50">
        <f t="shared" si="86"/>
        <v>118404</v>
      </c>
      <c r="F308" s="51">
        <f t="shared" si="87"/>
        <v>261811</v>
      </c>
      <c r="G308" s="51">
        <f t="shared" si="88"/>
        <v>126002</v>
      </c>
      <c r="H308" s="52">
        <f t="shared" si="89"/>
        <v>135809</v>
      </c>
      <c r="I308" s="61">
        <f t="shared" si="90"/>
        <v>107914</v>
      </c>
      <c r="J308" s="52">
        <f t="shared" si="84"/>
        <v>118404</v>
      </c>
      <c r="K308" s="49">
        <f t="shared" si="91"/>
        <v>27362</v>
      </c>
      <c r="L308" s="50">
        <f t="shared" si="92"/>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
      <c r="A309" s="30" t="s">
        <v>78</v>
      </c>
      <c r="B309" s="1" t="s">
        <v>375</v>
      </c>
      <c r="C309" s="29" t="str">
        <f t="shared" si="93"/>
        <v>LA England - Harlow</v>
      </c>
      <c r="D309" s="50">
        <f t="shared" si="85"/>
        <v>37864</v>
      </c>
      <c r="E309" s="50">
        <f t="shared" si="86"/>
        <v>40907</v>
      </c>
      <c r="F309" s="51">
        <f t="shared" si="87"/>
        <v>94409</v>
      </c>
      <c r="G309" s="51">
        <f t="shared" si="88"/>
        <v>45809</v>
      </c>
      <c r="H309" s="52">
        <f t="shared" si="89"/>
        <v>48600</v>
      </c>
      <c r="I309" s="61">
        <f t="shared" si="90"/>
        <v>37864</v>
      </c>
      <c r="J309" s="52">
        <f t="shared" si="84"/>
        <v>40907</v>
      </c>
      <c r="K309" s="49">
        <f t="shared" si="91"/>
        <v>11756</v>
      </c>
      <c r="L309" s="50">
        <f t="shared" si="92"/>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
      <c r="A310" s="30" t="s">
        <v>78</v>
      </c>
      <c r="B310" s="1" t="s">
        <v>376</v>
      </c>
      <c r="C310" s="29" t="str">
        <f t="shared" si="93"/>
        <v>LA England - Harrow</v>
      </c>
      <c r="D310" s="50">
        <f t="shared" si="85"/>
        <v>109299</v>
      </c>
      <c r="E310" s="50">
        <f t="shared" si="86"/>
        <v>113179</v>
      </c>
      <c r="F310" s="51">
        <f t="shared" si="87"/>
        <v>261185</v>
      </c>
      <c r="G310" s="51">
        <f t="shared" si="88"/>
        <v>128948</v>
      </c>
      <c r="H310" s="52">
        <f t="shared" si="89"/>
        <v>132237</v>
      </c>
      <c r="I310" s="61">
        <f t="shared" si="90"/>
        <v>109299</v>
      </c>
      <c r="J310" s="52">
        <f t="shared" si="84"/>
        <v>113179</v>
      </c>
      <c r="K310" s="49">
        <f t="shared" si="91"/>
        <v>30464</v>
      </c>
      <c r="L310" s="50">
        <f t="shared" si="92"/>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
      <c r="A311" s="30" t="s">
        <v>78</v>
      </c>
      <c r="B311" s="1" t="s">
        <v>377</v>
      </c>
      <c r="C311" s="29" t="str">
        <f t="shared" si="93"/>
        <v>LA England - Hart</v>
      </c>
      <c r="D311" s="50">
        <f t="shared" si="85"/>
        <v>42790</v>
      </c>
      <c r="E311" s="50">
        <f t="shared" si="86"/>
        <v>44072</v>
      </c>
      <c r="F311" s="51">
        <f t="shared" si="87"/>
        <v>100910</v>
      </c>
      <c r="G311" s="51">
        <f t="shared" si="88"/>
        <v>49963</v>
      </c>
      <c r="H311" s="52">
        <f t="shared" si="89"/>
        <v>50947</v>
      </c>
      <c r="I311" s="61">
        <f t="shared" si="90"/>
        <v>42790</v>
      </c>
      <c r="J311" s="52">
        <f t="shared" si="84"/>
        <v>44072</v>
      </c>
      <c r="K311" s="49">
        <f t="shared" si="91"/>
        <v>11104</v>
      </c>
      <c r="L311" s="50">
        <f t="shared" si="92"/>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
      <c r="A312" s="30" t="s">
        <v>78</v>
      </c>
      <c r="B312" s="1" t="s">
        <v>378</v>
      </c>
      <c r="C312" s="29" t="str">
        <f t="shared" si="93"/>
        <v>LA England - Hartlepool</v>
      </c>
      <c r="D312" s="50">
        <f t="shared" si="85"/>
        <v>38968</v>
      </c>
      <c r="E312" s="50">
        <f t="shared" si="86"/>
        <v>41944</v>
      </c>
      <c r="F312" s="51">
        <f t="shared" si="87"/>
        <v>93861</v>
      </c>
      <c r="G312" s="51">
        <f t="shared" si="88"/>
        <v>45630</v>
      </c>
      <c r="H312" s="52">
        <f t="shared" si="89"/>
        <v>48231</v>
      </c>
      <c r="I312" s="61">
        <f t="shared" si="90"/>
        <v>38968</v>
      </c>
      <c r="J312" s="52">
        <f t="shared" si="84"/>
        <v>41944</v>
      </c>
      <c r="K312" s="49">
        <f t="shared" si="91"/>
        <v>10310</v>
      </c>
      <c r="L312" s="50">
        <f t="shared" si="92"/>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
      <c r="A313" s="30" t="s">
        <v>78</v>
      </c>
      <c r="B313" s="1" t="s">
        <v>379</v>
      </c>
      <c r="C313" s="29" t="str">
        <f t="shared" si="93"/>
        <v>LA England - Hastings</v>
      </c>
      <c r="D313" s="50">
        <f t="shared" si="85"/>
        <v>37891</v>
      </c>
      <c r="E313" s="50">
        <f t="shared" si="86"/>
        <v>40743</v>
      </c>
      <c r="F313" s="51">
        <f t="shared" si="87"/>
        <v>90622</v>
      </c>
      <c r="G313" s="51">
        <f t="shared" si="88"/>
        <v>44005</v>
      </c>
      <c r="H313" s="52">
        <f t="shared" si="89"/>
        <v>46617</v>
      </c>
      <c r="I313" s="61">
        <f t="shared" si="90"/>
        <v>37891</v>
      </c>
      <c r="J313" s="52">
        <f t="shared" si="84"/>
        <v>40743</v>
      </c>
      <c r="K313" s="49">
        <f t="shared" si="91"/>
        <v>9318</v>
      </c>
      <c r="L313" s="50">
        <f t="shared" si="92"/>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
      <c r="A314" s="30" t="s">
        <v>78</v>
      </c>
      <c r="B314" s="1" t="s">
        <v>380</v>
      </c>
      <c r="C314" s="29" t="str">
        <f t="shared" si="93"/>
        <v>LA England - Havant</v>
      </c>
      <c r="D314" s="50">
        <f t="shared" si="85"/>
        <v>52102</v>
      </c>
      <c r="E314" s="50">
        <f t="shared" si="86"/>
        <v>56852</v>
      </c>
      <c r="F314" s="51">
        <f t="shared" si="87"/>
        <v>124854</v>
      </c>
      <c r="G314" s="51">
        <f t="shared" si="88"/>
        <v>60252</v>
      </c>
      <c r="H314" s="52">
        <f t="shared" si="89"/>
        <v>64602</v>
      </c>
      <c r="I314" s="61">
        <f t="shared" si="90"/>
        <v>52102</v>
      </c>
      <c r="J314" s="52">
        <f t="shared" si="84"/>
        <v>56852</v>
      </c>
      <c r="K314" s="49">
        <f t="shared" si="91"/>
        <v>12390</v>
      </c>
      <c r="L314" s="50">
        <f t="shared" si="92"/>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
      <c r="A315" s="30" t="s">
        <v>78</v>
      </c>
      <c r="B315" s="1" t="s">
        <v>381</v>
      </c>
      <c r="C315" s="29" t="str">
        <f t="shared" si="93"/>
        <v>LA England - Havering</v>
      </c>
      <c r="D315" s="50">
        <f t="shared" si="85"/>
        <v>107133</v>
      </c>
      <c r="E315" s="50">
        <f t="shared" si="86"/>
        <v>116832</v>
      </c>
      <c r="F315" s="51">
        <f t="shared" si="87"/>
        <v>264703</v>
      </c>
      <c r="G315" s="51">
        <f t="shared" si="88"/>
        <v>128043</v>
      </c>
      <c r="H315" s="52">
        <f t="shared" si="89"/>
        <v>136660</v>
      </c>
      <c r="I315" s="61">
        <f t="shared" si="90"/>
        <v>107133</v>
      </c>
      <c r="J315" s="52">
        <f t="shared" si="84"/>
        <v>116832</v>
      </c>
      <c r="K315" s="49">
        <f t="shared" si="91"/>
        <v>30774</v>
      </c>
      <c r="L315" s="50">
        <f t="shared" si="92"/>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
      <c r="A316" s="30" t="s">
        <v>78</v>
      </c>
      <c r="B316" s="1" t="s">
        <v>382</v>
      </c>
      <c r="C316" s="29" t="str">
        <f t="shared" si="93"/>
        <v>LA England - Herefordshire, County of</v>
      </c>
      <c r="D316" s="50">
        <f t="shared" si="85"/>
        <v>81191</v>
      </c>
      <c r="E316" s="50">
        <f t="shared" si="86"/>
        <v>85528</v>
      </c>
      <c r="F316" s="51">
        <f t="shared" si="87"/>
        <v>188719</v>
      </c>
      <c r="G316" s="51">
        <f t="shared" si="88"/>
        <v>92561</v>
      </c>
      <c r="H316" s="52">
        <f t="shared" si="89"/>
        <v>96158</v>
      </c>
      <c r="I316" s="61">
        <f t="shared" si="90"/>
        <v>81191</v>
      </c>
      <c r="J316" s="52">
        <f t="shared" si="84"/>
        <v>85528</v>
      </c>
      <c r="K316" s="49">
        <f t="shared" si="91"/>
        <v>17674</v>
      </c>
      <c r="L316" s="50">
        <f t="shared" si="92"/>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
      <c r="A317" s="30" t="s">
        <v>78</v>
      </c>
      <c r="B317" s="1" t="s">
        <v>383</v>
      </c>
      <c r="C317" s="29" t="str">
        <f t="shared" si="93"/>
        <v>LA England - Hertsmere</v>
      </c>
      <c r="D317" s="50">
        <f t="shared" si="85"/>
        <v>43838</v>
      </c>
      <c r="E317" s="50">
        <f t="shared" si="86"/>
        <v>48379</v>
      </c>
      <c r="F317" s="51">
        <f t="shared" si="87"/>
        <v>108106</v>
      </c>
      <c r="G317" s="51">
        <f t="shared" si="88"/>
        <v>51987</v>
      </c>
      <c r="H317" s="52">
        <f t="shared" si="89"/>
        <v>56119</v>
      </c>
      <c r="I317" s="61">
        <f t="shared" si="90"/>
        <v>43838</v>
      </c>
      <c r="J317" s="52">
        <f t="shared" si="84"/>
        <v>48379</v>
      </c>
      <c r="K317" s="49">
        <f t="shared" si="91"/>
        <v>12475</v>
      </c>
      <c r="L317" s="50">
        <f t="shared" si="92"/>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
      <c r="A318" s="30" t="s">
        <v>78</v>
      </c>
      <c r="B318" s="1" t="s">
        <v>384</v>
      </c>
      <c r="C318" s="29" t="str">
        <f t="shared" si="93"/>
        <v>LA England - High Peak</v>
      </c>
      <c r="D318" s="50">
        <f t="shared" si="85"/>
        <v>39280</v>
      </c>
      <c r="E318" s="50">
        <f t="shared" si="86"/>
        <v>40842</v>
      </c>
      <c r="F318" s="51">
        <f t="shared" si="87"/>
        <v>91109</v>
      </c>
      <c r="G318" s="51">
        <f t="shared" si="88"/>
        <v>44801</v>
      </c>
      <c r="H318" s="52">
        <f t="shared" si="89"/>
        <v>46308</v>
      </c>
      <c r="I318" s="61">
        <f t="shared" si="90"/>
        <v>39280</v>
      </c>
      <c r="J318" s="52">
        <f t="shared" si="84"/>
        <v>40842</v>
      </c>
      <c r="K318" s="49">
        <f t="shared" si="91"/>
        <v>8736</v>
      </c>
      <c r="L318" s="50">
        <f t="shared" si="92"/>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
      <c r="A319" s="30" t="s">
        <v>78</v>
      </c>
      <c r="B319" s="1" t="s">
        <v>385</v>
      </c>
      <c r="C319" s="29" t="str">
        <f t="shared" si="93"/>
        <v>LA England - Hillingdon</v>
      </c>
      <c r="D319" s="50">
        <f t="shared" si="85"/>
        <v>129408</v>
      </c>
      <c r="E319" s="50">
        <f t="shared" si="86"/>
        <v>132300</v>
      </c>
      <c r="F319" s="51">
        <f t="shared" si="87"/>
        <v>310681</v>
      </c>
      <c r="G319" s="51">
        <f t="shared" si="88"/>
        <v>154503</v>
      </c>
      <c r="H319" s="52">
        <f t="shared" si="89"/>
        <v>156178</v>
      </c>
      <c r="I319" s="61">
        <f t="shared" si="90"/>
        <v>129408</v>
      </c>
      <c r="J319" s="52">
        <f t="shared" si="84"/>
        <v>132300</v>
      </c>
      <c r="K319" s="49">
        <f t="shared" si="91"/>
        <v>37134</v>
      </c>
      <c r="L319" s="50">
        <f t="shared" si="92"/>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
      <c r="A320" s="30" t="s">
        <v>78</v>
      </c>
      <c r="B320" s="1" t="s">
        <v>386</v>
      </c>
      <c r="C320" s="29" t="str">
        <f t="shared" si="93"/>
        <v>LA England - Hinckley and Bosworth</v>
      </c>
      <c r="D320" s="50">
        <f t="shared" si="85"/>
        <v>48833</v>
      </c>
      <c r="E320" s="50">
        <f t="shared" si="86"/>
        <v>50738</v>
      </c>
      <c r="F320" s="51">
        <f t="shared" si="87"/>
        <v>114298</v>
      </c>
      <c r="G320" s="51">
        <f t="shared" si="88"/>
        <v>56349</v>
      </c>
      <c r="H320" s="52">
        <f t="shared" si="89"/>
        <v>57949</v>
      </c>
      <c r="I320" s="61">
        <f t="shared" si="90"/>
        <v>48833</v>
      </c>
      <c r="J320" s="52">
        <f t="shared" si="84"/>
        <v>50738</v>
      </c>
      <c r="K320" s="49">
        <f t="shared" si="91"/>
        <v>11524</v>
      </c>
      <c r="L320" s="50">
        <f t="shared" si="92"/>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
      <c r="A321" s="30" t="s">
        <v>78</v>
      </c>
      <c r="B321" s="1" t="s">
        <v>387</v>
      </c>
      <c r="C321" s="29" t="str">
        <f t="shared" si="93"/>
        <v>LA England - Horsham</v>
      </c>
      <c r="D321" s="50">
        <f t="shared" si="85"/>
        <v>62787</v>
      </c>
      <c r="E321" s="50">
        <f t="shared" si="86"/>
        <v>66831</v>
      </c>
      <c r="F321" s="51">
        <f t="shared" si="87"/>
        <v>148696</v>
      </c>
      <c r="G321" s="51">
        <f t="shared" si="88"/>
        <v>72638</v>
      </c>
      <c r="H321" s="52">
        <f t="shared" si="89"/>
        <v>76058</v>
      </c>
      <c r="I321" s="61">
        <f t="shared" si="90"/>
        <v>62787</v>
      </c>
      <c r="J321" s="52">
        <f t="shared" si="84"/>
        <v>66831</v>
      </c>
      <c r="K321" s="49">
        <f t="shared" si="91"/>
        <v>15535</v>
      </c>
      <c r="L321" s="50">
        <f t="shared" si="92"/>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
      <c r="A322" s="30" t="s">
        <v>78</v>
      </c>
      <c r="B322" s="1" t="s">
        <v>388</v>
      </c>
      <c r="C322" s="29" t="str">
        <f t="shared" si="93"/>
        <v>LA England - Hounslow</v>
      </c>
      <c r="D322" s="50">
        <f t="shared" si="85"/>
        <v>122169</v>
      </c>
      <c r="E322" s="50">
        <f t="shared" si="86"/>
        <v>123743</v>
      </c>
      <c r="F322" s="51">
        <f t="shared" si="87"/>
        <v>290488</v>
      </c>
      <c r="G322" s="51">
        <f t="shared" si="88"/>
        <v>145055</v>
      </c>
      <c r="H322" s="52">
        <f t="shared" si="89"/>
        <v>145433</v>
      </c>
      <c r="I322" s="61">
        <f t="shared" si="90"/>
        <v>122169</v>
      </c>
      <c r="J322" s="52">
        <f t="shared" si="84"/>
        <v>123743</v>
      </c>
      <c r="K322" s="49">
        <f t="shared" si="91"/>
        <v>34434</v>
      </c>
      <c r="L322" s="50">
        <f t="shared" si="92"/>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
      <c r="A323" s="30" t="s">
        <v>78</v>
      </c>
      <c r="B323" s="1" t="s">
        <v>389</v>
      </c>
      <c r="C323" s="29" t="str">
        <f t="shared" si="93"/>
        <v>LA England - Huntingdonshire</v>
      </c>
      <c r="D323" s="50">
        <f t="shared" si="85"/>
        <v>78333</v>
      </c>
      <c r="E323" s="50">
        <f t="shared" si="86"/>
        <v>80718</v>
      </c>
      <c r="F323" s="51">
        <f t="shared" si="87"/>
        <v>184052</v>
      </c>
      <c r="G323" s="51">
        <f t="shared" si="88"/>
        <v>91150</v>
      </c>
      <c r="H323" s="52">
        <f t="shared" si="89"/>
        <v>92902</v>
      </c>
      <c r="I323" s="61">
        <f t="shared" si="90"/>
        <v>78333</v>
      </c>
      <c r="J323" s="52">
        <f t="shared" si="84"/>
        <v>80718</v>
      </c>
      <c r="K323" s="49">
        <f t="shared" si="91"/>
        <v>19239</v>
      </c>
      <c r="L323" s="50">
        <f t="shared" si="92"/>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
      <c r="A324" s="30" t="s">
        <v>78</v>
      </c>
      <c r="B324" s="1" t="s">
        <v>390</v>
      </c>
      <c r="C324" s="29" t="str">
        <f t="shared" si="93"/>
        <v>LA England - Hyndburn</v>
      </c>
      <c r="D324" s="50">
        <f t="shared" si="85"/>
        <v>34834</v>
      </c>
      <c r="E324" s="50">
        <f t="shared" si="86"/>
        <v>35979</v>
      </c>
      <c r="F324" s="51">
        <f t="shared" si="87"/>
        <v>83213</v>
      </c>
      <c r="G324" s="51">
        <f t="shared" si="88"/>
        <v>41151</v>
      </c>
      <c r="H324" s="52">
        <f t="shared" si="89"/>
        <v>42062</v>
      </c>
      <c r="I324" s="61">
        <f t="shared" si="90"/>
        <v>34834</v>
      </c>
      <c r="J324" s="52">
        <f t="shared" si="84"/>
        <v>35979</v>
      </c>
      <c r="K324" s="49">
        <f t="shared" si="91"/>
        <v>9639</v>
      </c>
      <c r="L324" s="50">
        <f t="shared" si="92"/>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
      <c r="A325" s="30" t="s">
        <v>78</v>
      </c>
      <c r="B325" s="1" t="s">
        <v>391</v>
      </c>
      <c r="C325" s="29" t="str">
        <f t="shared" si="93"/>
        <v>LA England - Ipswich</v>
      </c>
      <c r="D325" s="50">
        <f t="shared" si="85"/>
        <v>58485</v>
      </c>
      <c r="E325" s="50">
        <f t="shared" si="86"/>
        <v>59933</v>
      </c>
      <c r="F325" s="51">
        <f t="shared" si="87"/>
        <v>139247</v>
      </c>
      <c r="G325" s="51">
        <f t="shared" si="88"/>
        <v>69076</v>
      </c>
      <c r="H325" s="52">
        <f t="shared" si="89"/>
        <v>70171</v>
      </c>
      <c r="I325" s="61">
        <f t="shared" si="90"/>
        <v>58485</v>
      </c>
      <c r="J325" s="52">
        <f t="shared" si="84"/>
        <v>59933</v>
      </c>
      <c r="K325" s="49">
        <f t="shared" si="91"/>
        <v>16005</v>
      </c>
      <c r="L325" s="50">
        <f t="shared" si="92"/>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
      <c r="A326" s="30" t="s">
        <v>78</v>
      </c>
      <c r="B326" s="1" t="s">
        <v>392</v>
      </c>
      <c r="C326" s="29" t="str">
        <f t="shared" si="93"/>
        <v>LA England - Isle of Wight</v>
      </c>
      <c r="D326" s="50">
        <f t="shared" si="85"/>
        <v>60435</v>
      </c>
      <c r="E326" s="50">
        <f t="shared" si="86"/>
        <v>65330</v>
      </c>
      <c r="F326" s="51">
        <f t="shared" si="87"/>
        <v>140794</v>
      </c>
      <c r="G326" s="51">
        <f t="shared" si="88"/>
        <v>68209</v>
      </c>
      <c r="H326" s="52">
        <f t="shared" si="89"/>
        <v>72585</v>
      </c>
      <c r="I326" s="61">
        <f t="shared" si="90"/>
        <v>60435</v>
      </c>
      <c r="J326" s="52">
        <f t="shared" si="84"/>
        <v>65330</v>
      </c>
      <c r="K326" s="49">
        <f t="shared" si="91"/>
        <v>12152</v>
      </c>
      <c r="L326" s="50">
        <f t="shared" si="92"/>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
      <c r="A327" s="30" t="s">
        <v>78</v>
      </c>
      <c r="B327" s="1" t="s">
        <v>393</v>
      </c>
      <c r="C327" s="29" t="str">
        <f t="shared" si="93"/>
        <v>LA England - Isles of Scilly</v>
      </c>
      <c r="D327" s="50">
        <f t="shared" si="85"/>
        <v>997</v>
      </c>
      <c r="E327" s="50">
        <f t="shared" si="86"/>
        <v>1036</v>
      </c>
      <c r="F327" s="51">
        <f t="shared" si="87"/>
        <v>2281</v>
      </c>
      <c r="G327" s="51">
        <f t="shared" si="88"/>
        <v>1123</v>
      </c>
      <c r="H327" s="52">
        <f t="shared" si="89"/>
        <v>1158</v>
      </c>
      <c r="I327" s="61">
        <f t="shared" si="90"/>
        <v>997</v>
      </c>
      <c r="J327" s="52">
        <f t="shared" si="84"/>
        <v>1036</v>
      </c>
      <c r="K327" s="49">
        <f t="shared" si="91"/>
        <v>189</v>
      </c>
      <c r="L327" s="50">
        <f t="shared" si="92"/>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
      <c r="A328" s="30" t="s">
        <v>78</v>
      </c>
      <c r="B328" s="1" t="s">
        <v>394</v>
      </c>
      <c r="C328" s="29" t="str">
        <f t="shared" si="93"/>
        <v>LA England - Islington</v>
      </c>
      <c r="D328" s="50">
        <f t="shared" si="85"/>
        <v>91976</v>
      </c>
      <c r="E328" s="50">
        <f t="shared" si="86"/>
        <v>103641</v>
      </c>
      <c r="F328" s="51">
        <f t="shared" si="87"/>
        <v>220373</v>
      </c>
      <c r="G328" s="51">
        <f t="shared" si="88"/>
        <v>104519</v>
      </c>
      <c r="H328" s="52">
        <f t="shared" si="89"/>
        <v>115854</v>
      </c>
      <c r="I328" s="61">
        <f t="shared" si="90"/>
        <v>91976</v>
      </c>
      <c r="J328" s="52">
        <f t="shared" si="84"/>
        <v>103641</v>
      </c>
      <c r="K328" s="49">
        <f t="shared" si="91"/>
        <v>18360</v>
      </c>
      <c r="L328" s="50">
        <f t="shared" si="92"/>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
      <c r="A329" s="30" t="s">
        <v>78</v>
      </c>
      <c r="B329" s="1" t="s">
        <v>395</v>
      </c>
      <c r="C329" s="29" t="str">
        <f t="shared" si="93"/>
        <v>LA England - Kensington and Chelsea</v>
      </c>
      <c r="D329" s="50">
        <f t="shared" si="85"/>
        <v>60667</v>
      </c>
      <c r="E329" s="50">
        <f t="shared" si="86"/>
        <v>70425</v>
      </c>
      <c r="F329" s="51">
        <f t="shared" si="87"/>
        <v>146154</v>
      </c>
      <c r="G329" s="51">
        <f t="shared" si="88"/>
        <v>68296</v>
      </c>
      <c r="H329" s="52">
        <f t="shared" si="89"/>
        <v>77858</v>
      </c>
      <c r="I329" s="61">
        <f t="shared" si="90"/>
        <v>60667</v>
      </c>
      <c r="J329" s="52">
        <f t="shared" ref="J329:J392" si="94">SUM(DL329:GL329)</f>
        <v>70425</v>
      </c>
      <c r="K329" s="49">
        <f t="shared" si="91"/>
        <v>11371</v>
      </c>
      <c r="L329" s="50">
        <f t="shared" si="92"/>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
      <c r="A330" s="30" t="s">
        <v>78</v>
      </c>
      <c r="B330" s="1" t="s">
        <v>396</v>
      </c>
      <c r="C330" s="29" t="str">
        <f t="shared" si="93"/>
        <v>LA England - King's Lynn and West Norfolk</v>
      </c>
      <c r="D330" s="50">
        <f t="shared" ref="D330:D393" si="95">I330</f>
        <v>66443</v>
      </c>
      <c r="E330" s="50">
        <f t="shared" ref="E330:E393" si="96">J330</f>
        <v>70216</v>
      </c>
      <c r="F330" s="51">
        <f t="shared" ref="F330:F393" si="97">G330+H330</f>
        <v>155741</v>
      </c>
      <c r="G330" s="51">
        <f t="shared" ref="G330:G393" si="98">SUM(M330:CY330)</f>
        <v>76209</v>
      </c>
      <c r="H330" s="52">
        <f t="shared" ref="H330:H393" si="99">SUM(CZ330:GL330)</f>
        <v>79532</v>
      </c>
      <c r="I330" s="61">
        <f t="shared" ref="I330:I393" si="100">SUM(Y330:CY330)</f>
        <v>66443</v>
      </c>
      <c r="J330" s="52">
        <f t="shared" si="94"/>
        <v>70216</v>
      </c>
      <c r="K330" s="49">
        <f t="shared" ref="K330:K390" si="101">SUM(M330:AD330)</f>
        <v>14740</v>
      </c>
      <c r="L330" s="50">
        <f t="shared" ref="L330:L393" si="102">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
      <c r="A331" s="30" t="s">
        <v>78</v>
      </c>
      <c r="B331" s="1" t="s">
        <v>397</v>
      </c>
      <c r="C331" s="29" t="str">
        <f t="shared" si="93"/>
        <v>LA England - Kingston upon Hull, City of</v>
      </c>
      <c r="D331" s="50">
        <f t="shared" si="95"/>
        <v>113980</v>
      </c>
      <c r="E331" s="50">
        <f t="shared" si="96"/>
        <v>114532</v>
      </c>
      <c r="F331" s="51">
        <f t="shared" si="97"/>
        <v>268852</v>
      </c>
      <c r="G331" s="51">
        <f t="shared" si="98"/>
        <v>134568</v>
      </c>
      <c r="H331" s="52">
        <f t="shared" si="99"/>
        <v>134284</v>
      </c>
      <c r="I331" s="61">
        <f t="shared" si="100"/>
        <v>113980</v>
      </c>
      <c r="J331" s="52">
        <f t="shared" si="94"/>
        <v>114532</v>
      </c>
      <c r="K331" s="49">
        <f t="shared" si="101"/>
        <v>30800</v>
      </c>
      <c r="L331" s="50">
        <f t="shared" si="102"/>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
      <c r="A332" s="30" t="s">
        <v>78</v>
      </c>
      <c r="B332" s="1" t="s">
        <v>398</v>
      </c>
      <c r="C332" s="29" t="str">
        <f t="shared" ref="C332:C395" si="103">CONCATENATE(A332," - ",B332)</f>
        <v>LA England - Kingston upon Thames</v>
      </c>
      <c r="D332" s="50">
        <f t="shared" si="95"/>
        <v>68663</v>
      </c>
      <c r="E332" s="50">
        <f t="shared" si="96"/>
        <v>75628</v>
      </c>
      <c r="F332" s="51">
        <f t="shared" si="97"/>
        <v>168302</v>
      </c>
      <c r="G332" s="51">
        <f t="shared" si="98"/>
        <v>80907</v>
      </c>
      <c r="H332" s="52">
        <f t="shared" si="99"/>
        <v>87395</v>
      </c>
      <c r="I332" s="61">
        <f t="shared" si="100"/>
        <v>68663</v>
      </c>
      <c r="J332" s="52">
        <f t="shared" si="94"/>
        <v>75628</v>
      </c>
      <c r="K332" s="49">
        <f t="shared" si="101"/>
        <v>18402</v>
      </c>
      <c r="L332" s="50">
        <f t="shared" si="102"/>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
      <c r="A333" s="30" t="s">
        <v>78</v>
      </c>
      <c r="B333" s="1" t="s">
        <v>399</v>
      </c>
      <c r="C333" s="29" t="str">
        <f t="shared" si="103"/>
        <v>LA England - Kirklees</v>
      </c>
      <c r="D333" s="50">
        <f t="shared" si="95"/>
        <v>182141</v>
      </c>
      <c r="E333" s="50">
        <f t="shared" si="96"/>
        <v>191145</v>
      </c>
      <c r="F333" s="51">
        <f t="shared" si="97"/>
        <v>437593</v>
      </c>
      <c r="G333" s="51">
        <f t="shared" si="98"/>
        <v>215001</v>
      </c>
      <c r="H333" s="52">
        <f t="shared" si="99"/>
        <v>222592</v>
      </c>
      <c r="I333" s="61">
        <f t="shared" si="100"/>
        <v>182141</v>
      </c>
      <c r="J333" s="52">
        <f t="shared" si="94"/>
        <v>191145</v>
      </c>
      <c r="K333" s="49">
        <f t="shared" si="101"/>
        <v>50483</v>
      </c>
      <c r="L333" s="50">
        <f t="shared" si="102"/>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
      <c r="A334" s="30" t="s">
        <v>78</v>
      </c>
      <c r="B334" s="1" t="s">
        <v>400</v>
      </c>
      <c r="C334" s="29" t="str">
        <f t="shared" si="103"/>
        <v>LA England - Knowsley</v>
      </c>
      <c r="D334" s="50">
        <f t="shared" si="95"/>
        <v>63059</v>
      </c>
      <c r="E334" s="50">
        <f t="shared" si="96"/>
        <v>70382</v>
      </c>
      <c r="F334" s="51">
        <f t="shared" si="97"/>
        <v>157103</v>
      </c>
      <c r="G334" s="51">
        <f t="shared" si="98"/>
        <v>75222</v>
      </c>
      <c r="H334" s="52">
        <f t="shared" si="99"/>
        <v>81881</v>
      </c>
      <c r="I334" s="61">
        <f t="shared" si="100"/>
        <v>63059</v>
      </c>
      <c r="J334" s="52">
        <f t="shared" si="94"/>
        <v>70382</v>
      </c>
      <c r="K334" s="49">
        <f t="shared" si="101"/>
        <v>17882</v>
      </c>
      <c r="L334" s="50">
        <f t="shared" si="102"/>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
      <c r="A335" s="30" t="s">
        <v>78</v>
      </c>
      <c r="B335" s="1" t="s">
        <v>401</v>
      </c>
      <c r="C335" s="29" t="str">
        <f t="shared" si="103"/>
        <v>LA England - Lambeth</v>
      </c>
      <c r="D335" s="50">
        <f t="shared" si="95"/>
        <v>135713</v>
      </c>
      <c r="E335" s="50">
        <f t="shared" si="96"/>
        <v>146088</v>
      </c>
      <c r="F335" s="51">
        <f t="shared" si="97"/>
        <v>316812</v>
      </c>
      <c r="G335" s="51">
        <f t="shared" si="98"/>
        <v>153533</v>
      </c>
      <c r="H335" s="52">
        <f t="shared" si="99"/>
        <v>163279</v>
      </c>
      <c r="I335" s="61">
        <f t="shared" si="100"/>
        <v>135713</v>
      </c>
      <c r="J335" s="52">
        <f t="shared" si="94"/>
        <v>146088</v>
      </c>
      <c r="K335" s="49">
        <f t="shared" si="101"/>
        <v>27090</v>
      </c>
      <c r="L335" s="50">
        <f t="shared" si="102"/>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
      <c r="A336" s="30" t="s">
        <v>78</v>
      </c>
      <c r="B336" s="1" t="s">
        <v>402</v>
      </c>
      <c r="C336" s="29" t="str">
        <f t="shared" si="103"/>
        <v>LA England - Lancaster</v>
      </c>
      <c r="D336" s="50">
        <f t="shared" si="95"/>
        <v>61955</v>
      </c>
      <c r="E336" s="50">
        <f t="shared" si="96"/>
        <v>65337</v>
      </c>
      <c r="F336" s="51">
        <f t="shared" si="97"/>
        <v>144446</v>
      </c>
      <c r="G336" s="51">
        <f t="shared" si="98"/>
        <v>70625</v>
      </c>
      <c r="H336" s="52">
        <f t="shared" si="99"/>
        <v>73821</v>
      </c>
      <c r="I336" s="61">
        <f t="shared" si="100"/>
        <v>61955</v>
      </c>
      <c r="J336" s="52">
        <f t="shared" si="94"/>
        <v>65337</v>
      </c>
      <c r="K336" s="49">
        <f t="shared" si="101"/>
        <v>13323</v>
      </c>
      <c r="L336" s="50">
        <f t="shared" si="102"/>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
      <c r="A337" s="30" t="s">
        <v>78</v>
      </c>
      <c r="B337" s="1" t="s">
        <v>403</v>
      </c>
      <c r="C337" s="29" t="str">
        <f t="shared" si="103"/>
        <v>LA England - Leeds</v>
      </c>
      <c r="D337" s="50">
        <f t="shared" si="95"/>
        <v>342974</v>
      </c>
      <c r="E337" s="50">
        <f t="shared" si="96"/>
        <v>363499</v>
      </c>
      <c r="F337" s="51">
        <f t="shared" si="97"/>
        <v>822483</v>
      </c>
      <c r="G337" s="51">
        <f t="shared" si="98"/>
        <v>402324</v>
      </c>
      <c r="H337" s="52">
        <f t="shared" si="99"/>
        <v>420159</v>
      </c>
      <c r="I337" s="61">
        <f t="shared" si="100"/>
        <v>342974</v>
      </c>
      <c r="J337" s="52">
        <f t="shared" si="94"/>
        <v>363499</v>
      </c>
      <c r="K337" s="49">
        <f t="shared" si="101"/>
        <v>88464</v>
      </c>
      <c r="L337" s="50">
        <f t="shared" si="102"/>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
      <c r="A338" s="30" t="s">
        <v>78</v>
      </c>
      <c r="B338" s="1" t="s">
        <v>404</v>
      </c>
      <c r="C338" s="29" t="str">
        <f t="shared" si="103"/>
        <v>LA England - Leicester</v>
      </c>
      <c r="D338" s="50">
        <f t="shared" si="95"/>
        <v>156728</v>
      </c>
      <c r="E338" s="50">
        <f t="shared" si="96"/>
        <v>159274</v>
      </c>
      <c r="F338" s="51">
        <f t="shared" si="97"/>
        <v>373399</v>
      </c>
      <c r="G338" s="51">
        <f t="shared" si="98"/>
        <v>186254</v>
      </c>
      <c r="H338" s="52">
        <f t="shared" si="99"/>
        <v>187145</v>
      </c>
      <c r="I338" s="61">
        <f t="shared" si="100"/>
        <v>156728</v>
      </c>
      <c r="J338" s="52">
        <f t="shared" si="94"/>
        <v>159274</v>
      </c>
      <c r="K338" s="49">
        <f t="shared" si="101"/>
        <v>45410</v>
      </c>
      <c r="L338" s="50">
        <f t="shared" si="102"/>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
      <c r="A339" s="30" t="s">
        <v>78</v>
      </c>
      <c r="B339" s="1" t="s">
        <v>405</v>
      </c>
      <c r="C339" s="29" t="str">
        <f t="shared" si="103"/>
        <v>LA England - Lewes</v>
      </c>
      <c r="D339" s="50">
        <f t="shared" si="95"/>
        <v>42216</v>
      </c>
      <c r="E339" s="50">
        <f t="shared" si="96"/>
        <v>46442</v>
      </c>
      <c r="F339" s="51">
        <f t="shared" si="97"/>
        <v>100677</v>
      </c>
      <c r="G339" s="51">
        <f t="shared" si="98"/>
        <v>48428</v>
      </c>
      <c r="H339" s="52">
        <f t="shared" si="99"/>
        <v>52249</v>
      </c>
      <c r="I339" s="61">
        <f t="shared" si="100"/>
        <v>42216</v>
      </c>
      <c r="J339" s="52">
        <f t="shared" si="94"/>
        <v>46442</v>
      </c>
      <c r="K339" s="49">
        <f t="shared" si="101"/>
        <v>9795</v>
      </c>
      <c r="L339" s="50">
        <f t="shared" si="102"/>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
      <c r="A340" s="30" t="s">
        <v>78</v>
      </c>
      <c r="B340" s="1" t="s">
        <v>406</v>
      </c>
      <c r="C340" s="29" t="str">
        <f t="shared" si="103"/>
        <v>LA England - Lewisham</v>
      </c>
      <c r="D340" s="50">
        <f t="shared" si="95"/>
        <v>119510</v>
      </c>
      <c r="E340" s="50">
        <f t="shared" si="96"/>
        <v>135962</v>
      </c>
      <c r="F340" s="51">
        <f t="shared" si="97"/>
        <v>298653</v>
      </c>
      <c r="G340" s="51">
        <f t="shared" si="98"/>
        <v>141527</v>
      </c>
      <c r="H340" s="52">
        <f t="shared" si="99"/>
        <v>157126</v>
      </c>
      <c r="I340" s="61">
        <f t="shared" si="100"/>
        <v>119510</v>
      </c>
      <c r="J340" s="52">
        <f t="shared" si="94"/>
        <v>135962</v>
      </c>
      <c r="K340" s="49">
        <f t="shared" si="101"/>
        <v>32214</v>
      </c>
      <c r="L340" s="50">
        <f t="shared" si="102"/>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
      <c r="A341" s="30" t="s">
        <v>78</v>
      </c>
      <c r="B341" s="1" t="s">
        <v>407</v>
      </c>
      <c r="C341" s="29" t="str">
        <f t="shared" si="103"/>
        <v>LA England - Lichfield</v>
      </c>
      <c r="D341" s="50">
        <f t="shared" si="95"/>
        <v>46669</v>
      </c>
      <c r="E341" s="50">
        <f t="shared" si="96"/>
        <v>48177</v>
      </c>
      <c r="F341" s="51">
        <f t="shared" si="97"/>
        <v>108352</v>
      </c>
      <c r="G341" s="51">
        <f t="shared" si="98"/>
        <v>53454</v>
      </c>
      <c r="H341" s="52">
        <f t="shared" si="99"/>
        <v>54898</v>
      </c>
      <c r="I341" s="61">
        <f t="shared" si="100"/>
        <v>46669</v>
      </c>
      <c r="J341" s="52">
        <f t="shared" si="94"/>
        <v>48177</v>
      </c>
      <c r="K341" s="49">
        <f t="shared" si="101"/>
        <v>10439</v>
      </c>
      <c r="L341" s="50">
        <f t="shared" si="102"/>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
      <c r="A342" s="30" t="s">
        <v>78</v>
      </c>
      <c r="B342" s="1" t="s">
        <v>408</v>
      </c>
      <c r="C342" s="29" t="str">
        <f t="shared" si="103"/>
        <v>LA England - Lincoln</v>
      </c>
      <c r="D342" s="50">
        <f t="shared" si="95"/>
        <v>44393</v>
      </c>
      <c r="E342" s="50">
        <f t="shared" si="96"/>
        <v>45522</v>
      </c>
      <c r="F342" s="51">
        <f t="shared" si="97"/>
        <v>102545</v>
      </c>
      <c r="G342" s="51">
        <f t="shared" si="98"/>
        <v>50965</v>
      </c>
      <c r="H342" s="52">
        <f t="shared" si="99"/>
        <v>51580</v>
      </c>
      <c r="I342" s="61">
        <f t="shared" si="100"/>
        <v>44393</v>
      </c>
      <c r="J342" s="52">
        <f t="shared" si="94"/>
        <v>45522</v>
      </c>
      <c r="K342" s="49">
        <f t="shared" si="101"/>
        <v>9844</v>
      </c>
      <c r="L342" s="50">
        <f t="shared" si="102"/>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
      <c r="A343" s="30" t="s">
        <v>78</v>
      </c>
      <c r="B343" s="1" t="s">
        <v>409</v>
      </c>
      <c r="C343" s="29" t="str">
        <f t="shared" si="103"/>
        <v>LA England - Liverpool</v>
      </c>
      <c r="D343" s="50">
        <f t="shared" si="95"/>
        <v>210219</v>
      </c>
      <c r="E343" s="50">
        <f t="shared" si="96"/>
        <v>222157</v>
      </c>
      <c r="F343" s="51">
        <f t="shared" si="97"/>
        <v>496770</v>
      </c>
      <c r="G343" s="51">
        <f t="shared" si="98"/>
        <v>243137</v>
      </c>
      <c r="H343" s="52">
        <f t="shared" si="99"/>
        <v>253633</v>
      </c>
      <c r="I343" s="61">
        <f t="shared" si="100"/>
        <v>210219</v>
      </c>
      <c r="J343" s="52">
        <f t="shared" si="94"/>
        <v>222157</v>
      </c>
      <c r="K343" s="49">
        <f t="shared" si="101"/>
        <v>48422</v>
      </c>
      <c r="L343" s="50">
        <f t="shared" si="102"/>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
      <c r="A344" s="30" t="s">
        <v>78</v>
      </c>
      <c r="B344" s="1" t="s">
        <v>410</v>
      </c>
      <c r="C344" s="29" t="str">
        <f t="shared" si="103"/>
        <v>LA England - Luton</v>
      </c>
      <c r="D344" s="50">
        <f t="shared" si="95"/>
        <v>94452</v>
      </c>
      <c r="E344" s="50">
        <f t="shared" si="96"/>
        <v>92825</v>
      </c>
      <c r="F344" s="51">
        <f t="shared" si="97"/>
        <v>226973</v>
      </c>
      <c r="G344" s="51">
        <f t="shared" si="98"/>
        <v>114850</v>
      </c>
      <c r="H344" s="52">
        <f t="shared" si="99"/>
        <v>112123</v>
      </c>
      <c r="I344" s="61">
        <f t="shared" si="100"/>
        <v>94452</v>
      </c>
      <c r="J344" s="52">
        <f t="shared" si="94"/>
        <v>92825</v>
      </c>
      <c r="K344" s="49">
        <f t="shared" si="101"/>
        <v>30512</v>
      </c>
      <c r="L344" s="50">
        <f t="shared" si="102"/>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
      <c r="A345" s="30" t="s">
        <v>78</v>
      </c>
      <c r="B345" s="1" t="s">
        <v>411</v>
      </c>
      <c r="C345" s="29" t="str">
        <f t="shared" si="103"/>
        <v>LA England - Maidstone</v>
      </c>
      <c r="D345" s="50">
        <f t="shared" si="95"/>
        <v>75201</v>
      </c>
      <c r="E345" s="50">
        <f t="shared" si="96"/>
        <v>78537</v>
      </c>
      <c r="F345" s="51">
        <f t="shared" si="97"/>
        <v>180428</v>
      </c>
      <c r="G345" s="51">
        <f t="shared" si="98"/>
        <v>88991</v>
      </c>
      <c r="H345" s="52">
        <f t="shared" si="99"/>
        <v>91437</v>
      </c>
      <c r="I345" s="61">
        <f t="shared" si="100"/>
        <v>75201</v>
      </c>
      <c r="J345" s="52">
        <f t="shared" si="94"/>
        <v>78537</v>
      </c>
      <c r="K345" s="49">
        <f t="shared" si="101"/>
        <v>20254</v>
      </c>
      <c r="L345" s="50">
        <f t="shared" si="102"/>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
      <c r="A346" s="30" t="s">
        <v>78</v>
      </c>
      <c r="B346" s="1" t="s">
        <v>412</v>
      </c>
      <c r="C346" s="29" t="str">
        <f t="shared" si="103"/>
        <v>LA England - Maldon</v>
      </c>
      <c r="D346" s="50">
        <f t="shared" si="95"/>
        <v>28896</v>
      </c>
      <c r="E346" s="50">
        <f t="shared" si="96"/>
        <v>30548</v>
      </c>
      <c r="F346" s="51">
        <f t="shared" si="97"/>
        <v>67554</v>
      </c>
      <c r="G346" s="51">
        <f t="shared" si="98"/>
        <v>33035</v>
      </c>
      <c r="H346" s="52">
        <f t="shared" si="99"/>
        <v>34519</v>
      </c>
      <c r="I346" s="61">
        <f t="shared" si="100"/>
        <v>28896</v>
      </c>
      <c r="J346" s="52">
        <f t="shared" si="94"/>
        <v>30548</v>
      </c>
      <c r="K346" s="49">
        <f t="shared" si="101"/>
        <v>6417</v>
      </c>
      <c r="L346" s="50">
        <f t="shared" si="102"/>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
      <c r="A347" s="30" t="s">
        <v>78</v>
      </c>
      <c r="B347" s="1" t="s">
        <v>413</v>
      </c>
      <c r="C347" s="29" t="str">
        <f t="shared" si="103"/>
        <v>LA England - Malvern Hills</v>
      </c>
      <c r="D347" s="50">
        <f t="shared" si="95"/>
        <v>34844</v>
      </c>
      <c r="E347" s="50">
        <f t="shared" si="96"/>
        <v>37296</v>
      </c>
      <c r="F347" s="51">
        <f t="shared" si="97"/>
        <v>81024</v>
      </c>
      <c r="G347" s="51">
        <f t="shared" si="98"/>
        <v>39376</v>
      </c>
      <c r="H347" s="52">
        <f t="shared" si="99"/>
        <v>41648</v>
      </c>
      <c r="I347" s="61">
        <f t="shared" si="100"/>
        <v>34844</v>
      </c>
      <c r="J347" s="52">
        <f t="shared" si="94"/>
        <v>37296</v>
      </c>
      <c r="K347" s="49">
        <f t="shared" si="101"/>
        <v>7371</v>
      </c>
      <c r="L347" s="50">
        <f t="shared" si="102"/>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
      <c r="A348" s="30" t="s">
        <v>78</v>
      </c>
      <c r="B348" s="1" t="s">
        <v>414</v>
      </c>
      <c r="C348" s="29" t="str">
        <f t="shared" si="103"/>
        <v>LA England - Manchester</v>
      </c>
      <c r="D348" s="50">
        <f t="shared" si="95"/>
        <v>239544</v>
      </c>
      <c r="E348" s="50">
        <f t="shared" si="96"/>
        <v>243980</v>
      </c>
      <c r="F348" s="51">
        <f t="shared" si="97"/>
        <v>568996</v>
      </c>
      <c r="G348" s="51">
        <f t="shared" si="98"/>
        <v>282913</v>
      </c>
      <c r="H348" s="52">
        <f t="shared" si="99"/>
        <v>286083</v>
      </c>
      <c r="I348" s="61">
        <f t="shared" si="100"/>
        <v>239544</v>
      </c>
      <c r="J348" s="52">
        <f t="shared" si="94"/>
        <v>243980</v>
      </c>
      <c r="K348" s="49">
        <f t="shared" si="101"/>
        <v>65304</v>
      </c>
      <c r="L348" s="50">
        <f t="shared" si="102"/>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
      <c r="A349" s="30" t="s">
        <v>78</v>
      </c>
      <c r="B349" s="1" t="s">
        <v>415</v>
      </c>
      <c r="C349" s="29" t="str">
        <f t="shared" si="103"/>
        <v>LA England - Mansfield</v>
      </c>
      <c r="D349" s="50">
        <f t="shared" si="95"/>
        <v>46908</v>
      </c>
      <c r="E349" s="50">
        <f t="shared" si="96"/>
        <v>48926</v>
      </c>
      <c r="F349" s="51">
        <f t="shared" si="97"/>
        <v>111117</v>
      </c>
      <c r="G349" s="51">
        <f t="shared" si="98"/>
        <v>54636</v>
      </c>
      <c r="H349" s="52">
        <f t="shared" si="99"/>
        <v>56481</v>
      </c>
      <c r="I349" s="61">
        <f t="shared" si="100"/>
        <v>46908</v>
      </c>
      <c r="J349" s="52">
        <f t="shared" si="94"/>
        <v>48926</v>
      </c>
      <c r="K349" s="49">
        <f t="shared" si="101"/>
        <v>11672</v>
      </c>
      <c r="L349" s="50">
        <f t="shared" si="102"/>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
      <c r="A350" s="30" t="s">
        <v>78</v>
      </c>
      <c r="B350" s="1" t="s">
        <v>416</v>
      </c>
      <c r="C350" s="29" t="str">
        <f t="shared" si="103"/>
        <v>LA England - Medway</v>
      </c>
      <c r="D350" s="50">
        <f t="shared" si="95"/>
        <v>116203</v>
      </c>
      <c r="E350" s="50">
        <f t="shared" si="96"/>
        <v>122788</v>
      </c>
      <c r="F350" s="51">
        <f t="shared" si="97"/>
        <v>282702</v>
      </c>
      <c r="G350" s="51">
        <f t="shared" si="98"/>
        <v>138474</v>
      </c>
      <c r="H350" s="52">
        <f t="shared" si="99"/>
        <v>144228</v>
      </c>
      <c r="I350" s="61">
        <f t="shared" si="100"/>
        <v>116203</v>
      </c>
      <c r="J350" s="52">
        <f t="shared" si="94"/>
        <v>122788</v>
      </c>
      <c r="K350" s="49">
        <f t="shared" si="101"/>
        <v>33330</v>
      </c>
      <c r="L350" s="50">
        <f t="shared" si="102"/>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
      <c r="A351" s="30" t="s">
        <v>78</v>
      </c>
      <c r="B351" s="1" t="s">
        <v>417</v>
      </c>
      <c r="C351" s="29" t="str">
        <f t="shared" si="103"/>
        <v>LA England - Melton</v>
      </c>
      <c r="D351" s="50">
        <f t="shared" si="95"/>
        <v>22270</v>
      </c>
      <c r="E351" s="50">
        <f t="shared" si="96"/>
        <v>23705</v>
      </c>
      <c r="F351" s="51">
        <f t="shared" si="97"/>
        <v>52433</v>
      </c>
      <c r="G351" s="51">
        <f t="shared" si="98"/>
        <v>25534</v>
      </c>
      <c r="H351" s="52">
        <f t="shared" si="99"/>
        <v>26899</v>
      </c>
      <c r="I351" s="61">
        <f t="shared" si="100"/>
        <v>22270</v>
      </c>
      <c r="J351" s="52">
        <f t="shared" si="94"/>
        <v>23705</v>
      </c>
      <c r="K351" s="49">
        <f t="shared" si="101"/>
        <v>5063</v>
      </c>
      <c r="L351" s="50">
        <f t="shared" si="102"/>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
      <c r="A352" s="30" t="s">
        <v>78</v>
      </c>
      <c r="B352" s="1" t="s">
        <v>418</v>
      </c>
      <c r="C352" s="29" t="str">
        <f t="shared" si="103"/>
        <v>LA England - Merton</v>
      </c>
      <c r="D352" s="50">
        <f t="shared" si="95"/>
        <v>88088</v>
      </c>
      <c r="E352" s="50">
        <f t="shared" si="96"/>
        <v>94867</v>
      </c>
      <c r="F352" s="51">
        <f t="shared" si="97"/>
        <v>214709</v>
      </c>
      <c r="G352" s="51">
        <f t="shared" si="98"/>
        <v>104479</v>
      </c>
      <c r="H352" s="52">
        <f t="shared" si="99"/>
        <v>110230</v>
      </c>
      <c r="I352" s="61">
        <f t="shared" si="100"/>
        <v>88088</v>
      </c>
      <c r="J352" s="52">
        <f t="shared" si="94"/>
        <v>94867</v>
      </c>
      <c r="K352" s="49">
        <f t="shared" si="101"/>
        <v>24307</v>
      </c>
      <c r="L352" s="50">
        <f t="shared" si="102"/>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
      <c r="A353" s="30" t="s">
        <v>78</v>
      </c>
      <c r="B353" s="1" t="s">
        <v>419</v>
      </c>
      <c r="C353" s="29" t="str">
        <f t="shared" si="103"/>
        <v>LA England - Mid Devon</v>
      </c>
      <c r="D353" s="50">
        <f t="shared" si="95"/>
        <v>35560</v>
      </c>
      <c r="E353" s="50">
        <f t="shared" si="96"/>
        <v>37768</v>
      </c>
      <c r="F353" s="51">
        <f t="shared" si="97"/>
        <v>83786</v>
      </c>
      <c r="G353" s="51">
        <f t="shared" si="98"/>
        <v>40955</v>
      </c>
      <c r="H353" s="52">
        <f t="shared" si="99"/>
        <v>42831</v>
      </c>
      <c r="I353" s="61">
        <f t="shared" si="100"/>
        <v>35560</v>
      </c>
      <c r="J353" s="52">
        <f t="shared" si="94"/>
        <v>37768</v>
      </c>
      <c r="K353" s="49">
        <f t="shared" si="101"/>
        <v>8640</v>
      </c>
      <c r="L353" s="50">
        <f t="shared" si="102"/>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
      <c r="A354" s="30" t="s">
        <v>78</v>
      </c>
      <c r="B354" s="1" t="s">
        <v>420</v>
      </c>
      <c r="C354" s="29" t="str">
        <f t="shared" si="103"/>
        <v>LA England - Mid Suffolk</v>
      </c>
      <c r="D354" s="50">
        <f t="shared" si="95"/>
        <v>45826</v>
      </c>
      <c r="E354" s="50">
        <f t="shared" si="96"/>
        <v>47556</v>
      </c>
      <c r="F354" s="51">
        <f t="shared" si="97"/>
        <v>105723</v>
      </c>
      <c r="G354" s="51">
        <f t="shared" si="98"/>
        <v>52191</v>
      </c>
      <c r="H354" s="52">
        <f t="shared" si="99"/>
        <v>53532</v>
      </c>
      <c r="I354" s="61">
        <f t="shared" si="100"/>
        <v>45826</v>
      </c>
      <c r="J354" s="52">
        <f t="shared" si="94"/>
        <v>47556</v>
      </c>
      <c r="K354" s="49">
        <f t="shared" si="101"/>
        <v>9900</v>
      </c>
      <c r="L354" s="50">
        <f t="shared" si="102"/>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
      <c r="A355" s="30" t="s">
        <v>78</v>
      </c>
      <c r="B355" s="1" t="s">
        <v>421</v>
      </c>
      <c r="C355" s="29" t="str">
        <f t="shared" si="103"/>
        <v>LA England - Mid Sussex</v>
      </c>
      <c r="D355" s="50">
        <f t="shared" si="95"/>
        <v>64084</v>
      </c>
      <c r="E355" s="50">
        <f t="shared" si="96"/>
        <v>68828</v>
      </c>
      <c r="F355" s="51">
        <f t="shared" si="97"/>
        <v>154930</v>
      </c>
      <c r="G355" s="51">
        <f t="shared" si="98"/>
        <v>75265</v>
      </c>
      <c r="H355" s="52">
        <f t="shared" si="99"/>
        <v>79665</v>
      </c>
      <c r="I355" s="61">
        <f t="shared" si="100"/>
        <v>64084</v>
      </c>
      <c r="J355" s="52">
        <f t="shared" si="94"/>
        <v>68828</v>
      </c>
      <c r="K355" s="49">
        <f t="shared" si="101"/>
        <v>17116</v>
      </c>
      <c r="L355" s="50">
        <f t="shared" si="102"/>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
      <c r="A356" s="30" t="s">
        <v>78</v>
      </c>
      <c r="B356" s="1" t="s">
        <v>422</v>
      </c>
      <c r="C356" s="29" t="str">
        <f t="shared" si="103"/>
        <v>LA England - Middlesbrough</v>
      </c>
      <c r="D356" s="50">
        <f t="shared" si="95"/>
        <v>62170</v>
      </c>
      <c r="E356" s="50">
        <f t="shared" si="96"/>
        <v>63133</v>
      </c>
      <c r="F356" s="51">
        <f t="shared" si="97"/>
        <v>148285</v>
      </c>
      <c r="G356" s="51">
        <f t="shared" si="98"/>
        <v>73893</v>
      </c>
      <c r="H356" s="52">
        <f t="shared" si="99"/>
        <v>74392</v>
      </c>
      <c r="I356" s="61">
        <f t="shared" si="100"/>
        <v>62170</v>
      </c>
      <c r="J356" s="52">
        <f t="shared" si="94"/>
        <v>63133</v>
      </c>
      <c r="K356" s="49">
        <f t="shared" si="101"/>
        <v>17452</v>
      </c>
      <c r="L356" s="50">
        <f t="shared" si="102"/>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
      <c r="A357" s="30" t="s">
        <v>78</v>
      </c>
      <c r="B357" s="1" t="s">
        <v>423</v>
      </c>
      <c r="C357" s="29" t="str">
        <f t="shared" si="103"/>
        <v>LA England - Milton Keynes</v>
      </c>
      <c r="D357" s="50">
        <f t="shared" si="95"/>
        <v>120373</v>
      </c>
      <c r="E357" s="50">
        <f t="shared" si="96"/>
        <v>125153</v>
      </c>
      <c r="F357" s="51">
        <f t="shared" si="97"/>
        <v>292180</v>
      </c>
      <c r="G357" s="51">
        <f t="shared" si="98"/>
        <v>144248</v>
      </c>
      <c r="H357" s="52">
        <f t="shared" si="99"/>
        <v>147932</v>
      </c>
      <c r="I357" s="61">
        <f t="shared" si="100"/>
        <v>120373</v>
      </c>
      <c r="J357" s="52">
        <f t="shared" si="94"/>
        <v>125153</v>
      </c>
      <c r="K357" s="49">
        <f t="shared" si="101"/>
        <v>36414</v>
      </c>
      <c r="L357" s="50">
        <f t="shared" si="102"/>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
      <c r="A358" s="30" t="s">
        <v>78</v>
      </c>
      <c r="B358" s="1" t="s">
        <v>424</v>
      </c>
      <c r="C358" s="29" t="str">
        <f t="shared" si="103"/>
        <v>LA England - Mole Valley</v>
      </c>
      <c r="D358" s="50">
        <f t="shared" si="95"/>
        <v>37252</v>
      </c>
      <c r="E358" s="50">
        <f t="shared" si="96"/>
        <v>39762</v>
      </c>
      <c r="F358" s="51">
        <f t="shared" si="97"/>
        <v>87769</v>
      </c>
      <c r="G358" s="51">
        <f t="shared" si="98"/>
        <v>42730</v>
      </c>
      <c r="H358" s="52">
        <f t="shared" si="99"/>
        <v>45039</v>
      </c>
      <c r="I358" s="61">
        <f t="shared" si="100"/>
        <v>37252</v>
      </c>
      <c r="J358" s="52">
        <f t="shared" si="94"/>
        <v>39762</v>
      </c>
      <c r="K358" s="49">
        <f t="shared" si="101"/>
        <v>8752</v>
      </c>
      <c r="L358" s="50">
        <f t="shared" si="102"/>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
      <c r="A359" s="30" t="s">
        <v>78</v>
      </c>
      <c r="B359" s="1" t="s">
        <v>425</v>
      </c>
      <c r="C359" s="29" t="str">
        <f t="shared" si="103"/>
        <v>LA England - New Forest</v>
      </c>
      <c r="D359" s="50">
        <f t="shared" si="95"/>
        <v>74624</v>
      </c>
      <c r="E359" s="50">
        <f t="shared" si="96"/>
        <v>81925</v>
      </c>
      <c r="F359" s="51">
        <f t="shared" si="97"/>
        <v>175942</v>
      </c>
      <c r="G359" s="51">
        <f t="shared" si="98"/>
        <v>84573</v>
      </c>
      <c r="H359" s="52">
        <f t="shared" si="99"/>
        <v>91369</v>
      </c>
      <c r="I359" s="61">
        <f t="shared" si="100"/>
        <v>74624</v>
      </c>
      <c r="J359" s="52">
        <f t="shared" si="94"/>
        <v>81925</v>
      </c>
      <c r="K359" s="49">
        <f t="shared" si="101"/>
        <v>15612</v>
      </c>
      <c r="L359" s="50">
        <f t="shared" si="102"/>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
      <c r="A360" s="30" t="s">
        <v>78</v>
      </c>
      <c r="B360" s="1" t="s">
        <v>426</v>
      </c>
      <c r="C360" s="29" t="str">
        <f t="shared" si="103"/>
        <v>LA England - Newark and Sherwood</v>
      </c>
      <c r="D360" s="50">
        <f t="shared" si="95"/>
        <v>53516</v>
      </c>
      <c r="E360" s="50">
        <f t="shared" si="96"/>
        <v>55692</v>
      </c>
      <c r="F360" s="51">
        <f t="shared" si="97"/>
        <v>125089</v>
      </c>
      <c r="G360" s="51">
        <f t="shared" si="98"/>
        <v>61623</v>
      </c>
      <c r="H360" s="52">
        <f t="shared" si="99"/>
        <v>63466</v>
      </c>
      <c r="I360" s="61">
        <f t="shared" si="100"/>
        <v>53516</v>
      </c>
      <c r="J360" s="52">
        <f t="shared" si="94"/>
        <v>55692</v>
      </c>
      <c r="K360" s="49">
        <f t="shared" si="101"/>
        <v>12312</v>
      </c>
      <c r="L360" s="50">
        <f t="shared" si="102"/>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
      <c r="A361" s="30" t="s">
        <v>78</v>
      </c>
      <c r="B361" s="1" t="s">
        <v>427</v>
      </c>
      <c r="C361" s="29" t="str">
        <f t="shared" si="103"/>
        <v>LA England - Newcastle upon Tyne</v>
      </c>
      <c r="D361" s="50">
        <f t="shared" si="95"/>
        <v>132218</v>
      </c>
      <c r="E361" s="50">
        <f t="shared" si="96"/>
        <v>135692</v>
      </c>
      <c r="F361" s="51">
        <f t="shared" si="97"/>
        <v>307565</v>
      </c>
      <c r="G361" s="51">
        <f t="shared" si="98"/>
        <v>152597</v>
      </c>
      <c r="H361" s="52">
        <f t="shared" si="99"/>
        <v>154968</v>
      </c>
      <c r="I361" s="61">
        <f t="shared" si="100"/>
        <v>132218</v>
      </c>
      <c r="J361" s="52">
        <f t="shared" si="94"/>
        <v>135692</v>
      </c>
      <c r="K361" s="49">
        <f t="shared" si="101"/>
        <v>30299</v>
      </c>
      <c r="L361" s="50">
        <f t="shared" si="102"/>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
      <c r="A362" s="30" t="s">
        <v>78</v>
      </c>
      <c r="B362" s="1" t="s">
        <v>428</v>
      </c>
      <c r="C362" s="29" t="str">
        <f t="shared" si="103"/>
        <v>LA England - Newcastle-under-Lyme</v>
      </c>
      <c r="D362" s="50">
        <f t="shared" si="95"/>
        <v>53632</v>
      </c>
      <c r="E362" s="50">
        <f t="shared" si="96"/>
        <v>56719</v>
      </c>
      <c r="F362" s="51">
        <f t="shared" si="97"/>
        <v>125297</v>
      </c>
      <c r="G362" s="51">
        <f t="shared" si="98"/>
        <v>61266</v>
      </c>
      <c r="H362" s="52">
        <f t="shared" si="99"/>
        <v>64031</v>
      </c>
      <c r="I362" s="61">
        <f t="shared" si="100"/>
        <v>53632</v>
      </c>
      <c r="J362" s="52">
        <f t="shared" si="94"/>
        <v>56719</v>
      </c>
      <c r="K362" s="49">
        <f t="shared" si="101"/>
        <v>11796</v>
      </c>
      <c r="L362" s="50">
        <f t="shared" si="102"/>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
      <c r="A363" s="30" t="s">
        <v>78</v>
      </c>
      <c r="B363" s="1" t="s">
        <v>429</v>
      </c>
      <c r="C363" s="29" t="str">
        <f t="shared" si="103"/>
        <v>LA England - Newham</v>
      </c>
      <c r="D363" s="50">
        <f t="shared" si="95"/>
        <v>151752</v>
      </c>
      <c r="E363" s="50">
        <f t="shared" si="96"/>
        <v>150400</v>
      </c>
      <c r="F363" s="51">
        <f t="shared" si="97"/>
        <v>358645</v>
      </c>
      <c r="G363" s="51">
        <f t="shared" si="98"/>
        <v>180140</v>
      </c>
      <c r="H363" s="52">
        <f t="shared" si="99"/>
        <v>178505</v>
      </c>
      <c r="I363" s="61">
        <f t="shared" si="100"/>
        <v>151752</v>
      </c>
      <c r="J363" s="52">
        <f t="shared" si="94"/>
        <v>150400</v>
      </c>
      <c r="K363" s="49">
        <f t="shared" si="101"/>
        <v>42193</v>
      </c>
      <c r="L363" s="50">
        <f t="shared" si="102"/>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
      <c r="A364" s="30" t="s">
        <v>78</v>
      </c>
      <c r="B364" s="1" t="s">
        <v>430</v>
      </c>
      <c r="C364" s="29" t="str">
        <f t="shared" si="103"/>
        <v>LA England - North Devon</v>
      </c>
      <c r="D364" s="50">
        <f t="shared" si="95"/>
        <v>42842</v>
      </c>
      <c r="E364" s="50">
        <f t="shared" si="96"/>
        <v>45550</v>
      </c>
      <c r="F364" s="51">
        <f t="shared" si="97"/>
        <v>100505</v>
      </c>
      <c r="G364" s="51">
        <f t="shared" si="98"/>
        <v>49055</v>
      </c>
      <c r="H364" s="52">
        <f t="shared" si="99"/>
        <v>51450</v>
      </c>
      <c r="I364" s="61">
        <f t="shared" si="100"/>
        <v>42842</v>
      </c>
      <c r="J364" s="52">
        <f t="shared" si="94"/>
        <v>45550</v>
      </c>
      <c r="K364" s="49">
        <f t="shared" si="101"/>
        <v>9559</v>
      </c>
      <c r="L364" s="50">
        <f t="shared" si="102"/>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
      <c r="A365" s="30" t="s">
        <v>78</v>
      </c>
      <c r="B365" s="1" t="s">
        <v>431</v>
      </c>
      <c r="C365" s="29" t="str">
        <f t="shared" si="103"/>
        <v>LA England - North East Derbyshire</v>
      </c>
      <c r="D365" s="50">
        <f t="shared" si="95"/>
        <v>44071</v>
      </c>
      <c r="E365" s="50">
        <f t="shared" si="96"/>
        <v>46984</v>
      </c>
      <c r="F365" s="51">
        <f t="shared" si="97"/>
        <v>103783</v>
      </c>
      <c r="G365" s="51">
        <f t="shared" si="98"/>
        <v>50502</v>
      </c>
      <c r="H365" s="52">
        <f t="shared" si="99"/>
        <v>53281</v>
      </c>
      <c r="I365" s="61">
        <f t="shared" si="100"/>
        <v>44071</v>
      </c>
      <c r="J365" s="52">
        <f t="shared" si="94"/>
        <v>46984</v>
      </c>
      <c r="K365" s="49">
        <f t="shared" si="101"/>
        <v>9716</v>
      </c>
      <c r="L365" s="50">
        <f t="shared" si="102"/>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
      <c r="A366" s="30" t="s">
        <v>78</v>
      </c>
      <c r="B366" s="1" t="s">
        <v>432</v>
      </c>
      <c r="C366" s="29" t="str">
        <f t="shared" si="103"/>
        <v>LA England - North East Lincolnshire</v>
      </c>
      <c r="D366" s="50">
        <f t="shared" si="95"/>
        <v>66349</v>
      </c>
      <c r="E366" s="50">
        <f t="shared" si="96"/>
        <v>69769</v>
      </c>
      <c r="F366" s="51">
        <f t="shared" si="97"/>
        <v>157754</v>
      </c>
      <c r="G366" s="51">
        <f t="shared" si="98"/>
        <v>77352</v>
      </c>
      <c r="H366" s="52">
        <f t="shared" si="99"/>
        <v>80402</v>
      </c>
      <c r="I366" s="61">
        <f t="shared" si="100"/>
        <v>66349</v>
      </c>
      <c r="J366" s="52">
        <f t="shared" si="94"/>
        <v>69769</v>
      </c>
      <c r="K366" s="49">
        <f t="shared" si="101"/>
        <v>16981</v>
      </c>
      <c r="L366" s="50">
        <f t="shared" si="102"/>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
      <c r="A367" s="30" t="s">
        <v>78</v>
      </c>
      <c r="B367" s="1" t="s">
        <v>433</v>
      </c>
      <c r="C367" s="29" t="str">
        <f t="shared" si="103"/>
        <v>LA England - North Hertfordshire</v>
      </c>
      <c r="D367" s="50">
        <f t="shared" si="95"/>
        <v>55380</v>
      </c>
      <c r="E367" s="50">
        <f t="shared" si="96"/>
        <v>59769</v>
      </c>
      <c r="F367" s="51">
        <f t="shared" si="97"/>
        <v>134159</v>
      </c>
      <c r="G367" s="51">
        <f t="shared" si="98"/>
        <v>65127</v>
      </c>
      <c r="H367" s="52">
        <f t="shared" si="99"/>
        <v>69032</v>
      </c>
      <c r="I367" s="61">
        <f t="shared" si="100"/>
        <v>55380</v>
      </c>
      <c r="J367" s="52">
        <f t="shared" si="94"/>
        <v>59769</v>
      </c>
      <c r="K367" s="49">
        <f t="shared" si="101"/>
        <v>14630</v>
      </c>
      <c r="L367" s="50">
        <f t="shared" si="102"/>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
      <c r="A368" s="30" t="s">
        <v>78</v>
      </c>
      <c r="B368" s="1" t="s">
        <v>434</v>
      </c>
      <c r="C368" s="29" t="str">
        <f t="shared" si="103"/>
        <v>LA England - North Kesteven</v>
      </c>
      <c r="D368" s="50">
        <f t="shared" si="95"/>
        <v>51225</v>
      </c>
      <c r="E368" s="50">
        <f t="shared" si="96"/>
        <v>53755</v>
      </c>
      <c r="F368" s="51">
        <f t="shared" si="97"/>
        <v>119709</v>
      </c>
      <c r="G368" s="51">
        <f t="shared" si="98"/>
        <v>58672</v>
      </c>
      <c r="H368" s="52">
        <f t="shared" si="99"/>
        <v>61037</v>
      </c>
      <c r="I368" s="61">
        <f t="shared" si="100"/>
        <v>51225</v>
      </c>
      <c r="J368" s="52">
        <f t="shared" si="94"/>
        <v>53755</v>
      </c>
      <c r="K368" s="49">
        <f t="shared" si="101"/>
        <v>11451</v>
      </c>
      <c r="L368" s="50">
        <f t="shared" si="102"/>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
      <c r="A369" s="30" t="s">
        <v>78</v>
      </c>
      <c r="B369" s="1" t="s">
        <v>435</v>
      </c>
      <c r="C369" s="29" t="str">
        <f t="shared" si="103"/>
        <v>LA England - North Lincolnshire</v>
      </c>
      <c r="D369" s="50">
        <f t="shared" si="95"/>
        <v>72739</v>
      </c>
      <c r="E369" s="50">
        <f t="shared" si="96"/>
        <v>75200</v>
      </c>
      <c r="F369" s="51">
        <f t="shared" si="97"/>
        <v>170042</v>
      </c>
      <c r="G369" s="51">
        <f t="shared" si="98"/>
        <v>83843</v>
      </c>
      <c r="H369" s="52">
        <f t="shared" si="99"/>
        <v>86199</v>
      </c>
      <c r="I369" s="61">
        <f t="shared" si="100"/>
        <v>72739</v>
      </c>
      <c r="J369" s="52">
        <f t="shared" si="94"/>
        <v>75200</v>
      </c>
      <c r="K369" s="49">
        <f t="shared" si="101"/>
        <v>17472</v>
      </c>
      <c r="L369" s="50">
        <f t="shared" si="102"/>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
      <c r="A370" s="30" t="s">
        <v>78</v>
      </c>
      <c r="B370" s="1" t="s">
        <v>436</v>
      </c>
      <c r="C370" s="29" t="str">
        <f t="shared" si="103"/>
        <v>LA England - North Norfolk</v>
      </c>
      <c r="D370" s="50">
        <f t="shared" si="95"/>
        <v>45283</v>
      </c>
      <c r="E370" s="50">
        <f t="shared" si="96"/>
        <v>48171</v>
      </c>
      <c r="F370" s="51">
        <f t="shared" si="97"/>
        <v>103227</v>
      </c>
      <c r="G370" s="51">
        <f t="shared" si="98"/>
        <v>50383</v>
      </c>
      <c r="H370" s="52">
        <f t="shared" si="99"/>
        <v>52844</v>
      </c>
      <c r="I370" s="61">
        <f t="shared" si="100"/>
        <v>45283</v>
      </c>
      <c r="J370" s="52">
        <f t="shared" si="94"/>
        <v>48171</v>
      </c>
      <c r="K370" s="49">
        <f t="shared" si="101"/>
        <v>8181</v>
      </c>
      <c r="L370" s="50">
        <f t="shared" si="102"/>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
      <c r="A371" s="30" t="s">
        <v>78</v>
      </c>
      <c r="B371" s="1" t="s">
        <v>437</v>
      </c>
      <c r="C371" s="29" t="str">
        <f t="shared" si="103"/>
        <v>LA England - North Northamptonshire</v>
      </c>
      <c r="D371" s="50">
        <f t="shared" si="95"/>
        <v>152355</v>
      </c>
      <c r="E371" s="50">
        <f t="shared" si="96"/>
        <v>158840</v>
      </c>
      <c r="F371" s="51">
        <f t="shared" si="97"/>
        <v>363408</v>
      </c>
      <c r="G371" s="51">
        <f t="shared" si="98"/>
        <v>179073</v>
      </c>
      <c r="H371" s="52">
        <f t="shared" si="99"/>
        <v>184335</v>
      </c>
      <c r="I371" s="61">
        <f t="shared" si="100"/>
        <v>152355</v>
      </c>
      <c r="J371" s="52">
        <f t="shared" si="94"/>
        <v>158840</v>
      </c>
      <c r="K371" s="49">
        <f t="shared" si="101"/>
        <v>41066</v>
      </c>
      <c r="L371" s="50">
        <f t="shared" si="102"/>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
      <c r="A372" s="30" t="s">
        <v>78</v>
      </c>
      <c r="B372" s="1" t="s">
        <v>438</v>
      </c>
      <c r="C372" s="29" t="str">
        <f t="shared" si="103"/>
        <v>LA England - North Somerset</v>
      </c>
      <c r="D372" s="50">
        <f t="shared" si="95"/>
        <v>92254</v>
      </c>
      <c r="E372" s="50">
        <f t="shared" si="96"/>
        <v>98720</v>
      </c>
      <c r="F372" s="51">
        <f t="shared" si="97"/>
        <v>219145</v>
      </c>
      <c r="G372" s="51">
        <f t="shared" si="98"/>
        <v>106653</v>
      </c>
      <c r="H372" s="52">
        <f t="shared" si="99"/>
        <v>112492</v>
      </c>
      <c r="I372" s="61">
        <f t="shared" si="100"/>
        <v>92254</v>
      </c>
      <c r="J372" s="52">
        <f t="shared" si="94"/>
        <v>98720</v>
      </c>
      <c r="K372" s="49">
        <f t="shared" si="101"/>
        <v>22301</v>
      </c>
      <c r="L372" s="50">
        <f t="shared" si="102"/>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
      <c r="A373" s="30" t="s">
        <v>78</v>
      </c>
      <c r="B373" s="1" t="s">
        <v>439</v>
      </c>
      <c r="C373" s="29" t="str">
        <f t="shared" si="103"/>
        <v>LA England - North Tyneside</v>
      </c>
      <c r="D373" s="50">
        <f t="shared" si="95"/>
        <v>88075</v>
      </c>
      <c r="E373" s="50">
        <f t="shared" si="96"/>
        <v>94856</v>
      </c>
      <c r="F373" s="51">
        <f t="shared" si="97"/>
        <v>210487</v>
      </c>
      <c r="G373" s="51">
        <f t="shared" si="98"/>
        <v>102303</v>
      </c>
      <c r="H373" s="52">
        <f t="shared" si="99"/>
        <v>108184</v>
      </c>
      <c r="I373" s="61">
        <f t="shared" si="100"/>
        <v>88075</v>
      </c>
      <c r="J373" s="52">
        <f t="shared" si="94"/>
        <v>94856</v>
      </c>
      <c r="K373" s="49">
        <f t="shared" si="101"/>
        <v>21839</v>
      </c>
      <c r="L373" s="50">
        <f t="shared" si="102"/>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
      <c r="A374" s="30" t="s">
        <v>78</v>
      </c>
      <c r="B374" s="1" t="s">
        <v>440</v>
      </c>
      <c r="C374" s="29" t="str">
        <f t="shared" si="103"/>
        <v>LA England - North Warwickshire</v>
      </c>
      <c r="D374" s="50">
        <f t="shared" si="95"/>
        <v>27984</v>
      </c>
      <c r="E374" s="50">
        <f t="shared" si="96"/>
        <v>29435</v>
      </c>
      <c r="F374" s="51">
        <f t="shared" si="97"/>
        <v>65946</v>
      </c>
      <c r="G374" s="51">
        <f t="shared" si="98"/>
        <v>32219</v>
      </c>
      <c r="H374" s="52">
        <f t="shared" si="99"/>
        <v>33727</v>
      </c>
      <c r="I374" s="61">
        <f t="shared" si="100"/>
        <v>27984</v>
      </c>
      <c r="J374" s="52">
        <f t="shared" si="94"/>
        <v>29435</v>
      </c>
      <c r="K374" s="49">
        <f t="shared" si="101"/>
        <v>6388</v>
      </c>
      <c r="L374" s="50">
        <f t="shared" si="102"/>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
      <c r="A375" s="30" t="s">
        <v>78</v>
      </c>
      <c r="B375" s="1" t="s">
        <v>441</v>
      </c>
      <c r="C375" s="29" t="str">
        <f t="shared" si="103"/>
        <v>LA England - North West Leicestershire</v>
      </c>
      <c r="D375" s="50">
        <f t="shared" si="95"/>
        <v>45707</v>
      </c>
      <c r="E375" s="50">
        <f t="shared" si="96"/>
        <v>47783</v>
      </c>
      <c r="F375" s="51">
        <f t="shared" si="97"/>
        <v>107672</v>
      </c>
      <c r="G375" s="51">
        <f t="shared" si="98"/>
        <v>52971</v>
      </c>
      <c r="H375" s="52">
        <f t="shared" si="99"/>
        <v>54701</v>
      </c>
      <c r="I375" s="61">
        <f t="shared" si="100"/>
        <v>45707</v>
      </c>
      <c r="J375" s="52">
        <f t="shared" si="94"/>
        <v>47783</v>
      </c>
      <c r="K375" s="49">
        <f t="shared" si="101"/>
        <v>11048</v>
      </c>
      <c r="L375" s="50">
        <f t="shared" si="102"/>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
      <c r="A376" s="30" t="s">
        <v>78</v>
      </c>
      <c r="B376" s="1" t="s">
        <v>442</v>
      </c>
      <c r="C376" s="29" t="str">
        <f t="shared" si="103"/>
        <v>LA England - North Yorkshire</v>
      </c>
      <c r="D376" s="50">
        <f t="shared" si="95"/>
        <v>268534</v>
      </c>
      <c r="E376" s="50">
        <f t="shared" si="96"/>
        <v>282566</v>
      </c>
      <c r="F376" s="51">
        <f t="shared" si="97"/>
        <v>623501</v>
      </c>
      <c r="G376" s="51">
        <f t="shared" si="98"/>
        <v>305722</v>
      </c>
      <c r="H376" s="52">
        <f t="shared" si="99"/>
        <v>317779</v>
      </c>
      <c r="I376" s="61">
        <f t="shared" si="100"/>
        <v>268534</v>
      </c>
      <c r="J376" s="52">
        <f t="shared" si="94"/>
        <v>282566</v>
      </c>
      <c r="K376" s="49">
        <f t="shared" si="101"/>
        <v>58787</v>
      </c>
      <c r="L376" s="50">
        <f t="shared" si="102"/>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
      <c r="A377" s="30" t="s">
        <v>78</v>
      </c>
      <c r="B377" s="1" t="s">
        <v>443</v>
      </c>
      <c r="C377" s="29" t="str">
        <f t="shared" si="103"/>
        <v>LA England - Northumberland</v>
      </c>
      <c r="D377" s="50">
        <f t="shared" si="95"/>
        <v>138987</v>
      </c>
      <c r="E377" s="50">
        <f t="shared" si="96"/>
        <v>147599</v>
      </c>
      <c r="F377" s="51">
        <f t="shared" si="97"/>
        <v>324362</v>
      </c>
      <c r="G377" s="51">
        <f t="shared" si="98"/>
        <v>158454</v>
      </c>
      <c r="H377" s="52">
        <f t="shared" si="99"/>
        <v>165908</v>
      </c>
      <c r="I377" s="61">
        <f t="shared" si="100"/>
        <v>138987</v>
      </c>
      <c r="J377" s="52">
        <f t="shared" si="94"/>
        <v>147599</v>
      </c>
      <c r="K377" s="49">
        <f t="shared" si="101"/>
        <v>30220</v>
      </c>
      <c r="L377" s="50">
        <f t="shared" si="102"/>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
      <c r="A378" s="30" t="s">
        <v>78</v>
      </c>
      <c r="B378" s="1" t="s">
        <v>444</v>
      </c>
      <c r="C378" s="29" t="str">
        <f t="shared" si="103"/>
        <v>LA England - Norwich</v>
      </c>
      <c r="D378" s="50">
        <f t="shared" si="95"/>
        <v>62773</v>
      </c>
      <c r="E378" s="50">
        <f t="shared" si="96"/>
        <v>64577</v>
      </c>
      <c r="F378" s="51">
        <f t="shared" si="97"/>
        <v>144525</v>
      </c>
      <c r="G378" s="51">
        <f t="shared" si="98"/>
        <v>71583</v>
      </c>
      <c r="H378" s="52">
        <f t="shared" si="99"/>
        <v>72942</v>
      </c>
      <c r="I378" s="61">
        <f t="shared" si="100"/>
        <v>62773</v>
      </c>
      <c r="J378" s="52">
        <f t="shared" si="94"/>
        <v>64577</v>
      </c>
      <c r="K378" s="49">
        <f t="shared" si="101"/>
        <v>13079</v>
      </c>
      <c r="L378" s="50">
        <f t="shared" si="102"/>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
      <c r="A379" s="30" t="s">
        <v>78</v>
      </c>
      <c r="B379" s="1" t="s">
        <v>445</v>
      </c>
      <c r="C379" s="29" t="str">
        <f t="shared" si="103"/>
        <v>LA England - Nottingham</v>
      </c>
      <c r="D379" s="50">
        <f t="shared" si="95"/>
        <v>138669</v>
      </c>
      <c r="E379" s="50">
        <f t="shared" si="96"/>
        <v>144764</v>
      </c>
      <c r="F379" s="51">
        <f t="shared" si="97"/>
        <v>328513</v>
      </c>
      <c r="G379" s="51">
        <f t="shared" si="98"/>
        <v>161634</v>
      </c>
      <c r="H379" s="52">
        <f t="shared" si="99"/>
        <v>166879</v>
      </c>
      <c r="I379" s="61">
        <f t="shared" si="100"/>
        <v>138669</v>
      </c>
      <c r="J379" s="52">
        <f t="shared" si="94"/>
        <v>144764</v>
      </c>
      <c r="K379" s="49">
        <f t="shared" si="101"/>
        <v>34341</v>
      </c>
      <c r="L379" s="50">
        <f t="shared" si="102"/>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
      <c r="A380" s="30" t="s">
        <v>78</v>
      </c>
      <c r="B380" s="1" t="s">
        <v>446</v>
      </c>
      <c r="C380" s="29" t="str">
        <f t="shared" si="103"/>
        <v>LA England - Nuneaton and Bedworth</v>
      </c>
      <c r="D380" s="50">
        <f t="shared" si="95"/>
        <v>56439</v>
      </c>
      <c r="E380" s="50">
        <f t="shared" si="96"/>
        <v>59535</v>
      </c>
      <c r="F380" s="51">
        <f t="shared" si="97"/>
        <v>135481</v>
      </c>
      <c r="G380" s="51">
        <f t="shared" si="98"/>
        <v>66464</v>
      </c>
      <c r="H380" s="52">
        <f t="shared" si="99"/>
        <v>69017</v>
      </c>
      <c r="I380" s="61">
        <f t="shared" si="100"/>
        <v>56439</v>
      </c>
      <c r="J380" s="52">
        <f t="shared" si="94"/>
        <v>59535</v>
      </c>
      <c r="K380" s="49">
        <f t="shared" si="101"/>
        <v>14893</v>
      </c>
      <c r="L380" s="50">
        <f t="shared" si="102"/>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
      <c r="A381" s="30" t="s">
        <v>78</v>
      </c>
      <c r="B381" s="1" t="s">
        <v>447</v>
      </c>
      <c r="C381" s="29" t="str">
        <f t="shared" si="103"/>
        <v>LA England - Oadby and Wigston</v>
      </c>
      <c r="D381" s="50">
        <f t="shared" si="95"/>
        <v>24273</v>
      </c>
      <c r="E381" s="50">
        <f t="shared" si="96"/>
        <v>26103</v>
      </c>
      <c r="F381" s="51">
        <f t="shared" si="97"/>
        <v>58341</v>
      </c>
      <c r="G381" s="51">
        <f t="shared" si="98"/>
        <v>28391</v>
      </c>
      <c r="H381" s="52">
        <f t="shared" si="99"/>
        <v>29950</v>
      </c>
      <c r="I381" s="61">
        <f t="shared" si="100"/>
        <v>24273</v>
      </c>
      <c r="J381" s="52">
        <f t="shared" si="94"/>
        <v>26103</v>
      </c>
      <c r="K381" s="49">
        <f t="shared" si="101"/>
        <v>6244</v>
      </c>
      <c r="L381" s="50">
        <f t="shared" si="102"/>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
      <c r="A382" s="30" t="s">
        <v>78</v>
      </c>
      <c r="B382" s="1" t="s">
        <v>448</v>
      </c>
      <c r="C382" s="29" t="str">
        <f t="shared" si="103"/>
        <v>LA England - Oldham</v>
      </c>
      <c r="D382" s="50">
        <f t="shared" si="95"/>
        <v>98613</v>
      </c>
      <c r="E382" s="50">
        <f t="shared" si="96"/>
        <v>104493</v>
      </c>
      <c r="F382" s="51">
        <f t="shared" si="97"/>
        <v>243912</v>
      </c>
      <c r="G382" s="51">
        <f t="shared" si="98"/>
        <v>119371</v>
      </c>
      <c r="H382" s="52">
        <f t="shared" si="99"/>
        <v>124541</v>
      </c>
      <c r="I382" s="61">
        <f t="shared" si="100"/>
        <v>98613</v>
      </c>
      <c r="J382" s="52">
        <f t="shared" si="94"/>
        <v>104493</v>
      </c>
      <c r="K382" s="49">
        <f t="shared" si="101"/>
        <v>31770</v>
      </c>
      <c r="L382" s="50">
        <f t="shared" si="102"/>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
      <c r="A383" s="30" t="s">
        <v>78</v>
      </c>
      <c r="B383" s="1" t="s">
        <v>449</v>
      </c>
      <c r="C383" s="29" t="str">
        <f t="shared" si="103"/>
        <v>LA England - Oxford</v>
      </c>
      <c r="D383" s="50">
        <f t="shared" si="95"/>
        <v>70769</v>
      </c>
      <c r="E383" s="50">
        <f t="shared" si="96"/>
        <v>74287</v>
      </c>
      <c r="F383" s="51">
        <f t="shared" si="97"/>
        <v>163257</v>
      </c>
      <c r="G383" s="51">
        <f t="shared" si="98"/>
        <v>80220</v>
      </c>
      <c r="H383" s="52">
        <f t="shared" si="99"/>
        <v>83037</v>
      </c>
      <c r="I383" s="61">
        <f t="shared" si="100"/>
        <v>70769</v>
      </c>
      <c r="J383" s="52">
        <f t="shared" si="94"/>
        <v>74287</v>
      </c>
      <c r="K383" s="49">
        <f t="shared" si="101"/>
        <v>14857</v>
      </c>
      <c r="L383" s="50">
        <f t="shared" si="102"/>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
      <c r="A384" s="30" t="s">
        <v>78</v>
      </c>
      <c r="B384" s="1" t="s">
        <v>450</v>
      </c>
      <c r="C384" s="29" t="str">
        <f t="shared" si="103"/>
        <v>LA England - Pendle</v>
      </c>
      <c r="D384" s="50">
        <f t="shared" si="95"/>
        <v>39917</v>
      </c>
      <c r="E384" s="50">
        <f t="shared" si="96"/>
        <v>41160</v>
      </c>
      <c r="F384" s="51">
        <f t="shared" si="97"/>
        <v>96110</v>
      </c>
      <c r="G384" s="51">
        <f t="shared" si="98"/>
        <v>47583</v>
      </c>
      <c r="H384" s="52">
        <f t="shared" si="99"/>
        <v>48527</v>
      </c>
      <c r="I384" s="61">
        <f t="shared" si="100"/>
        <v>39917</v>
      </c>
      <c r="J384" s="52">
        <f t="shared" si="94"/>
        <v>41160</v>
      </c>
      <c r="K384" s="49">
        <f t="shared" si="101"/>
        <v>11776</v>
      </c>
      <c r="L384" s="50">
        <f t="shared" si="102"/>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
      <c r="A385" s="30" t="s">
        <v>78</v>
      </c>
      <c r="B385" s="1" t="s">
        <v>451</v>
      </c>
      <c r="C385" s="29" t="str">
        <f t="shared" si="103"/>
        <v>LA England - Peterborough</v>
      </c>
      <c r="D385" s="50">
        <f t="shared" si="95"/>
        <v>88638</v>
      </c>
      <c r="E385" s="50">
        <f t="shared" si="96"/>
        <v>92372</v>
      </c>
      <c r="F385" s="51">
        <f t="shared" si="97"/>
        <v>217705</v>
      </c>
      <c r="G385" s="51">
        <f t="shared" si="98"/>
        <v>107535</v>
      </c>
      <c r="H385" s="52">
        <f t="shared" si="99"/>
        <v>110170</v>
      </c>
      <c r="I385" s="61">
        <f t="shared" si="100"/>
        <v>88638</v>
      </c>
      <c r="J385" s="52">
        <f t="shared" si="94"/>
        <v>92372</v>
      </c>
      <c r="K385" s="49">
        <f t="shared" si="101"/>
        <v>28327</v>
      </c>
      <c r="L385" s="50">
        <f t="shared" si="102"/>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
      <c r="A386" s="30" t="s">
        <v>78</v>
      </c>
      <c r="B386" s="1" t="s">
        <v>452</v>
      </c>
      <c r="C386" s="29" t="str">
        <f t="shared" si="103"/>
        <v>LA England - Plymouth</v>
      </c>
      <c r="D386" s="50">
        <f t="shared" si="95"/>
        <v>113349</v>
      </c>
      <c r="E386" s="50">
        <f t="shared" si="96"/>
        <v>119281</v>
      </c>
      <c r="F386" s="51">
        <f t="shared" si="97"/>
        <v>266862</v>
      </c>
      <c r="G386" s="51">
        <f t="shared" si="98"/>
        <v>131031</v>
      </c>
      <c r="H386" s="52">
        <f t="shared" si="99"/>
        <v>135831</v>
      </c>
      <c r="I386" s="61">
        <f t="shared" si="100"/>
        <v>113349</v>
      </c>
      <c r="J386" s="52">
        <f t="shared" si="94"/>
        <v>119281</v>
      </c>
      <c r="K386" s="49">
        <f t="shared" si="101"/>
        <v>26717</v>
      </c>
      <c r="L386" s="50">
        <f t="shared" si="102"/>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
      <c r="A387" s="30" t="s">
        <v>78</v>
      </c>
      <c r="B387" s="1" t="s">
        <v>453</v>
      </c>
      <c r="C387" s="29" t="str">
        <f t="shared" si="103"/>
        <v>LA England - Portsmouth</v>
      </c>
      <c r="D387" s="50">
        <f t="shared" si="95"/>
        <v>89417</v>
      </c>
      <c r="E387" s="50">
        <f t="shared" si="96"/>
        <v>90745</v>
      </c>
      <c r="F387" s="51">
        <f t="shared" si="97"/>
        <v>208420</v>
      </c>
      <c r="G387" s="51">
        <f t="shared" si="98"/>
        <v>103763</v>
      </c>
      <c r="H387" s="52">
        <f t="shared" si="99"/>
        <v>104657</v>
      </c>
      <c r="I387" s="61">
        <f t="shared" si="100"/>
        <v>89417</v>
      </c>
      <c r="J387" s="52">
        <f t="shared" si="94"/>
        <v>90745</v>
      </c>
      <c r="K387" s="49">
        <f t="shared" si="101"/>
        <v>21499</v>
      </c>
      <c r="L387" s="50">
        <f t="shared" si="102"/>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
      <c r="A388" s="30" t="s">
        <v>78</v>
      </c>
      <c r="B388" s="1" t="s">
        <v>454</v>
      </c>
      <c r="C388" s="29" t="str">
        <f t="shared" si="103"/>
        <v>LA England - Preston</v>
      </c>
      <c r="D388" s="50">
        <f t="shared" si="95"/>
        <v>64508</v>
      </c>
      <c r="E388" s="50">
        <f t="shared" si="96"/>
        <v>64618</v>
      </c>
      <c r="F388" s="51">
        <f t="shared" si="97"/>
        <v>151582</v>
      </c>
      <c r="G388" s="51">
        <f t="shared" si="98"/>
        <v>75998</v>
      </c>
      <c r="H388" s="52">
        <f t="shared" si="99"/>
        <v>75584</v>
      </c>
      <c r="I388" s="61">
        <f t="shared" si="100"/>
        <v>64508</v>
      </c>
      <c r="J388" s="52">
        <f t="shared" si="94"/>
        <v>64618</v>
      </c>
      <c r="K388" s="49">
        <f t="shared" si="101"/>
        <v>17343</v>
      </c>
      <c r="L388" s="50">
        <f t="shared" si="102"/>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
      <c r="A389" s="30" t="s">
        <v>78</v>
      </c>
      <c r="B389" s="1" t="s">
        <v>455</v>
      </c>
      <c r="C389" s="29" t="str">
        <f t="shared" si="103"/>
        <v>LA England - Reading</v>
      </c>
      <c r="D389" s="50">
        <f t="shared" si="95"/>
        <v>74713</v>
      </c>
      <c r="E389" s="50">
        <f t="shared" si="96"/>
        <v>75126</v>
      </c>
      <c r="F389" s="51">
        <f t="shared" si="97"/>
        <v>174820</v>
      </c>
      <c r="G389" s="51">
        <f t="shared" si="98"/>
        <v>87515</v>
      </c>
      <c r="H389" s="52">
        <f t="shared" si="99"/>
        <v>87305</v>
      </c>
      <c r="I389" s="61">
        <f t="shared" si="100"/>
        <v>74713</v>
      </c>
      <c r="J389" s="52">
        <f t="shared" si="94"/>
        <v>75126</v>
      </c>
      <c r="K389" s="49">
        <f t="shared" si="101"/>
        <v>18926</v>
      </c>
      <c r="L389" s="50">
        <f t="shared" si="102"/>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
      <c r="A390" s="30" t="s">
        <v>78</v>
      </c>
      <c r="B390" s="1" t="s">
        <v>456</v>
      </c>
      <c r="C390" s="29" t="str">
        <f t="shared" si="103"/>
        <v>LA England - Redbridge</v>
      </c>
      <c r="D390" s="50">
        <f t="shared" si="95"/>
        <v>127717</v>
      </c>
      <c r="E390" s="50">
        <f t="shared" si="96"/>
        <v>131595</v>
      </c>
      <c r="F390" s="51">
        <f t="shared" si="97"/>
        <v>310911</v>
      </c>
      <c r="G390" s="51">
        <f t="shared" si="98"/>
        <v>153994</v>
      </c>
      <c r="H390" s="52">
        <f t="shared" si="99"/>
        <v>156917</v>
      </c>
      <c r="I390" s="61">
        <f t="shared" si="100"/>
        <v>127717</v>
      </c>
      <c r="J390" s="52">
        <f t="shared" si="94"/>
        <v>131595</v>
      </c>
      <c r="K390" s="49">
        <f t="shared" si="101"/>
        <v>39341</v>
      </c>
      <c r="L390" s="50">
        <f t="shared" si="102"/>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
      <c r="A391" s="30" t="s">
        <v>78</v>
      </c>
      <c r="B391" s="1" t="s">
        <v>457</v>
      </c>
      <c r="C391" s="29" t="str">
        <f t="shared" si="103"/>
        <v>LA England - Redcar and Cleveland</v>
      </c>
      <c r="D391" s="50">
        <f t="shared" si="95"/>
        <v>57551</v>
      </c>
      <c r="E391" s="50">
        <f t="shared" si="96"/>
        <v>61848</v>
      </c>
      <c r="F391" s="51">
        <f t="shared" si="97"/>
        <v>137175</v>
      </c>
      <c r="G391" s="51">
        <f t="shared" si="98"/>
        <v>66603</v>
      </c>
      <c r="H391" s="52">
        <f t="shared" si="99"/>
        <v>70572</v>
      </c>
      <c r="I391" s="61">
        <f t="shared" si="100"/>
        <v>57551</v>
      </c>
      <c r="J391" s="52">
        <f t="shared" si="94"/>
        <v>61848</v>
      </c>
      <c r="K391" s="49">
        <f>SUM(M391:AD391)</f>
        <v>13948</v>
      </c>
      <c r="L391" s="50">
        <f t="shared" si="102"/>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
      <c r="A392" s="30" t="s">
        <v>78</v>
      </c>
      <c r="B392" s="1" t="s">
        <v>458</v>
      </c>
      <c r="C392" s="29" t="str">
        <f t="shared" si="103"/>
        <v>LA England - Redditch</v>
      </c>
      <c r="D392" s="50">
        <f t="shared" si="95"/>
        <v>36500</v>
      </c>
      <c r="E392" s="50">
        <f t="shared" si="96"/>
        <v>38075</v>
      </c>
      <c r="F392" s="51">
        <f t="shared" si="97"/>
        <v>87132</v>
      </c>
      <c r="G392" s="51">
        <f t="shared" si="98"/>
        <v>42934</v>
      </c>
      <c r="H392" s="52">
        <f t="shared" si="99"/>
        <v>44198</v>
      </c>
      <c r="I392" s="61">
        <f t="shared" si="100"/>
        <v>36500</v>
      </c>
      <c r="J392" s="52">
        <f t="shared" si="94"/>
        <v>38075</v>
      </c>
      <c r="K392" s="49">
        <f>SUM(M392:AD392)</f>
        <v>9734</v>
      </c>
      <c r="L392" s="50">
        <f t="shared" si="102"/>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
      <c r="A393" s="30" t="s">
        <v>78</v>
      </c>
      <c r="B393" s="1" t="s">
        <v>459</v>
      </c>
      <c r="C393" s="29" t="str">
        <f t="shared" si="103"/>
        <v>LA England - Reigate and Banstead</v>
      </c>
      <c r="D393" s="50">
        <f t="shared" si="95"/>
        <v>63316</v>
      </c>
      <c r="E393" s="50">
        <f t="shared" si="96"/>
        <v>67081</v>
      </c>
      <c r="F393" s="51">
        <f t="shared" si="97"/>
        <v>153629</v>
      </c>
      <c r="G393" s="51">
        <f t="shared" si="98"/>
        <v>75130</v>
      </c>
      <c r="H393" s="52">
        <f t="shared" si="99"/>
        <v>78499</v>
      </c>
      <c r="I393" s="61">
        <f t="shared" si="100"/>
        <v>63316</v>
      </c>
      <c r="J393" s="52">
        <f t="shared" ref="J393:J456" si="104">SUM(DL393:GL393)</f>
        <v>67081</v>
      </c>
      <c r="K393" s="49">
        <f>SUM(M393:AD393)</f>
        <v>17804</v>
      </c>
      <c r="L393" s="50">
        <f t="shared" si="102"/>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
      <c r="A394" s="30" t="s">
        <v>78</v>
      </c>
      <c r="B394" s="1" t="s">
        <v>460</v>
      </c>
      <c r="C394" s="29" t="str">
        <f t="shared" si="103"/>
        <v>LA England - Ribble Valley</v>
      </c>
      <c r="D394" s="50">
        <f t="shared" ref="D394:D457" si="105">I394</f>
        <v>27126</v>
      </c>
      <c r="E394" s="50">
        <f t="shared" ref="E394:E457" si="106">J394</f>
        <v>28691</v>
      </c>
      <c r="F394" s="51">
        <f t="shared" ref="F394:F457" si="107">G394+H394</f>
        <v>63107</v>
      </c>
      <c r="G394" s="51">
        <f t="shared" ref="G394:G457" si="108">SUM(M394:CY394)</f>
        <v>30876</v>
      </c>
      <c r="H394" s="52">
        <f t="shared" ref="H394:H457" si="109">SUM(CZ394:GL394)</f>
        <v>32231</v>
      </c>
      <c r="I394" s="61">
        <f t="shared" ref="I394:I457" si="110">SUM(Y394:CY394)</f>
        <v>27126</v>
      </c>
      <c r="J394" s="52">
        <f t="shared" si="104"/>
        <v>28691</v>
      </c>
      <c r="K394" s="49">
        <f t="shared" ref="K394:K457" si="111">SUM(M394:AD394)</f>
        <v>6110</v>
      </c>
      <c r="L394" s="50">
        <f t="shared" ref="L394:L457" si="112">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
      <c r="A395" s="30" t="s">
        <v>78</v>
      </c>
      <c r="B395" s="1" t="s">
        <v>461</v>
      </c>
      <c r="C395" s="29" t="str">
        <f t="shared" si="103"/>
        <v>LA England - Richmond upon Thames</v>
      </c>
      <c r="D395" s="50">
        <f t="shared" si="105"/>
        <v>79080</v>
      </c>
      <c r="E395" s="50">
        <f t="shared" si="106"/>
        <v>87020</v>
      </c>
      <c r="F395" s="51">
        <f t="shared" si="107"/>
        <v>194894</v>
      </c>
      <c r="G395" s="51">
        <f t="shared" si="108"/>
        <v>93837</v>
      </c>
      <c r="H395" s="52">
        <f t="shared" si="109"/>
        <v>101057</v>
      </c>
      <c r="I395" s="61">
        <f t="shared" si="110"/>
        <v>79080</v>
      </c>
      <c r="J395" s="52">
        <f t="shared" si="104"/>
        <v>87020</v>
      </c>
      <c r="K395" s="49">
        <f t="shared" si="111"/>
        <v>22494</v>
      </c>
      <c r="L395" s="50">
        <f t="shared" si="112"/>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
      <c r="A396" s="30" t="s">
        <v>78</v>
      </c>
      <c r="B396" s="1" t="s">
        <v>462</v>
      </c>
      <c r="C396" s="29" t="str">
        <f t="shared" ref="C396:C459" si="113">CONCATENATE(A396," - ",B396)</f>
        <v>LA England - Rochdale</v>
      </c>
      <c r="D396" s="50">
        <f t="shared" si="105"/>
        <v>92482</v>
      </c>
      <c r="E396" s="50">
        <f t="shared" si="106"/>
        <v>97729</v>
      </c>
      <c r="F396" s="51">
        <f t="shared" si="107"/>
        <v>226992</v>
      </c>
      <c r="G396" s="51">
        <f t="shared" si="108"/>
        <v>111355</v>
      </c>
      <c r="H396" s="52">
        <f t="shared" si="109"/>
        <v>115637</v>
      </c>
      <c r="I396" s="61">
        <f t="shared" si="110"/>
        <v>92482</v>
      </c>
      <c r="J396" s="52">
        <f t="shared" si="104"/>
        <v>97729</v>
      </c>
      <c r="K396" s="49">
        <f t="shared" si="111"/>
        <v>28605</v>
      </c>
      <c r="L396" s="50">
        <f t="shared" si="112"/>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
      <c r="A397" s="30" t="s">
        <v>78</v>
      </c>
      <c r="B397" s="1" t="s">
        <v>463</v>
      </c>
      <c r="C397" s="29" t="str">
        <f t="shared" si="113"/>
        <v>LA England - Rochford</v>
      </c>
      <c r="D397" s="50">
        <f t="shared" si="105"/>
        <v>36581</v>
      </c>
      <c r="E397" s="50">
        <f t="shared" si="106"/>
        <v>39488</v>
      </c>
      <c r="F397" s="51">
        <f t="shared" si="107"/>
        <v>87216</v>
      </c>
      <c r="G397" s="51">
        <f t="shared" si="108"/>
        <v>42260</v>
      </c>
      <c r="H397" s="52">
        <f t="shared" si="109"/>
        <v>44956</v>
      </c>
      <c r="I397" s="61">
        <f t="shared" si="110"/>
        <v>36581</v>
      </c>
      <c r="J397" s="52">
        <f t="shared" si="104"/>
        <v>39488</v>
      </c>
      <c r="K397" s="49">
        <f t="shared" si="111"/>
        <v>8861</v>
      </c>
      <c r="L397" s="50">
        <f t="shared" si="112"/>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
      <c r="A398" s="30" t="s">
        <v>78</v>
      </c>
      <c r="B398" s="1" t="s">
        <v>464</v>
      </c>
      <c r="C398" s="29" t="str">
        <f t="shared" si="113"/>
        <v>LA England - Rossendale</v>
      </c>
      <c r="D398" s="50">
        <f t="shared" si="105"/>
        <v>29892</v>
      </c>
      <c r="E398" s="50">
        <f t="shared" si="106"/>
        <v>31392</v>
      </c>
      <c r="F398" s="51">
        <f t="shared" si="107"/>
        <v>71169</v>
      </c>
      <c r="G398" s="51">
        <f t="shared" si="108"/>
        <v>34978</v>
      </c>
      <c r="H398" s="52">
        <f t="shared" si="109"/>
        <v>36191</v>
      </c>
      <c r="I398" s="61">
        <f t="shared" si="110"/>
        <v>29892</v>
      </c>
      <c r="J398" s="52">
        <f t="shared" si="104"/>
        <v>31392</v>
      </c>
      <c r="K398" s="49">
        <f t="shared" si="111"/>
        <v>7865</v>
      </c>
      <c r="L398" s="50">
        <f t="shared" si="112"/>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
      <c r="A399" s="30" t="s">
        <v>78</v>
      </c>
      <c r="B399" s="1" t="s">
        <v>465</v>
      </c>
      <c r="C399" s="29" t="str">
        <f t="shared" si="113"/>
        <v>LA England - Rother</v>
      </c>
      <c r="D399" s="50">
        <f t="shared" si="105"/>
        <v>39594</v>
      </c>
      <c r="E399" s="50">
        <f t="shared" si="106"/>
        <v>44707</v>
      </c>
      <c r="F399" s="51">
        <f t="shared" si="107"/>
        <v>94162</v>
      </c>
      <c r="G399" s="51">
        <f t="shared" si="108"/>
        <v>44734</v>
      </c>
      <c r="H399" s="52">
        <f t="shared" si="109"/>
        <v>49428</v>
      </c>
      <c r="I399" s="61">
        <f t="shared" si="110"/>
        <v>39594</v>
      </c>
      <c r="J399" s="52">
        <f t="shared" si="104"/>
        <v>44707</v>
      </c>
      <c r="K399" s="49">
        <f t="shared" si="111"/>
        <v>8040</v>
      </c>
      <c r="L399" s="50">
        <f t="shared" si="112"/>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
      <c r="A400" s="30" t="s">
        <v>78</v>
      </c>
      <c r="B400" s="1" t="s">
        <v>466</v>
      </c>
      <c r="C400" s="29" t="str">
        <f t="shared" si="113"/>
        <v>LA England - Rotherham</v>
      </c>
      <c r="D400" s="50">
        <f t="shared" si="105"/>
        <v>112571</v>
      </c>
      <c r="E400" s="50">
        <f t="shared" si="106"/>
        <v>118164</v>
      </c>
      <c r="F400" s="51">
        <f t="shared" si="107"/>
        <v>268354</v>
      </c>
      <c r="G400" s="51">
        <f t="shared" si="108"/>
        <v>131784</v>
      </c>
      <c r="H400" s="52">
        <f t="shared" si="109"/>
        <v>136570</v>
      </c>
      <c r="I400" s="61">
        <f t="shared" si="110"/>
        <v>112571</v>
      </c>
      <c r="J400" s="52">
        <f t="shared" si="104"/>
        <v>118164</v>
      </c>
      <c r="K400" s="49">
        <f t="shared" si="111"/>
        <v>29238</v>
      </c>
      <c r="L400" s="50">
        <f t="shared" si="112"/>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
      <c r="A401" s="30" t="s">
        <v>78</v>
      </c>
      <c r="B401" s="1" t="s">
        <v>467</v>
      </c>
      <c r="C401" s="29" t="str">
        <f t="shared" si="113"/>
        <v>LA England - Rugby</v>
      </c>
      <c r="D401" s="50">
        <f t="shared" si="105"/>
        <v>49351</v>
      </c>
      <c r="E401" s="50">
        <f t="shared" si="106"/>
        <v>50208</v>
      </c>
      <c r="F401" s="51">
        <f t="shared" si="107"/>
        <v>116436</v>
      </c>
      <c r="G401" s="51">
        <f t="shared" si="108"/>
        <v>57920</v>
      </c>
      <c r="H401" s="52">
        <f t="shared" si="109"/>
        <v>58516</v>
      </c>
      <c r="I401" s="61">
        <f t="shared" si="110"/>
        <v>49351</v>
      </c>
      <c r="J401" s="52">
        <f t="shared" si="104"/>
        <v>50208</v>
      </c>
      <c r="K401" s="49">
        <f t="shared" si="111"/>
        <v>13169</v>
      </c>
      <c r="L401" s="50">
        <f t="shared" si="112"/>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
      <c r="A402" s="30" t="s">
        <v>78</v>
      </c>
      <c r="B402" s="1" t="s">
        <v>468</v>
      </c>
      <c r="C402" s="29" t="str">
        <f t="shared" si="113"/>
        <v>LA England - Runnymede</v>
      </c>
      <c r="D402" s="50">
        <f t="shared" si="105"/>
        <v>36858</v>
      </c>
      <c r="E402" s="50">
        <f t="shared" si="106"/>
        <v>40105</v>
      </c>
      <c r="F402" s="51">
        <f t="shared" si="107"/>
        <v>88524</v>
      </c>
      <c r="G402" s="51">
        <f t="shared" si="108"/>
        <v>42769</v>
      </c>
      <c r="H402" s="52">
        <f t="shared" si="109"/>
        <v>45755</v>
      </c>
      <c r="I402" s="61">
        <f t="shared" si="110"/>
        <v>36858</v>
      </c>
      <c r="J402" s="52">
        <f t="shared" si="104"/>
        <v>40105</v>
      </c>
      <c r="K402" s="49">
        <f t="shared" si="111"/>
        <v>8844</v>
      </c>
      <c r="L402" s="50">
        <f t="shared" si="112"/>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
      <c r="A403" s="30" t="s">
        <v>78</v>
      </c>
      <c r="B403" s="1" t="s">
        <v>469</v>
      </c>
      <c r="C403" s="29" t="str">
        <f t="shared" si="113"/>
        <v>LA England - Rushcliffe</v>
      </c>
      <c r="D403" s="50">
        <f t="shared" si="105"/>
        <v>51330</v>
      </c>
      <c r="E403" s="50">
        <f t="shared" si="106"/>
        <v>54223</v>
      </c>
      <c r="F403" s="51">
        <f t="shared" si="107"/>
        <v>121582</v>
      </c>
      <c r="G403" s="51">
        <f t="shared" si="108"/>
        <v>59659</v>
      </c>
      <c r="H403" s="52">
        <f t="shared" si="109"/>
        <v>61923</v>
      </c>
      <c r="I403" s="61">
        <f t="shared" si="110"/>
        <v>51330</v>
      </c>
      <c r="J403" s="52">
        <f t="shared" si="104"/>
        <v>54223</v>
      </c>
      <c r="K403" s="49">
        <f t="shared" si="111"/>
        <v>12833</v>
      </c>
      <c r="L403" s="50">
        <f t="shared" si="112"/>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
      <c r="A404" s="30" t="s">
        <v>78</v>
      </c>
      <c r="B404" s="1" t="s">
        <v>470</v>
      </c>
      <c r="C404" s="29" t="str">
        <f t="shared" si="113"/>
        <v>LA England - Rushmoor</v>
      </c>
      <c r="D404" s="50">
        <f t="shared" si="105"/>
        <v>43152</v>
      </c>
      <c r="E404" s="50">
        <f t="shared" si="106"/>
        <v>43179</v>
      </c>
      <c r="F404" s="51">
        <f t="shared" si="107"/>
        <v>101060</v>
      </c>
      <c r="G404" s="51">
        <f t="shared" si="108"/>
        <v>50789</v>
      </c>
      <c r="H404" s="52">
        <f t="shared" si="109"/>
        <v>50271</v>
      </c>
      <c r="I404" s="61">
        <f t="shared" si="110"/>
        <v>43152</v>
      </c>
      <c r="J404" s="52">
        <f t="shared" si="104"/>
        <v>43179</v>
      </c>
      <c r="K404" s="49">
        <f t="shared" si="111"/>
        <v>11046</v>
      </c>
      <c r="L404" s="50">
        <f t="shared" si="112"/>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
      <c r="A405" s="30" t="s">
        <v>78</v>
      </c>
      <c r="B405" s="1" t="s">
        <v>471</v>
      </c>
      <c r="C405" s="29" t="str">
        <f t="shared" si="113"/>
        <v>LA England - Rutland</v>
      </c>
      <c r="D405" s="50">
        <f t="shared" si="105"/>
        <v>18850</v>
      </c>
      <c r="E405" s="50">
        <f t="shared" si="106"/>
        <v>17915</v>
      </c>
      <c r="F405" s="51">
        <f t="shared" si="107"/>
        <v>41151</v>
      </c>
      <c r="G405" s="51">
        <f t="shared" si="108"/>
        <v>21127</v>
      </c>
      <c r="H405" s="52">
        <f t="shared" si="109"/>
        <v>20024</v>
      </c>
      <c r="I405" s="61">
        <f t="shared" si="110"/>
        <v>18850</v>
      </c>
      <c r="J405" s="52">
        <f t="shared" si="104"/>
        <v>17915</v>
      </c>
      <c r="K405" s="49">
        <f t="shared" si="111"/>
        <v>4185</v>
      </c>
      <c r="L405" s="50">
        <f t="shared" si="112"/>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
      <c r="A406" s="30" t="s">
        <v>78</v>
      </c>
      <c r="B406" s="1" t="s">
        <v>472</v>
      </c>
      <c r="C406" s="29" t="str">
        <f t="shared" si="113"/>
        <v>LA England - Salford</v>
      </c>
      <c r="D406" s="50">
        <f t="shared" si="105"/>
        <v>118542</v>
      </c>
      <c r="E406" s="50">
        <f t="shared" si="106"/>
        <v>118096</v>
      </c>
      <c r="F406" s="51">
        <f t="shared" si="107"/>
        <v>278064</v>
      </c>
      <c r="G406" s="51">
        <f t="shared" si="108"/>
        <v>139829</v>
      </c>
      <c r="H406" s="52">
        <f t="shared" si="109"/>
        <v>138235</v>
      </c>
      <c r="I406" s="61">
        <f t="shared" si="110"/>
        <v>118542</v>
      </c>
      <c r="J406" s="52">
        <f t="shared" si="104"/>
        <v>118096</v>
      </c>
      <c r="K406" s="49">
        <f t="shared" si="111"/>
        <v>30968</v>
      </c>
      <c r="L406" s="50">
        <f t="shared" si="112"/>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
      <c r="A407" s="30" t="s">
        <v>78</v>
      </c>
      <c r="B407" s="1" t="s">
        <v>473</v>
      </c>
      <c r="C407" s="29" t="str">
        <f t="shared" si="113"/>
        <v>LA England - Sandwell</v>
      </c>
      <c r="D407" s="50">
        <f t="shared" si="105"/>
        <v>140797</v>
      </c>
      <c r="E407" s="50">
        <f t="shared" si="106"/>
        <v>146638</v>
      </c>
      <c r="F407" s="51">
        <f t="shared" si="107"/>
        <v>344210</v>
      </c>
      <c r="G407" s="51">
        <f t="shared" si="108"/>
        <v>170114</v>
      </c>
      <c r="H407" s="52">
        <f t="shared" si="109"/>
        <v>174096</v>
      </c>
      <c r="I407" s="61">
        <f t="shared" si="110"/>
        <v>140797</v>
      </c>
      <c r="J407" s="52">
        <f t="shared" si="104"/>
        <v>146638</v>
      </c>
      <c r="K407" s="49">
        <f t="shared" si="111"/>
        <v>44342</v>
      </c>
      <c r="L407" s="50">
        <f t="shared" si="112"/>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
      <c r="A408" s="30" t="s">
        <v>78</v>
      </c>
      <c r="B408" s="1" t="s">
        <v>474</v>
      </c>
      <c r="C408" s="29" t="str">
        <f t="shared" si="113"/>
        <v>LA England - Sefton</v>
      </c>
      <c r="D408" s="50">
        <f t="shared" si="105"/>
        <v>118377</v>
      </c>
      <c r="E408" s="50">
        <f t="shared" si="106"/>
        <v>127630</v>
      </c>
      <c r="F408" s="51">
        <f t="shared" si="107"/>
        <v>281027</v>
      </c>
      <c r="G408" s="51">
        <f t="shared" si="108"/>
        <v>136313</v>
      </c>
      <c r="H408" s="52">
        <f t="shared" si="109"/>
        <v>144714</v>
      </c>
      <c r="I408" s="61">
        <f t="shared" si="110"/>
        <v>118377</v>
      </c>
      <c r="J408" s="52">
        <f t="shared" si="104"/>
        <v>127630</v>
      </c>
      <c r="K408" s="49">
        <f t="shared" si="111"/>
        <v>27464</v>
      </c>
      <c r="L408" s="50">
        <f t="shared" si="112"/>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
      <c r="A409" s="30" t="s">
        <v>78</v>
      </c>
      <c r="B409" s="1" t="s">
        <v>475</v>
      </c>
      <c r="C409" s="29" t="str">
        <f t="shared" si="113"/>
        <v>LA England - Sevenoaks</v>
      </c>
      <c r="D409" s="50">
        <f t="shared" si="105"/>
        <v>49503</v>
      </c>
      <c r="E409" s="50">
        <f t="shared" si="106"/>
        <v>54128</v>
      </c>
      <c r="F409" s="51">
        <f t="shared" si="107"/>
        <v>121106</v>
      </c>
      <c r="G409" s="51">
        <f t="shared" si="108"/>
        <v>58375</v>
      </c>
      <c r="H409" s="52">
        <f t="shared" si="109"/>
        <v>62731</v>
      </c>
      <c r="I409" s="61">
        <f t="shared" si="110"/>
        <v>49503</v>
      </c>
      <c r="J409" s="52">
        <f t="shared" si="104"/>
        <v>54128</v>
      </c>
      <c r="K409" s="49">
        <f t="shared" si="111"/>
        <v>13761</v>
      </c>
      <c r="L409" s="50">
        <f t="shared" si="112"/>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
      <c r="A410" s="30" t="s">
        <v>78</v>
      </c>
      <c r="B410" s="1" t="s">
        <v>476</v>
      </c>
      <c r="C410" s="29" t="str">
        <f t="shared" si="113"/>
        <v>LA England - Sheffield</v>
      </c>
      <c r="D410" s="50">
        <f t="shared" si="105"/>
        <v>241649</v>
      </c>
      <c r="E410" s="50">
        <f t="shared" si="106"/>
        <v>249031</v>
      </c>
      <c r="F410" s="51">
        <f t="shared" si="107"/>
        <v>566242</v>
      </c>
      <c r="G410" s="51">
        <f t="shared" si="108"/>
        <v>280173</v>
      </c>
      <c r="H410" s="52">
        <f t="shared" si="109"/>
        <v>286069</v>
      </c>
      <c r="I410" s="61">
        <f t="shared" si="110"/>
        <v>241649</v>
      </c>
      <c r="J410" s="52">
        <f t="shared" si="104"/>
        <v>249031</v>
      </c>
      <c r="K410" s="49">
        <f t="shared" si="111"/>
        <v>58188</v>
      </c>
      <c r="L410" s="50">
        <f t="shared" si="112"/>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
      <c r="A411" s="30" t="s">
        <v>78</v>
      </c>
      <c r="B411" s="1" t="s">
        <v>477</v>
      </c>
      <c r="C411" s="29" t="str">
        <f t="shared" si="113"/>
        <v>LA England - Shropshire</v>
      </c>
      <c r="D411" s="50">
        <f t="shared" si="105"/>
        <v>142166</v>
      </c>
      <c r="E411" s="50">
        <f t="shared" si="106"/>
        <v>147588</v>
      </c>
      <c r="F411" s="51">
        <f t="shared" si="107"/>
        <v>327178</v>
      </c>
      <c r="G411" s="51">
        <f t="shared" si="108"/>
        <v>161354</v>
      </c>
      <c r="H411" s="52">
        <f t="shared" si="109"/>
        <v>165824</v>
      </c>
      <c r="I411" s="61">
        <f t="shared" si="110"/>
        <v>142166</v>
      </c>
      <c r="J411" s="52">
        <f t="shared" si="104"/>
        <v>147588</v>
      </c>
      <c r="K411" s="49">
        <f t="shared" si="111"/>
        <v>30212</v>
      </c>
      <c r="L411" s="50">
        <f t="shared" si="112"/>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
      <c r="A412" s="30" t="s">
        <v>78</v>
      </c>
      <c r="B412" s="1" t="s">
        <v>478</v>
      </c>
      <c r="C412" s="29" t="str">
        <f t="shared" si="113"/>
        <v>LA England - Slough</v>
      </c>
      <c r="D412" s="50">
        <f t="shared" si="105"/>
        <v>63886</v>
      </c>
      <c r="E412" s="50">
        <f t="shared" si="106"/>
        <v>65733</v>
      </c>
      <c r="F412" s="51">
        <f t="shared" si="107"/>
        <v>159182</v>
      </c>
      <c r="G412" s="51">
        <f t="shared" si="108"/>
        <v>78924</v>
      </c>
      <c r="H412" s="52">
        <f t="shared" si="109"/>
        <v>80258</v>
      </c>
      <c r="I412" s="61">
        <f t="shared" si="110"/>
        <v>63886</v>
      </c>
      <c r="J412" s="52">
        <f t="shared" si="104"/>
        <v>65733</v>
      </c>
      <c r="K412" s="49">
        <f t="shared" si="111"/>
        <v>22483</v>
      </c>
      <c r="L412" s="50">
        <f t="shared" si="112"/>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
      <c r="A413" s="30" t="s">
        <v>78</v>
      </c>
      <c r="B413" s="1" t="s">
        <v>479</v>
      </c>
      <c r="C413" s="29" t="str">
        <f t="shared" si="113"/>
        <v>LA England - Solihull</v>
      </c>
      <c r="D413" s="50">
        <f t="shared" si="105"/>
        <v>89722</v>
      </c>
      <c r="E413" s="50">
        <f t="shared" si="106"/>
        <v>96710</v>
      </c>
      <c r="F413" s="51">
        <f t="shared" si="107"/>
        <v>217678</v>
      </c>
      <c r="G413" s="51">
        <f t="shared" si="108"/>
        <v>105819</v>
      </c>
      <c r="H413" s="52">
        <f t="shared" si="109"/>
        <v>111859</v>
      </c>
      <c r="I413" s="61">
        <f t="shared" si="110"/>
        <v>89722</v>
      </c>
      <c r="J413" s="52">
        <f t="shared" si="104"/>
        <v>96710</v>
      </c>
      <c r="K413" s="49">
        <f t="shared" si="111"/>
        <v>24693</v>
      </c>
      <c r="L413" s="50">
        <f t="shared" si="112"/>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
      <c r="A414" s="30" t="s">
        <v>78</v>
      </c>
      <c r="B414" s="1" t="s">
        <v>480</v>
      </c>
      <c r="C414" s="29" t="str">
        <f t="shared" si="113"/>
        <v>LA England - Somerset</v>
      </c>
      <c r="D414" s="50">
        <f t="shared" si="105"/>
        <v>246047</v>
      </c>
      <c r="E414" s="50">
        <f t="shared" si="106"/>
        <v>260122</v>
      </c>
      <c r="F414" s="51">
        <f t="shared" si="107"/>
        <v>576852</v>
      </c>
      <c r="G414" s="51">
        <f t="shared" si="108"/>
        <v>282176</v>
      </c>
      <c r="H414" s="52">
        <f t="shared" si="109"/>
        <v>294676</v>
      </c>
      <c r="I414" s="61">
        <f t="shared" si="110"/>
        <v>246047</v>
      </c>
      <c r="J414" s="52">
        <f t="shared" si="104"/>
        <v>260122</v>
      </c>
      <c r="K414" s="49">
        <f t="shared" si="111"/>
        <v>56523</v>
      </c>
      <c r="L414" s="50">
        <f t="shared" si="112"/>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
      <c r="A415" s="30" t="s">
        <v>78</v>
      </c>
      <c r="B415" s="1" t="s">
        <v>481</v>
      </c>
      <c r="C415" s="29" t="str">
        <f t="shared" si="113"/>
        <v>LA England - South Cambridgeshire</v>
      </c>
      <c r="D415" s="50">
        <f t="shared" si="105"/>
        <v>69009</v>
      </c>
      <c r="E415" s="50">
        <f t="shared" si="106"/>
        <v>72623</v>
      </c>
      <c r="F415" s="51">
        <f t="shared" si="107"/>
        <v>165633</v>
      </c>
      <c r="G415" s="51">
        <f t="shared" si="108"/>
        <v>81130</v>
      </c>
      <c r="H415" s="52">
        <f t="shared" si="109"/>
        <v>84503</v>
      </c>
      <c r="I415" s="61">
        <f t="shared" si="110"/>
        <v>69009</v>
      </c>
      <c r="J415" s="52">
        <f t="shared" si="104"/>
        <v>72623</v>
      </c>
      <c r="K415" s="49">
        <f t="shared" si="111"/>
        <v>18678</v>
      </c>
      <c r="L415" s="50">
        <f t="shared" si="112"/>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
      <c r="A416" s="30" t="s">
        <v>78</v>
      </c>
      <c r="B416" s="1" t="s">
        <v>482</v>
      </c>
      <c r="C416" s="29" t="str">
        <f t="shared" si="113"/>
        <v>LA England - South Derbyshire</v>
      </c>
      <c r="D416" s="50">
        <f t="shared" si="105"/>
        <v>46579</v>
      </c>
      <c r="E416" s="50">
        <f t="shared" si="106"/>
        <v>49164</v>
      </c>
      <c r="F416" s="51">
        <f t="shared" si="107"/>
        <v>111133</v>
      </c>
      <c r="G416" s="51">
        <f t="shared" si="108"/>
        <v>54368</v>
      </c>
      <c r="H416" s="52">
        <f t="shared" si="109"/>
        <v>56765</v>
      </c>
      <c r="I416" s="61">
        <f t="shared" si="110"/>
        <v>46579</v>
      </c>
      <c r="J416" s="52">
        <f t="shared" si="104"/>
        <v>49164</v>
      </c>
      <c r="K416" s="49">
        <f t="shared" si="111"/>
        <v>11982</v>
      </c>
      <c r="L416" s="50">
        <f t="shared" si="112"/>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
      <c r="A417" s="30" t="s">
        <v>78</v>
      </c>
      <c r="B417" s="1" t="s">
        <v>483</v>
      </c>
      <c r="C417" s="29" t="str">
        <f t="shared" si="113"/>
        <v>LA England - South Gloucestershire</v>
      </c>
      <c r="D417" s="50">
        <f t="shared" si="105"/>
        <v>125158</v>
      </c>
      <c r="E417" s="50">
        <f t="shared" si="106"/>
        <v>129346</v>
      </c>
      <c r="F417" s="51">
        <f t="shared" si="107"/>
        <v>294765</v>
      </c>
      <c r="G417" s="51">
        <f t="shared" si="108"/>
        <v>145963</v>
      </c>
      <c r="H417" s="52">
        <f t="shared" si="109"/>
        <v>148802</v>
      </c>
      <c r="I417" s="61">
        <f t="shared" si="110"/>
        <v>125158</v>
      </c>
      <c r="J417" s="52">
        <f t="shared" si="104"/>
        <v>129346</v>
      </c>
      <c r="K417" s="49">
        <f t="shared" si="111"/>
        <v>30927</v>
      </c>
      <c r="L417" s="50">
        <f t="shared" si="112"/>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
      <c r="A418" s="30" t="s">
        <v>78</v>
      </c>
      <c r="B418" s="1" t="s">
        <v>484</v>
      </c>
      <c r="C418" s="29" t="str">
        <f t="shared" si="113"/>
        <v>LA England - South Hams</v>
      </c>
      <c r="D418" s="50">
        <f t="shared" si="105"/>
        <v>38238</v>
      </c>
      <c r="E418" s="50">
        <f t="shared" si="106"/>
        <v>41531</v>
      </c>
      <c r="F418" s="51">
        <f t="shared" si="107"/>
        <v>89812</v>
      </c>
      <c r="G418" s="51">
        <f t="shared" si="108"/>
        <v>43356</v>
      </c>
      <c r="H418" s="52">
        <f t="shared" si="109"/>
        <v>46456</v>
      </c>
      <c r="I418" s="61">
        <f t="shared" si="110"/>
        <v>38238</v>
      </c>
      <c r="J418" s="52">
        <f t="shared" si="104"/>
        <v>41531</v>
      </c>
      <c r="K418" s="49">
        <f t="shared" si="111"/>
        <v>8023</v>
      </c>
      <c r="L418" s="50">
        <f t="shared" si="112"/>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
      <c r="A419" s="30" t="s">
        <v>78</v>
      </c>
      <c r="B419" s="1" t="s">
        <v>485</v>
      </c>
      <c r="C419" s="29" t="str">
        <f t="shared" si="113"/>
        <v>LA England - South Holland</v>
      </c>
      <c r="D419" s="50">
        <f t="shared" si="105"/>
        <v>41218</v>
      </c>
      <c r="E419" s="50">
        <f t="shared" si="106"/>
        <v>43397</v>
      </c>
      <c r="F419" s="51">
        <f t="shared" si="107"/>
        <v>96983</v>
      </c>
      <c r="G419" s="51">
        <f t="shared" si="108"/>
        <v>47572</v>
      </c>
      <c r="H419" s="52">
        <f t="shared" si="109"/>
        <v>49411</v>
      </c>
      <c r="I419" s="61">
        <f t="shared" si="110"/>
        <v>41218</v>
      </c>
      <c r="J419" s="52">
        <f t="shared" si="104"/>
        <v>43397</v>
      </c>
      <c r="K419" s="49">
        <f t="shared" si="111"/>
        <v>9563</v>
      </c>
      <c r="L419" s="50">
        <f t="shared" si="112"/>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
      <c r="A420" s="30" t="s">
        <v>78</v>
      </c>
      <c r="B420" s="1" t="s">
        <v>486</v>
      </c>
      <c r="C420" s="29" t="str">
        <f t="shared" si="113"/>
        <v>LA England - South Kesteven</v>
      </c>
      <c r="D420" s="50">
        <f t="shared" si="105"/>
        <v>60478</v>
      </c>
      <c r="E420" s="50">
        <f t="shared" si="106"/>
        <v>65436</v>
      </c>
      <c r="F420" s="51">
        <f t="shared" si="107"/>
        <v>144249</v>
      </c>
      <c r="G420" s="51">
        <f t="shared" si="108"/>
        <v>69829</v>
      </c>
      <c r="H420" s="52">
        <f t="shared" si="109"/>
        <v>74420</v>
      </c>
      <c r="I420" s="61">
        <f t="shared" si="110"/>
        <v>60478</v>
      </c>
      <c r="J420" s="52">
        <f t="shared" si="104"/>
        <v>65436</v>
      </c>
      <c r="K420" s="49">
        <f t="shared" si="111"/>
        <v>14619</v>
      </c>
      <c r="L420" s="50">
        <f t="shared" si="112"/>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
      <c r="A421" s="30" t="s">
        <v>78</v>
      </c>
      <c r="B421" s="1" t="s">
        <v>487</v>
      </c>
      <c r="C421" s="29" t="str">
        <f t="shared" si="113"/>
        <v>LA England - South Norfolk</v>
      </c>
      <c r="D421" s="50">
        <f t="shared" si="105"/>
        <v>60990</v>
      </c>
      <c r="E421" s="50">
        <f t="shared" si="106"/>
        <v>65035</v>
      </c>
      <c r="F421" s="51">
        <f t="shared" si="107"/>
        <v>144593</v>
      </c>
      <c r="G421" s="51">
        <f t="shared" si="108"/>
        <v>70458</v>
      </c>
      <c r="H421" s="52">
        <f t="shared" si="109"/>
        <v>74135</v>
      </c>
      <c r="I421" s="61">
        <f t="shared" si="110"/>
        <v>60990</v>
      </c>
      <c r="J421" s="52">
        <f t="shared" si="104"/>
        <v>65035</v>
      </c>
      <c r="K421" s="49">
        <f t="shared" si="111"/>
        <v>14513</v>
      </c>
      <c r="L421" s="50">
        <f t="shared" si="112"/>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
      <c r="A422" s="30" t="s">
        <v>78</v>
      </c>
      <c r="B422" s="1" t="s">
        <v>488</v>
      </c>
      <c r="C422" s="29" t="str">
        <f t="shared" si="113"/>
        <v>LA England - South Oxfordshire</v>
      </c>
      <c r="D422" s="50">
        <f t="shared" si="105"/>
        <v>64305</v>
      </c>
      <c r="E422" s="50">
        <f t="shared" si="106"/>
        <v>66945</v>
      </c>
      <c r="F422" s="51">
        <f t="shared" si="107"/>
        <v>151820</v>
      </c>
      <c r="G422" s="51">
        <f t="shared" si="108"/>
        <v>74852</v>
      </c>
      <c r="H422" s="52">
        <f t="shared" si="109"/>
        <v>76968</v>
      </c>
      <c r="I422" s="61">
        <f t="shared" si="110"/>
        <v>64305</v>
      </c>
      <c r="J422" s="52">
        <f t="shared" si="104"/>
        <v>66945</v>
      </c>
      <c r="K422" s="49">
        <f t="shared" si="111"/>
        <v>16021</v>
      </c>
      <c r="L422" s="50">
        <f t="shared" si="112"/>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
      <c r="A423" s="30" t="s">
        <v>78</v>
      </c>
      <c r="B423" s="1" t="s">
        <v>489</v>
      </c>
      <c r="C423" s="29" t="str">
        <f t="shared" si="113"/>
        <v>LA England - South Ribble</v>
      </c>
      <c r="D423" s="50">
        <f t="shared" si="105"/>
        <v>47524</v>
      </c>
      <c r="E423" s="50">
        <f t="shared" si="106"/>
        <v>50277</v>
      </c>
      <c r="F423" s="51">
        <f t="shared" si="107"/>
        <v>112166</v>
      </c>
      <c r="G423" s="51">
        <f t="shared" si="108"/>
        <v>54874</v>
      </c>
      <c r="H423" s="52">
        <f t="shared" si="109"/>
        <v>57292</v>
      </c>
      <c r="I423" s="61">
        <f t="shared" si="110"/>
        <v>47524</v>
      </c>
      <c r="J423" s="52">
        <f t="shared" si="104"/>
        <v>50277</v>
      </c>
      <c r="K423" s="49">
        <f t="shared" si="111"/>
        <v>11277</v>
      </c>
      <c r="L423" s="50">
        <f t="shared" si="112"/>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
      <c r="A424" s="30" t="s">
        <v>78</v>
      </c>
      <c r="B424" s="1" t="s">
        <v>490</v>
      </c>
      <c r="C424" s="29" t="str">
        <f t="shared" si="113"/>
        <v>LA England - South Staffordshire</v>
      </c>
      <c r="D424" s="50">
        <f t="shared" si="105"/>
        <v>49200</v>
      </c>
      <c r="E424" s="50">
        <f t="shared" si="106"/>
        <v>49461</v>
      </c>
      <c r="F424" s="51">
        <f t="shared" si="107"/>
        <v>111527</v>
      </c>
      <c r="G424" s="51">
        <f t="shared" si="108"/>
        <v>55746</v>
      </c>
      <c r="H424" s="52">
        <f t="shared" si="109"/>
        <v>55781</v>
      </c>
      <c r="I424" s="61">
        <f t="shared" si="110"/>
        <v>49200</v>
      </c>
      <c r="J424" s="52">
        <f t="shared" si="104"/>
        <v>49461</v>
      </c>
      <c r="K424" s="49">
        <f t="shared" si="111"/>
        <v>9996</v>
      </c>
      <c r="L424" s="50">
        <f t="shared" si="112"/>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
      <c r="A425" s="30" t="s">
        <v>78</v>
      </c>
      <c r="B425" s="1" t="s">
        <v>491</v>
      </c>
      <c r="C425" s="29" t="str">
        <f t="shared" si="113"/>
        <v>LA England - South Tyneside</v>
      </c>
      <c r="D425" s="50">
        <f t="shared" si="105"/>
        <v>62101</v>
      </c>
      <c r="E425" s="50">
        <f t="shared" si="106"/>
        <v>66747</v>
      </c>
      <c r="F425" s="51">
        <f t="shared" si="107"/>
        <v>148667</v>
      </c>
      <c r="G425" s="51">
        <f t="shared" si="108"/>
        <v>72355</v>
      </c>
      <c r="H425" s="52">
        <f t="shared" si="109"/>
        <v>76312</v>
      </c>
      <c r="I425" s="61">
        <f t="shared" si="110"/>
        <v>62101</v>
      </c>
      <c r="J425" s="52">
        <f t="shared" si="104"/>
        <v>66747</v>
      </c>
      <c r="K425" s="49">
        <f t="shared" si="111"/>
        <v>15451</v>
      </c>
      <c r="L425" s="50">
        <f t="shared" si="112"/>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
      <c r="A426" s="30" t="s">
        <v>78</v>
      </c>
      <c r="B426" s="1" t="s">
        <v>492</v>
      </c>
      <c r="C426" s="29" t="str">
        <f t="shared" si="113"/>
        <v>LA England - Southampton</v>
      </c>
      <c r="D426" s="50">
        <f t="shared" si="105"/>
        <v>109121</v>
      </c>
      <c r="E426" s="50">
        <f t="shared" si="106"/>
        <v>109781</v>
      </c>
      <c r="F426" s="51">
        <f t="shared" si="107"/>
        <v>252689</v>
      </c>
      <c r="G426" s="51">
        <f t="shared" si="108"/>
        <v>126412</v>
      </c>
      <c r="H426" s="52">
        <f t="shared" si="109"/>
        <v>126277</v>
      </c>
      <c r="I426" s="61">
        <f t="shared" si="110"/>
        <v>109121</v>
      </c>
      <c r="J426" s="52">
        <f t="shared" si="104"/>
        <v>109781</v>
      </c>
      <c r="K426" s="49">
        <f t="shared" si="111"/>
        <v>25461</v>
      </c>
      <c r="L426" s="50">
        <f t="shared" si="112"/>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
      <c r="A427" s="30" t="s">
        <v>78</v>
      </c>
      <c r="B427" s="1" t="s">
        <v>493</v>
      </c>
      <c r="C427" s="29" t="str">
        <f t="shared" si="113"/>
        <v>LA England - Southend-on-Sea</v>
      </c>
      <c r="D427" s="50">
        <f t="shared" si="105"/>
        <v>75266</v>
      </c>
      <c r="E427" s="50">
        <f t="shared" si="106"/>
        <v>80229</v>
      </c>
      <c r="F427" s="51">
        <f t="shared" si="107"/>
        <v>180915</v>
      </c>
      <c r="G427" s="51">
        <f t="shared" si="108"/>
        <v>88198</v>
      </c>
      <c r="H427" s="52">
        <f t="shared" si="109"/>
        <v>92717</v>
      </c>
      <c r="I427" s="61">
        <f t="shared" si="110"/>
        <v>75266</v>
      </c>
      <c r="J427" s="52">
        <f t="shared" si="104"/>
        <v>80229</v>
      </c>
      <c r="K427" s="49">
        <f t="shared" si="111"/>
        <v>19552</v>
      </c>
      <c r="L427" s="50">
        <f t="shared" si="112"/>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
      <c r="A428" s="30" t="s">
        <v>78</v>
      </c>
      <c r="B428" s="1" t="s">
        <v>494</v>
      </c>
      <c r="C428" s="29" t="str">
        <f t="shared" si="113"/>
        <v>LA England - Southwark</v>
      </c>
      <c r="D428" s="50">
        <f t="shared" si="105"/>
        <v>132019</v>
      </c>
      <c r="E428" s="50">
        <f t="shared" si="106"/>
        <v>141966</v>
      </c>
      <c r="F428" s="51">
        <f t="shared" si="107"/>
        <v>311913</v>
      </c>
      <c r="G428" s="51">
        <f t="shared" si="108"/>
        <v>151277</v>
      </c>
      <c r="H428" s="52">
        <f t="shared" si="109"/>
        <v>160636</v>
      </c>
      <c r="I428" s="61">
        <f t="shared" si="110"/>
        <v>132019</v>
      </c>
      <c r="J428" s="52">
        <f t="shared" si="104"/>
        <v>141966</v>
      </c>
      <c r="K428" s="49">
        <f t="shared" si="111"/>
        <v>29064</v>
      </c>
      <c r="L428" s="50">
        <f t="shared" si="112"/>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
      <c r="A429" s="30" t="s">
        <v>78</v>
      </c>
      <c r="B429" s="1" t="s">
        <v>495</v>
      </c>
      <c r="C429" s="29" t="str">
        <f t="shared" si="113"/>
        <v>LA England - Spelthorne</v>
      </c>
      <c r="D429" s="50">
        <f t="shared" si="105"/>
        <v>43187</v>
      </c>
      <c r="E429" s="50">
        <f t="shared" si="106"/>
        <v>45399</v>
      </c>
      <c r="F429" s="51">
        <f t="shared" si="107"/>
        <v>103551</v>
      </c>
      <c r="G429" s="51">
        <f t="shared" si="108"/>
        <v>50846</v>
      </c>
      <c r="H429" s="52">
        <f t="shared" si="109"/>
        <v>52705</v>
      </c>
      <c r="I429" s="61">
        <f t="shared" si="110"/>
        <v>43187</v>
      </c>
      <c r="J429" s="52">
        <f t="shared" si="104"/>
        <v>45399</v>
      </c>
      <c r="K429" s="49">
        <f t="shared" si="111"/>
        <v>11384</v>
      </c>
      <c r="L429" s="50">
        <f t="shared" si="112"/>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
      <c r="A430" s="30" t="s">
        <v>78</v>
      </c>
      <c r="B430" s="1" t="s">
        <v>496</v>
      </c>
      <c r="C430" s="29" t="str">
        <f t="shared" si="113"/>
        <v>LA England - St Albans</v>
      </c>
      <c r="D430" s="50">
        <f t="shared" si="105"/>
        <v>60661</v>
      </c>
      <c r="E430" s="50">
        <f t="shared" si="106"/>
        <v>64670</v>
      </c>
      <c r="F430" s="51">
        <f t="shared" si="107"/>
        <v>148358</v>
      </c>
      <c r="G430" s="51">
        <f t="shared" si="108"/>
        <v>72473</v>
      </c>
      <c r="H430" s="52">
        <f t="shared" si="109"/>
        <v>75885</v>
      </c>
      <c r="I430" s="61">
        <f t="shared" si="110"/>
        <v>60661</v>
      </c>
      <c r="J430" s="52">
        <f t="shared" si="104"/>
        <v>64670</v>
      </c>
      <c r="K430" s="49">
        <f t="shared" si="111"/>
        <v>18485</v>
      </c>
      <c r="L430" s="50">
        <f t="shared" si="112"/>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
      <c r="A431" s="30" t="s">
        <v>78</v>
      </c>
      <c r="B431" s="1" t="s">
        <v>497</v>
      </c>
      <c r="C431" s="29" t="str">
        <f t="shared" si="113"/>
        <v>LA England - St. Helens</v>
      </c>
      <c r="D431" s="50">
        <f t="shared" si="105"/>
        <v>78177</v>
      </c>
      <c r="E431" s="50">
        <f t="shared" si="106"/>
        <v>82351</v>
      </c>
      <c r="F431" s="51">
        <f t="shared" si="107"/>
        <v>184728</v>
      </c>
      <c r="G431" s="51">
        <f t="shared" si="108"/>
        <v>90663</v>
      </c>
      <c r="H431" s="52">
        <f t="shared" si="109"/>
        <v>94065</v>
      </c>
      <c r="I431" s="61">
        <f t="shared" si="110"/>
        <v>78177</v>
      </c>
      <c r="J431" s="52">
        <f t="shared" si="104"/>
        <v>82351</v>
      </c>
      <c r="K431" s="49">
        <f t="shared" si="111"/>
        <v>18955</v>
      </c>
      <c r="L431" s="50">
        <f t="shared" si="112"/>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
      <c r="A432" s="30" t="s">
        <v>78</v>
      </c>
      <c r="B432" s="1" t="s">
        <v>498</v>
      </c>
      <c r="C432" s="29" t="str">
        <f t="shared" si="113"/>
        <v>LA England - Stafford</v>
      </c>
      <c r="D432" s="50">
        <f t="shared" si="105"/>
        <v>59548</v>
      </c>
      <c r="E432" s="50">
        <f t="shared" si="106"/>
        <v>61933</v>
      </c>
      <c r="F432" s="51">
        <f t="shared" si="107"/>
        <v>138670</v>
      </c>
      <c r="G432" s="51">
        <f t="shared" si="108"/>
        <v>68380</v>
      </c>
      <c r="H432" s="52">
        <f t="shared" si="109"/>
        <v>70290</v>
      </c>
      <c r="I432" s="61">
        <f t="shared" si="110"/>
        <v>59548</v>
      </c>
      <c r="J432" s="52">
        <f t="shared" si="104"/>
        <v>61933</v>
      </c>
      <c r="K432" s="49">
        <f t="shared" si="111"/>
        <v>13455</v>
      </c>
      <c r="L432" s="50">
        <f t="shared" si="112"/>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
      <c r="A433" s="30" t="s">
        <v>78</v>
      </c>
      <c r="B433" s="1" t="s">
        <v>499</v>
      </c>
      <c r="C433" s="29" t="str">
        <f t="shared" si="113"/>
        <v>LA England - Staffordshire Moorlands</v>
      </c>
      <c r="D433" s="50">
        <f t="shared" si="105"/>
        <v>41674</v>
      </c>
      <c r="E433" s="50">
        <f t="shared" si="106"/>
        <v>43461</v>
      </c>
      <c r="F433" s="51">
        <f t="shared" si="107"/>
        <v>95899</v>
      </c>
      <c r="G433" s="51">
        <f t="shared" si="108"/>
        <v>47233</v>
      </c>
      <c r="H433" s="52">
        <f t="shared" si="109"/>
        <v>48666</v>
      </c>
      <c r="I433" s="61">
        <f t="shared" si="110"/>
        <v>41674</v>
      </c>
      <c r="J433" s="52">
        <f t="shared" si="104"/>
        <v>43461</v>
      </c>
      <c r="K433" s="49">
        <f t="shared" si="111"/>
        <v>8746</v>
      </c>
      <c r="L433" s="50">
        <f t="shared" si="112"/>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
      <c r="A434" s="30" t="s">
        <v>78</v>
      </c>
      <c r="B434" s="1" t="s">
        <v>500</v>
      </c>
      <c r="C434" s="29" t="str">
        <f t="shared" si="113"/>
        <v>LA England - Stevenage</v>
      </c>
      <c r="D434" s="50">
        <f t="shared" si="105"/>
        <v>37147</v>
      </c>
      <c r="E434" s="50">
        <f t="shared" si="106"/>
        <v>38712</v>
      </c>
      <c r="F434" s="51">
        <f t="shared" si="107"/>
        <v>89737</v>
      </c>
      <c r="G434" s="51">
        <f t="shared" si="108"/>
        <v>44356</v>
      </c>
      <c r="H434" s="52">
        <f t="shared" si="109"/>
        <v>45381</v>
      </c>
      <c r="I434" s="61">
        <f t="shared" si="110"/>
        <v>37147</v>
      </c>
      <c r="J434" s="52">
        <f t="shared" si="104"/>
        <v>38712</v>
      </c>
      <c r="K434" s="49">
        <f t="shared" si="111"/>
        <v>10664</v>
      </c>
      <c r="L434" s="50">
        <f t="shared" si="112"/>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
      <c r="A435" s="30" t="s">
        <v>78</v>
      </c>
      <c r="B435" s="1" t="s">
        <v>501</v>
      </c>
      <c r="C435" s="29" t="str">
        <f t="shared" si="113"/>
        <v>LA England - Stockport</v>
      </c>
      <c r="D435" s="50">
        <f t="shared" si="105"/>
        <v>123257</v>
      </c>
      <c r="E435" s="50">
        <f t="shared" si="106"/>
        <v>131623</v>
      </c>
      <c r="F435" s="51">
        <f t="shared" si="107"/>
        <v>297107</v>
      </c>
      <c r="G435" s="51">
        <f t="shared" si="108"/>
        <v>144724</v>
      </c>
      <c r="H435" s="52">
        <f t="shared" si="109"/>
        <v>152383</v>
      </c>
      <c r="I435" s="61">
        <f t="shared" si="110"/>
        <v>123257</v>
      </c>
      <c r="J435" s="52">
        <f t="shared" si="104"/>
        <v>131623</v>
      </c>
      <c r="K435" s="49">
        <f t="shared" si="111"/>
        <v>32601</v>
      </c>
      <c r="L435" s="50">
        <f t="shared" si="112"/>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
      <c r="A436" s="30" t="s">
        <v>78</v>
      </c>
      <c r="B436" s="1" t="s">
        <v>502</v>
      </c>
      <c r="C436" s="29" t="str">
        <f t="shared" si="113"/>
        <v>LA England - Stockton-on-Tees</v>
      </c>
      <c r="D436" s="50">
        <f t="shared" si="105"/>
        <v>83952</v>
      </c>
      <c r="E436" s="50">
        <f t="shared" si="106"/>
        <v>87590</v>
      </c>
      <c r="F436" s="51">
        <f t="shared" si="107"/>
        <v>199966</v>
      </c>
      <c r="G436" s="51">
        <f t="shared" si="108"/>
        <v>98511</v>
      </c>
      <c r="H436" s="52">
        <f t="shared" si="109"/>
        <v>101455</v>
      </c>
      <c r="I436" s="61">
        <f t="shared" si="110"/>
        <v>83952</v>
      </c>
      <c r="J436" s="52">
        <f t="shared" si="104"/>
        <v>87590</v>
      </c>
      <c r="K436" s="49">
        <f t="shared" si="111"/>
        <v>22355</v>
      </c>
      <c r="L436" s="50">
        <f t="shared" si="112"/>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
      <c r="A437" s="30" t="s">
        <v>78</v>
      </c>
      <c r="B437" s="1" t="s">
        <v>503</v>
      </c>
      <c r="C437" s="29" t="str">
        <f t="shared" si="113"/>
        <v>LA England - Stoke-on-Trent</v>
      </c>
      <c r="D437" s="50">
        <f t="shared" si="105"/>
        <v>109626</v>
      </c>
      <c r="E437" s="50">
        <f t="shared" si="106"/>
        <v>110764</v>
      </c>
      <c r="F437" s="51">
        <f t="shared" si="107"/>
        <v>259965</v>
      </c>
      <c r="G437" s="51">
        <f t="shared" si="108"/>
        <v>129616</v>
      </c>
      <c r="H437" s="52">
        <f t="shared" si="109"/>
        <v>130349</v>
      </c>
      <c r="I437" s="61">
        <f t="shared" si="110"/>
        <v>109626</v>
      </c>
      <c r="J437" s="52">
        <f t="shared" si="104"/>
        <v>110764</v>
      </c>
      <c r="K437" s="49">
        <f t="shared" si="111"/>
        <v>30043</v>
      </c>
      <c r="L437" s="50">
        <f t="shared" si="112"/>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
      <c r="A438" s="30" t="s">
        <v>78</v>
      </c>
      <c r="B438" s="1" t="s">
        <v>504</v>
      </c>
      <c r="C438" s="29" t="str">
        <f t="shared" si="113"/>
        <v>LA England - Stratford-on-Avon</v>
      </c>
      <c r="D438" s="50">
        <f t="shared" si="105"/>
        <v>58777</v>
      </c>
      <c r="E438" s="50">
        <f t="shared" si="106"/>
        <v>63145</v>
      </c>
      <c r="F438" s="51">
        <f t="shared" si="107"/>
        <v>138583</v>
      </c>
      <c r="G438" s="51">
        <f t="shared" si="108"/>
        <v>67296</v>
      </c>
      <c r="H438" s="52">
        <f t="shared" si="109"/>
        <v>71287</v>
      </c>
      <c r="I438" s="61">
        <f t="shared" si="110"/>
        <v>58777</v>
      </c>
      <c r="J438" s="52">
        <f t="shared" si="104"/>
        <v>63145</v>
      </c>
      <c r="K438" s="49">
        <f t="shared" si="111"/>
        <v>13125</v>
      </c>
      <c r="L438" s="50">
        <f t="shared" si="112"/>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
      <c r="A439" s="30" t="s">
        <v>78</v>
      </c>
      <c r="B439" s="1" t="s">
        <v>505</v>
      </c>
      <c r="C439" s="29" t="str">
        <f t="shared" si="113"/>
        <v>LA England - Stroud</v>
      </c>
      <c r="D439" s="50">
        <f t="shared" si="105"/>
        <v>52300</v>
      </c>
      <c r="E439" s="50">
        <f t="shared" si="106"/>
        <v>55553</v>
      </c>
      <c r="F439" s="51">
        <f t="shared" si="107"/>
        <v>123205</v>
      </c>
      <c r="G439" s="51">
        <f t="shared" si="108"/>
        <v>60231</v>
      </c>
      <c r="H439" s="52">
        <f t="shared" si="109"/>
        <v>62974</v>
      </c>
      <c r="I439" s="61">
        <f t="shared" si="110"/>
        <v>52300</v>
      </c>
      <c r="J439" s="52">
        <f t="shared" si="104"/>
        <v>55553</v>
      </c>
      <c r="K439" s="49">
        <f t="shared" si="111"/>
        <v>12335</v>
      </c>
      <c r="L439" s="50">
        <f t="shared" si="112"/>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
      <c r="A440" s="30" t="s">
        <v>78</v>
      </c>
      <c r="B440" s="1" t="s">
        <v>506</v>
      </c>
      <c r="C440" s="29" t="str">
        <f t="shared" si="113"/>
        <v>LA England - Sunderland</v>
      </c>
      <c r="D440" s="50">
        <f t="shared" si="105"/>
        <v>116534</v>
      </c>
      <c r="E440" s="50">
        <f t="shared" si="106"/>
        <v>124914</v>
      </c>
      <c r="F440" s="51">
        <f t="shared" si="107"/>
        <v>277354</v>
      </c>
      <c r="G440" s="51">
        <f t="shared" si="108"/>
        <v>135038</v>
      </c>
      <c r="H440" s="52">
        <f t="shared" si="109"/>
        <v>142316</v>
      </c>
      <c r="I440" s="61">
        <f t="shared" si="110"/>
        <v>116534</v>
      </c>
      <c r="J440" s="52">
        <f t="shared" si="104"/>
        <v>124914</v>
      </c>
      <c r="K440" s="49">
        <f t="shared" si="111"/>
        <v>28182</v>
      </c>
      <c r="L440" s="50">
        <f t="shared" si="112"/>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
      <c r="A441" s="30" t="s">
        <v>78</v>
      </c>
      <c r="B441" s="1" t="s">
        <v>507</v>
      </c>
      <c r="C441" s="29" t="str">
        <f t="shared" si="113"/>
        <v>LA England - Surrey Heath</v>
      </c>
      <c r="D441" s="50">
        <f t="shared" si="105"/>
        <v>38631</v>
      </c>
      <c r="E441" s="50">
        <f t="shared" si="106"/>
        <v>40439</v>
      </c>
      <c r="F441" s="51">
        <f t="shared" si="107"/>
        <v>91237</v>
      </c>
      <c r="G441" s="51">
        <f t="shared" si="108"/>
        <v>44936</v>
      </c>
      <c r="H441" s="52">
        <f t="shared" si="109"/>
        <v>46301</v>
      </c>
      <c r="I441" s="61">
        <f t="shared" si="110"/>
        <v>38631</v>
      </c>
      <c r="J441" s="52">
        <f t="shared" si="104"/>
        <v>40439</v>
      </c>
      <c r="K441" s="49">
        <f t="shared" si="111"/>
        <v>9838</v>
      </c>
      <c r="L441" s="50">
        <f t="shared" si="112"/>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
      <c r="A442" s="30" t="s">
        <v>78</v>
      </c>
      <c r="B442" s="1" t="s">
        <v>508</v>
      </c>
      <c r="C442" s="29" t="str">
        <f t="shared" si="113"/>
        <v>LA England - Sutton</v>
      </c>
      <c r="D442" s="50">
        <f t="shared" si="105"/>
        <v>84925</v>
      </c>
      <c r="E442" s="50">
        <f t="shared" si="106"/>
        <v>92387</v>
      </c>
      <c r="F442" s="51">
        <f t="shared" si="107"/>
        <v>210053</v>
      </c>
      <c r="G442" s="51">
        <f t="shared" si="108"/>
        <v>101742</v>
      </c>
      <c r="H442" s="52">
        <f t="shared" si="109"/>
        <v>108311</v>
      </c>
      <c r="I442" s="61">
        <f t="shared" si="110"/>
        <v>84925</v>
      </c>
      <c r="J442" s="52">
        <f t="shared" si="104"/>
        <v>92387</v>
      </c>
      <c r="K442" s="49">
        <f t="shared" si="111"/>
        <v>25444</v>
      </c>
      <c r="L442" s="50">
        <f t="shared" si="112"/>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
      <c r="A443" s="30" t="s">
        <v>78</v>
      </c>
      <c r="B443" s="1" t="s">
        <v>509</v>
      </c>
      <c r="C443" s="29" t="str">
        <f t="shared" si="113"/>
        <v>LA England - Swale</v>
      </c>
      <c r="D443" s="50">
        <f t="shared" si="105"/>
        <v>65120</v>
      </c>
      <c r="E443" s="50">
        <f t="shared" si="106"/>
        <v>66864</v>
      </c>
      <c r="F443" s="51">
        <f t="shared" si="107"/>
        <v>154619</v>
      </c>
      <c r="G443" s="51">
        <f t="shared" si="108"/>
        <v>76731</v>
      </c>
      <c r="H443" s="52">
        <f t="shared" si="109"/>
        <v>77888</v>
      </c>
      <c r="I443" s="61">
        <f t="shared" si="110"/>
        <v>65120</v>
      </c>
      <c r="J443" s="52">
        <f t="shared" si="104"/>
        <v>66864</v>
      </c>
      <c r="K443" s="49">
        <f t="shared" si="111"/>
        <v>17481</v>
      </c>
      <c r="L443" s="50">
        <f t="shared" si="112"/>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
      <c r="A444" s="30" t="s">
        <v>78</v>
      </c>
      <c r="B444" s="1" t="s">
        <v>510</v>
      </c>
      <c r="C444" s="29" t="str">
        <f t="shared" si="113"/>
        <v>LA England - Swindon</v>
      </c>
      <c r="D444" s="50">
        <f t="shared" si="105"/>
        <v>99347</v>
      </c>
      <c r="E444" s="50">
        <f t="shared" si="106"/>
        <v>101401</v>
      </c>
      <c r="F444" s="51">
        <f t="shared" si="107"/>
        <v>235657</v>
      </c>
      <c r="G444" s="51">
        <f t="shared" si="108"/>
        <v>117144</v>
      </c>
      <c r="H444" s="52">
        <f t="shared" si="109"/>
        <v>118513</v>
      </c>
      <c r="I444" s="61">
        <f t="shared" si="110"/>
        <v>99347</v>
      </c>
      <c r="J444" s="52">
        <f t="shared" si="104"/>
        <v>101401</v>
      </c>
      <c r="K444" s="49">
        <f t="shared" si="111"/>
        <v>26674</v>
      </c>
      <c r="L444" s="50">
        <f t="shared" si="112"/>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
      <c r="A445" s="30" t="s">
        <v>78</v>
      </c>
      <c r="B445" s="1" t="s">
        <v>511</v>
      </c>
      <c r="C445" s="29" t="str">
        <f t="shared" si="113"/>
        <v>LA England - Tameside</v>
      </c>
      <c r="D445" s="50">
        <f t="shared" si="105"/>
        <v>96717</v>
      </c>
      <c r="E445" s="50">
        <f t="shared" si="106"/>
        <v>101885</v>
      </c>
      <c r="F445" s="51">
        <f t="shared" si="107"/>
        <v>232753</v>
      </c>
      <c r="G445" s="51">
        <f t="shared" si="108"/>
        <v>114289</v>
      </c>
      <c r="H445" s="52">
        <f t="shared" si="109"/>
        <v>118464</v>
      </c>
      <c r="I445" s="61">
        <f t="shared" si="110"/>
        <v>96717</v>
      </c>
      <c r="J445" s="52">
        <f t="shared" si="104"/>
        <v>101885</v>
      </c>
      <c r="K445" s="49">
        <f t="shared" si="111"/>
        <v>26540</v>
      </c>
      <c r="L445" s="50">
        <f t="shared" si="112"/>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
      <c r="A446" s="30" t="s">
        <v>78</v>
      </c>
      <c r="B446" s="1" t="s">
        <v>512</v>
      </c>
      <c r="C446" s="29" t="str">
        <f t="shared" si="113"/>
        <v>LA England - Tamworth</v>
      </c>
      <c r="D446" s="50">
        <f t="shared" si="105"/>
        <v>33355</v>
      </c>
      <c r="E446" s="50">
        <f t="shared" si="106"/>
        <v>35118</v>
      </c>
      <c r="F446" s="51">
        <f t="shared" si="107"/>
        <v>79639</v>
      </c>
      <c r="G446" s="51">
        <f t="shared" si="108"/>
        <v>39099</v>
      </c>
      <c r="H446" s="52">
        <f t="shared" si="109"/>
        <v>40540</v>
      </c>
      <c r="I446" s="61">
        <f t="shared" si="110"/>
        <v>33355</v>
      </c>
      <c r="J446" s="52">
        <f t="shared" si="104"/>
        <v>35118</v>
      </c>
      <c r="K446" s="49">
        <f t="shared" si="111"/>
        <v>8724</v>
      </c>
      <c r="L446" s="50">
        <f t="shared" si="112"/>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
      <c r="A447" s="30" t="s">
        <v>78</v>
      </c>
      <c r="B447" s="1" t="s">
        <v>513</v>
      </c>
      <c r="C447" s="29" t="str">
        <f t="shared" si="113"/>
        <v>LA England - Tandridge</v>
      </c>
      <c r="D447" s="50">
        <f t="shared" si="105"/>
        <v>36275</v>
      </c>
      <c r="E447" s="50">
        <f t="shared" si="106"/>
        <v>39849</v>
      </c>
      <c r="F447" s="51">
        <f t="shared" si="107"/>
        <v>88707</v>
      </c>
      <c r="G447" s="51">
        <f t="shared" si="108"/>
        <v>42751</v>
      </c>
      <c r="H447" s="52">
        <f t="shared" si="109"/>
        <v>45956</v>
      </c>
      <c r="I447" s="61">
        <f t="shared" si="110"/>
        <v>36275</v>
      </c>
      <c r="J447" s="52">
        <f t="shared" si="104"/>
        <v>39849</v>
      </c>
      <c r="K447" s="49">
        <f t="shared" si="111"/>
        <v>9814</v>
      </c>
      <c r="L447" s="50">
        <f t="shared" si="112"/>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
      <c r="A448" s="30" t="s">
        <v>78</v>
      </c>
      <c r="B448" s="1" t="s">
        <v>514</v>
      </c>
      <c r="C448" s="29" t="str">
        <f t="shared" si="113"/>
        <v>LA England - Teignbridge</v>
      </c>
      <c r="D448" s="50">
        <f t="shared" si="105"/>
        <v>57930</v>
      </c>
      <c r="E448" s="50">
        <f t="shared" si="106"/>
        <v>62351</v>
      </c>
      <c r="F448" s="51">
        <f t="shared" si="107"/>
        <v>135952</v>
      </c>
      <c r="G448" s="51">
        <f t="shared" si="108"/>
        <v>66022</v>
      </c>
      <c r="H448" s="52">
        <f t="shared" si="109"/>
        <v>69930</v>
      </c>
      <c r="I448" s="61">
        <f t="shared" si="110"/>
        <v>57930</v>
      </c>
      <c r="J448" s="52">
        <f t="shared" si="104"/>
        <v>62351</v>
      </c>
      <c r="K448" s="49">
        <f t="shared" si="111"/>
        <v>12499</v>
      </c>
      <c r="L448" s="50">
        <f t="shared" si="112"/>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
      <c r="A449" s="30" t="s">
        <v>78</v>
      </c>
      <c r="B449" s="1" t="s">
        <v>515</v>
      </c>
      <c r="C449" s="29" t="str">
        <f t="shared" si="113"/>
        <v>LA England - Telford and Wrekin</v>
      </c>
      <c r="D449" s="50">
        <f t="shared" si="105"/>
        <v>78682</v>
      </c>
      <c r="E449" s="50">
        <f t="shared" si="106"/>
        <v>82527</v>
      </c>
      <c r="F449" s="51">
        <f t="shared" si="107"/>
        <v>188871</v>
      </c>
      <c r="G449" s="51">
        <f t="shared" si="108"/>
        <v>92843</v>
      </c>
      <c r="H449" s="52">
        <f t="shared" si="109"/>
        <v>96028</v>
      </c>
      <c r="I449" s="61">
        <f t="shared" si="110"/>
        <v>78682</v>
      </c>
      <c r="J449" s="52">
        <f t="shared" si="104"/>
        <v>82527</v>
      </c>
      <c r="K449" s="49">
        <f t="shared" si="111"/>
        <v>21652</v>
      </c>
      <c r="L449" s="50">
        <f t="shared" si="112"/>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
      <c r="A450" s="30" t="s">
        <v>78</v>
      </c>
      <c r="B450" s="1" t="s">
        <v>516</v>
      </c>
      <c r="C450" s="29" t="str">
        <f t="shared" si="113"/>
        <v>LA England - Tendring</v>
      </c>
      <c r="D450" s="50">
        <f t="shared" si="105"/>
        <v>63954</v>
      </c>
      <c r="E450" s="50">
        <f t="shared" si="106"/>
        <v>69884</v>
      </c>
      <c r="F450" s="51">
        <f t="shared" si="107"/>
        <v>151451</v>
      </c>
      <c r="G450" s="51">
        <f t="shared" si="108"/>
        <v>72970</v>
      </c>
      <c r="H450" s="52">
        <f t="shared" si="109"/>
        <v>78481</v>
      </c>
      <c r="I450" s="61">
        <f t="shared" si="110"/>
        <v>63954</v>
      </c>
      <c r="J450" s="52">
        <f t="shared" si="104"/>
        <v>69884</v>
      </c>
      <c r="K450" s="49">
        <f t="shared" si="111"/>
        <v>13695</v>
      </c>
      <c r="L450" s="50">
        <f t="shared" si="112"/>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
      <c r="A451" s="30" t="s">
        <v>78</v>
      </c>
      <c r="B451" s="1" t="s">
        <v>517</v>
      </c>
      <c r="C451" s="29" t="str">
        <f t="shared" si="113"/>
        <v>LA England - Test Valley</v>
      </c>
      <c r="D451" s="50">
        <f t="shared" si="105"/>
        <v>55639</v>
      </c>
      <c r="E451" s="50">
        <f t="shared" si="106"/>
        <v>58999</v>
      </c>
      <c r="F451" s="51">
        <f t="shared" si="107"/>
        <v>132871</v>
      </c>
      <c r="G451" s="51">
        <f t="shared" si="108"/>
        <v>64891</v>
      </c>
      <c r="H451" s="52">
        <f t="shared" si="109"/>
        <v>67980</v>
      </c>
      <c r="I451" s="61">
        <f t="shared" si="110"/>
        <v>55639</v>
      </c>
      <c r="J451" s="52">
        <f t="shared" si="104"/>
        <v>58999</v>
      </c>
      <c r="K451" s="49">
        <f t="shared" si="111"/>
        <v>13765</v>
      </c>
      <c r="L451" s="50">
        <f t="shared" si="112"/>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
      <c r="A452" s="30" t="s">
        <v>78</v>
      </c>
      <c r="B452" s="1" t="s">
        <v>518</v>
      </c>
      <c r="C452" s="29" t="str">
        <f t="shared" si="113"/>
        <v>LA England - Tewkesbury</v>
      </c>
      <c r="D452" s="50">
        <f t="shared" si="105"/>
        <v>40045</v>
      </c>
      <c r="E452" s="50">
        <f t="shared" si="106"/>
        <v>43434</v>
      </c>
      <c r="F452" s="51">
        <f t="shared" si="107"/>
        <v>97000</v>
      </c>
      <c r="G452" s="51">
        <f t="shared" si="108"/>
        <v>47040</v>
      </c>
      <c r="H452" s="52">
        <f t="shared" si="109"/>
        <v>49960</v>
      </c>
      <c r="I452" s="61">
        <f t="shared" si="110"/>
        <v>40045</v>
      </c>
      <c r="J452" s="52">
        <f t="shared" si="104"/>
        <v>43434</v>
      </c>
      <c r="K452" s="49">
        <f t="shared" si="111"/>
        <v>10294</v>
      </c>
      <c r="L452" s="50">
        <f t="shared" si="112"/>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
      <c r="A453" s="30" t="s">
        <v>78</v>
      </c>
      <c r="B453" s="1" t="s">
        <v>519</v>
      </c>
      <c r="C453" s="29" t="str">
        <f t="shared" si="113"/>
        <v>LA England - Thanet</v>
      </c>
      <c r="D453" s="50">
        <f t="shared" si="105"/>
        <v>58014</v>
      </c>
      <c r="E453" s="50">
        <f t="shared" si="106"/>
        <v>64141</v>
      </c>
      <c r="F453" s="51">
        <f t="shared" si="107"/>
        <v>140689</v>
      </c>
      <c r="G453" s="51">
        <f t="shared" si="108"/>
        <v>67694</v>
      </c>
      <c r="H453" s="52">
        <f t="shared" si="109"/>
        <v>72995</v>
      </c>
      <c r="I453" s="61">
        <f t="shared" si="110"/>
        <v>58014</v>
      </c>
      <c r="J453" s="52">
        <f t="shared" si="104"/>
        <v>64141</v>
      </c>
      <c r="K453" s="49">
        <f t="shared" si="111"/>
        <v>14788</v>
      </c>
      <c r="L453" s="50">
        <f t="shared" si="112"/>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
      <c r="A454" s="30" t="s">
        <v>78</v>
      </c>
      <c r="B454" s="1" t="s">
        <v>520</v>
      </c>
      <c r="C454" s="29" t="str">
        <f t="shared" si="113"/>
        <v>LA England - Three Rivers</v>
      </c>
      <c r="D454" s="50">
        <f t="shared" si="105"/>
        <v>38916</v>
      </c>
      <c r="E454" s="50">
        <f t="shared" si="106"/>
        <v>41622</v>
      </c>
      <c r="F454" s="51">
        <f t="shared" si="107"/>
        <v>94123</v>
      </c>
      <c r="G454" s="51">
        <f t="shared" si="108"/>
        <v>45800</v>
      </c>
      <c r="H454" s="52">
        <f t="shared" si="109"/>
        <v>48323</v>
      </c>
      <c r="I454" s="61">
        <f t="shared" si="110"/>
        <v>38916</v>
      </c>
      <c r="J454" s="52">
        <f t="shared" si="104"/>
        <v>41622</v>
      </c>
      <c r="K454" s="49">
        <f t="shared" si="111"/>
        <v>10794</v>
      </c>
      <c r="L454" s="50">
        <f t="shared" si="112"/>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
      <c r="A455" s="30" t="s">
        <v>78</v>
      </c>
      <c r="B455" s="1" t="s">
        <v>521</v>
      </c>
      <c r="C455" s="29" t="str">
        <f t="shared" si="113"/>
        <v>LA England - Thurrock</v>
      </c>
      <c r="D455" s="50">
        <f t="shared" si="105"/>
        <v>71148</v>
      </c>
      <c r="E455" s="50">
        <f t="shared" si="106"/>
        <v>75561</v>
      </c>
      <c r="F455" s="51">
        <f t="shared" si="107"/>
        <v>176877</v>
      </c>
      <c r="G455" s="51">
        <f t="shared" si="108"/>
        <v>86665</v>
      </c>
      <c r="H455" s="52">
        <f t="shared" si="109"/>
        <v>90212</v>
      </c>
      <c r="I455" s="61">
        <f t="shared" si="110"/>
        <v>71148</v>
      </c>
      <c r="J455" s="52">
        <f t="shared" si="104"/>
        <v>75561</v>
      </c>
      <c r="K455" s="49">
        <f t="shared" si="111"/>
        <v>23083</v>
      </c>
      <c r="L455" s="50">
        <f t="shared" si="112"/>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
      <c r="A456" s="30" t="s">
        <v>78</v>
      </c>
      <c r="B456" s="1" t="s">
        <v>522</v>
      </c>
      <c r="C456" s="29" t="str">
        <f t="shared" si="113"/>
        <v>LA England - Tonbridge and Malling</v>
      </c>
      <c r="D456" s="50">
        <f t="shared" si="105"/>
        <v>54817</v>
      </c>
      <c r="E456" s="50">
        <f t="shared" si="106"/>
        <v>59095</v>
      </c>
      <c r="F456" s="51">
        <f t="shared" si="107"/>
        <v>133661</v>
      </c>
      <c r="G456" s="51">
        <f t="shared" si="108"/>
        <v>64931</v>
      </c>
      <c r="H456" s="52">
        <f t="shared" si="109"/>
        <v>68730</v>
      </c>
      <c r="I456" s="61">
        <f t="shared" si="110"/>
        <v>54817</v>
      </c>
      <c r="J456" s="52">
        <f t="shared" si="104"/>
        <v>59095</v>
      </c>
      <c r="K456" s="49">
        <f t="shared" si="111"/>
        <v>15652</v>
      </c>
      <c r="L456" s="50">
        <f t="shared" si="112"/>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
      <c r="A457" s="30" t="s">
        <v>78</v>
      </c>
      <c r="B457" s="1" t="s">
        <v>523</v>
      </c>
      <c r="C457" s="29" t="str">
        <f t="shared" si="113"/>
        <v>LA England - Torbay</v>
      </c>
      <c r="D457" s="50">
        <f t="shared" si="105"/>
        <v>59701</v>
      </c>
      <c r="E457" s="50">
        <f t="shared" si="106"/>
        <v>63696</v>
      </c>
      <c r="F457" s="51">
        <f t="shared" si="107"/>
        <v>139479</v>
      </c>
      <c r="G457" s="51">
        <f t="shared" si="108"/>
        <v>67916</v>
      </c>
      <c r="H457" s="52">
        <f t="shared" si="109"/>
        <v>71563</v>
      </c>
      <c r="I457" s="61">
        <f t="shared" si="110"/>
        <v>59701</v>
      </c>
      <c r="J457" s="52">
        <f t="shared" ref="J457:J496" si="114">SUM(DL457:GL457)</f>
        <v>63696</v>
      </c>
      <c r="K457" s="49">
        <f t="shared" si="111"/>
        <v>12882</v>
      </c>
      <c r="L457" s="50">
        <f t="shared" si="112"/>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
      <c r="A458" s="30" t="s">
        <v>78</v>
      </c>
      <c r="B458" s="1" t="s">
        <v>524</v>
      </c>
      <c r="C458" s="29" t="str">
        <f t="shared" si="113"/>
        <v>LA England - Torridge</v>
      </c>
      <c r="D458" s="50">
        <f t="shared" ref="D458:D496" si="115">I458</f>
        <v>29623</v>
      </c>
      <c r="E458" s="50">
        <f t="shared" ref="E458:E496" si="116">J458</f>
        <v>31353</v>
      </c>
      <c r="F458" s="51">
        <f t="shared" ref="F458:F496" si="117">G458+H458</f>
        <v>68635</v>
      </c>
      <c r="G458" s="51">
        <f t="shared" ref="G458:G496" si="118">SUM(M458:CY458)</f>
        <v>33615</v>
      </c>
      <c r="H458" s="52">
        <f t="shared" ref="H458:H496" si="119">SUM(CZ458:GL458)</f>
        <v>35020</v>
      </c>
      <c r="I458" s="61">
        <f t="shared" ref="I458:I496" si="120">SUM(Y458:CY458)</f>
        <v>29623</v>
      </c>
      <c r="J458" s="52">
        <f t="shared" si="114"/>
        <v>31353</v>
      </c>
      <c r="K458" s="49">
        <f t="shared" ref="K458:K496" si="121">SUM(M458:AD458)</f>
        <v>6223</v>
      </c>
      <c r="L458" s="50">
        <f t="shared" ref="L458:L496" si="122">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
      <c r="A459" s="30" t="s">
        <v>78</v>
      </c>
      <c r="B459" s="1" t="s">
        <v>525</v>
      </c>
      <c r="C459" s="29" t="str">
        <f t="shared" si="113"/>
        <v>LA England - Tower Hamlets</v>
      </c>
      <c r="D459" s="50">
        <f t="shared" si="115"/>
        <v>141512</v>
      </c>
      <c r="E459" s="50">
        <f t="shared" si="116"/>
        <v>140605</v>
      </c>
      <c r="F459" s="51">
        <f t="shared" si="117"/>
        <v>325789</v>
      </c>
      <c r="G459" s="51">
        <f t="shared" si="118"/>
        <v>163842</v>
      </c>
      <c r="H459" s="52">
        <f t="shared" si="119"/>
        <v>161947</v>
      </c>
      <c r="I459" s="61">
        <f t="shared" si="120"/>
        <v>141512</v>
      </c>
      <c r="J459" s="52">
        <f t="shared" si="114"/>
        <v>140605</v>
      </c>
      <c r="K459" s="49">
        <f t="shared" si="121"/>
        <v>32726</v>
      </c>
      <c r="L459" s="50">
        <f t="shared" si="122"/>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
      <c r="A460" s="30" t="s">
        <v>78</v>
      </c>
      <c r="B460" s="1" t="s">
        <v>526</v>
      </c>
      <c r="C460" s="29" t="str">
        <f t="shared" ref="C460:C496" si="123">CONCATENATE(A460," - ",B460)</f>
        <v>LA England - Trafford</v>
      </c>
      <c r="D460" s="50">
        <f t="shared" si="115"/>
        <v>96658</v>
      </c>
      <c r="E460" s="50">
        <f t="shared" si="116"/>
        <v>103418</v>
      </c>
      <c r="F460" s="51">
        <f t="shared" si="117"/>
        <v>236301</v>
      </c>
      <c r="G460" s="51">
        <f t="shared" si="118"/>
        <v>115249</v>
      </c>
      <c r="H460" s="52">
        <f t="shared" si="119"/>
        <v>121052</v>
      </c>
      <c r="I460" s="61">
        <f t="shared" si="120"/>
        <v>96658</v>
      </c>
      <c r="J460" s="52">
        <f t="shared" si="114"/>
        <v>103418</v>
      </c>
      <c r="K460" s="49">
        <f t="shared" si="121"/>
        <v>28380</v>
      </c>
      <c r="L460" s="50">
        <f t="shared" si="122"/>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
      <c r="A461" s="30" t="s">
        <v>78</v>
      </c>
      <c r="B461" s="1" t="s">
        <v>527</v>
      </c>
      <c r="C461" s="29" t="str">
        <f t="shared" si="123"/>
        <v>LA England - Tunbridge Wells</v>
      </c>
      <c r="D461" s="50">
        <f t="shared" si="115"/>
        <v>47994</v>
      </c>
      <c r="E461" s="50">
        <f t="shared" si="116"/>
        <v>51604</v>
      </c>
      <c r="F461" s="51">
        <f t="shared" si="117"/>
        <v>116028</v>
      </c>
      <c r="G461" s="51">
        <f t="shared" si="118"/>
        <v>56457</v>
      </c>
      <c r="H461" s="52">
        <f t="shared" si="119"/>
        <v>59571</v>
      </c>
      <c r="I461" s="61">
        <f t="shared" si="120"/>
        <v>47994</v>
      </c>
      <c r="J461" s="52">
        <f t="shared" si="114"/>
        <v>51604</v>
      </c>
      <c r="K461" s="49">
        <f t="shared" si="121"/>
        <v>13283</v>
      </c>
      <c r="L461" s="50">
        <f t="shared" si="122"/>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
      <c r="A462" s="30" t="s">
        <v>78</v>
      </c>
      <c r="B462" s="1" t="s">
        <v>528</v>
      </c>
      <c r="C462" s="29" t="str">
        <f t="shared" si="123"/>
        <v>LA England - Uttlesford</v>
      </c>
      <c r="D462" s="50">
        <f t="shared" si="115"/>
        <v>38622</v>
      </c>
      <c r="E462" s="50">
        <f t="shared" si="116"/>
        <v>40859</v>
      </c>
      <c r="F462" s="51">
        <f t="shared" si="117"/>
        <v>92578</v>
      </c>
      <c r="G462" s="51">
        <f t="shared" si="118"/>
        <v>45371</v>
      </c>
      <c r="H462" s="52">
        <f t="shared" si="119"/>
        <v>47207</v>
      </c>
      <c r="I462" s="61">
        <f t="shared" si="120"/>
        <v>38622</v>
      </c>
      <c r="J462" s="52">
        <f t="shared" si="114"/>
        <v>40859</v>
      </c>
      <c r="K462" s="49">
        <f t="shared" si="121"/>
        <v>10303</v>
      </c>
      <c r="L462" s="50">
        <f t="shared" si="122"/>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
      <c r="A463" s="30" t="s">
        <v>78</v>
      </c>
      <c r="B463" s="1" t="s">
        <v>529</v>
      </c>
      <c r="C463" s="29" t="str">
        <f t="shared" si="123"/>
        <v>LA England - Vale of White Horse</v>
      </c>
      <c r="D463" s="50">
        <f t="shared" si="115"/>
        <v>60084</v>
      </c>
      <c r="E463" s="50">
        <f t="shared" si="116"/>
        <v>61682</v>
      </c>
      <c r="F463" s="51">
        <f t="shared" si="117"/>
        <v>142116</v>
      </c>
      <c r="G463" s="51">
        <f t="shared" si="118"/>
        <v>70559</v>
      </c>
      <c r="H463" s="52">
        <f t="shared" si="119"/>
        <v>71557</v>
      </c>
      <c r="I463" s="61">
        <f t="shared" si="120"/>
        <v>60084</v>
      </c>
      <c r="J463" s="52">
        <f t="shared" si="114"/>
        <v>61682</v>
      </c>
      <c r="K463" s="49">
        <f t="shared" si="121"/>
        <v>16102</v>
      </c>
      <c r="L463" s="50">
        <f t="shared" si="122"/>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
      <c r="A464" s="30" t="s">
        <v>78</v>
      </c>
      <c r="B464" s="1" t="s">
        <v>530</v>
      </c>
      <c r="C464" s="29" t="str">
        <f t="shared" si="123"/>
        <v>LA England - Wakefield</v>
      </c>
      <c r="D464" s="50">
        <f t="shared" si="115"/>
        <v>150371</v>
      </c>
      <c r="E464" s="50">
        <f t="shared" si="116"/>
        <v>157384</v>
      </c>
      <c r="F464" s="51">
        <f t="shared" si="117"/>
        <v>357729</v>
      </c>
      <c r="G464" s="51">
        <f t="shared" si="118"/>
        <v>176034</v>
      </c>
      <c r="H464" s="52">
        <f t="shared" si="119"/>
        <v>181695</v>
      </c>
      <c r="I464" s="61">
        <f t="shared" si="120"/>
        <v>150371</v>
      </c>
      <c r="J464" s="52">
        <f t="shared" si="114"/>
        <v>157384</v>
      </c>
      <c r="K464" s="49">
        <f t="shared" si="121"/>
        <v>38413</v>
      </c>
      <c r="L464" s="50">
        <f t="shared" si="122"/>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
      <c r="A465" s="30" t="s">
        <v>78</v>
      </c>
      <c r="B465" s="1" t="s">
        <v>531</v>
      </c>
      <c r="C465" s="29" t="str">
        <f t="shared" si="123"/>
        <v>LA England - Walsall</v>
      </c>
      <c r="D465" s="50">
        <f t="shared" si="115"/>
        <v>116677</v>
      </c>
      <c r="E465" s="50">
        <f t="shared" si="116"/>
        <v>123499</v>
      </c>
      <c r="F465" s="51">
        <f t="shared" si="117"/>
        <v>286105</v>
      </c>
      <c r="G465" s="51">
        <f t="shared" si="118"/>
        <v>140018</v>
      </c>
      <c r="H465" s="52">
        <f t="shared" si="119"/>
        <v>146087</v>
      </c>
      <c r="I465" s="61">
        <f t="shared" si="120"/>
        <v>116677</v>
      </c>
      <c r="J465" s="52">
        <f t="shared" si="114"/>
        <v>123499</v>
      </c>
      <c r="K465" s="49">
        <f t="shared" si="121"/>
        <v>35297</v>
      </c>
      <c r="L465" s="50">
        <f t="shared" si="122"/>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
      <c r="A466" s="30" t="s">
        <v>78</v>
      </c>
      <c r="B466" s="1" t="s">
        <v>532</v>
      </c>
      <c r="C466" s="29" t="str">
        <f t="shared" si="123"/>
        <v>LA England - Waltham Forest</v>
      </c>
      <c r="D466" s="50">
        <f t="shared" si="115"/>
        <v>112978</v>
      </c>
      <c r="E466" s="50">
        <f t="shared" si="116"/>
        <v>120076</v>
      </c>
      <c r="F466" s="51">
        <f t="shared" si="117"/>
        <v>275887</v>
      </c>
      <c r="G466" s="51">
        <f t="shared" si="118"/>
        <v>134906</v>
      </c>
      <c r="H466" s="52">
        <f t="shared" si="119"/>
        <v>140981</v>
      </c>
      <c r="I466" s="61">
        <f t="shared" si="120"/>
        <v>112978</v>
      </c>
      <c r="J466" s="52">
        <f t="shared" si="114"/>
        <v>120076</v>
      </c>
      <c r="K466" s="49">
        <f t="shared" si="121"/>
        <v>31796</v>
      </c>
      <c r="L466" s="50">
        <f t="shared" si="122"/>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
      <c r="A467" s="30" t="s">
        <v>78</v>
      </c>
      <c r="B467" s="1" t="s">
        <v>533</v>
      </c>
      <c r="C467" s="29" t="str">
        <f t="shared" si="123"/>
        <v>LA England - Wandsworth</v>
      </c>
      <c r="D467" s="50">
        <f t="shared" si="115"/>
        <v>134844</v>
      </c>
      <c r="E467" s="50">
        <f t="shared" si="116"/>
        <v>153151</v>
      </c>
      <c r="F467" s="51">
        <f t="shared" si="117"/>
        <v>329035</v>
      </c>
      <c r="G467" s="51">
        <f t="shared" si="118"/>
        <v>155750</v>
      </c>
      <c r="H467" s="52">
        <f t="shared" si="119"/>
        <v>173285</v>
      </c>
      <c r="I467" s="61">
        <f t="shared" si="120"/>
        <v>134844</v>
      </c>
      <c r="J467" s="52">
        <f t="shared" si="114"/>
        <v>153151</v>
      </c>
      <c r="K467" s="49">
        <f t="shared" si="121"/>
        <v>29978</v>
      </c>
      <c r="L467" s="50">
        <f t="shared" si="122"/>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
      <c r="A468" s="30" t="s">
        <v>78</v>
      </c>
      <c r="B468" s="1" t="s">
        <v>534</v>
      </c>
      <c r="C468" s="29" t="str">
        <f t="shared" si="123"/>
        <v>LA England - Warrington</v>
      </c>
      <c r="D468" s="50">
        <f t="shared" si="115"/>
        <v>90188</v>
      </c>
      <c r="E468" s="50">
        <f t="shared" si="116"/>
        <v>93221</v>
      </c>
      <c r="F468" s="51">
        <f t="shared" si="117"/>
        <v>211580</v>
      </c>
      <c r="G468" s="51">
        <f t="shared" si="118"/>
        <v>104613</v>
      </c>
      <c r="H468" s="52">
        <f t="shared" si="119"/>
        <v>106967</v>
      </c>
      <c r="I468" s="61">
        <f t="shared" si="120"/>
        <v>90188</v>
      </c>
      <c r="J468" s="52">
        <f t="shared" si="114"/>
        <v>93221</v>
      </c>
      <c r="K468" s="49">
        <f t="shared" si="121"/>
        <v>22329</v>
      </c>
      <c r="L468" s="50">
        <f t="shared" si="122"/>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
      <c r="A469" s="30" t="s">
        <v>78</v>
      </c>
      <c r="B469" s="1" t="s">
        <v>535</v>
      </c>
      <c r="C469" s="29" t="str">
        <f t="shared" si="123"/>
        <v>LA England - Warwick</v>
      </c>
      <c r="D469" s="50">
        <f t="shared" si="115"/>
        <v>65369</v>
      </c>
      <c r="E469" s="50">
        <f t="shared" si="116"/>
        <v>66486</v>
      </c>
      <c r="F469" s="51">
        <f t="shared" si="117"/>
        <v>151158</v>
      </c>
      <c r="G469" s="51">
        <f t="shared" si="118"/>
        <v>75257</v>
      </c>
      <c r="H469" s="52">
        <f t="shared" si="119"/>
        <v>75901</v>
      </c>
      <c r="I469" s="61">
        <f t="shared" si="120"/>
        <v>65369</v>
      </c>
      <c r="J469" s="52">
        <f t="shared" si="114"/>
        <v>66486</v>
      </c>
      <c r="K469" s="49">
        <f t="shared" si="121"/>
        <v>14875</v>
      </c>
      <c r="L469" s="50">
        <f t="shared" si="122"/>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
      <c r="A470" s="30" t="s">
        <v>78</v>
      </c>
      <c r="B470" s="1" t="s">
        <v>536</v>
      </c>
      <c r="C470" s="29" t="str">
        <f t="shared" si="123"/>
        <v>LA England - Watford</v>
      </c>
      <c r="D470" s="50">
        <f t="shared" si="115"/>
        <v>42296</v>
      </c>
      <c r="E470" s="50">
        <f t="shared" si="116"/>
        <v>44386</v>
      </c>
      <c r="F470" s="51">
        <f t="shared" si="117"/>
        <v>103031</v>
      </c>
      <c r="G470" s="51">
        <f t="shared" si="118"/>
        <v>50602</v>
      </c>
      <c r="H470" s="52">
        <f t="shared" si="119"/>
        <v>52429</v>
      </c>
      <c r="I470" s="61">
        <f t="shared" si="120"/>
        <v>42296</v>
      </c>
      <c r="J470" s="52">
        <f t="shared" si="114"/>
        <v>44386</v>
      </c>
      <c r="K470" s="49">
        <f t="shared" si="121"/>
        <v>12355</v>
      </c>
      <c r="L470" s="50">
        <f t="shared" si="122"/>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
      <c r="A471" s="30" t="s">
        <v>78</v>
      </c>
      <c r="B471" s="1" t="s">
        <v>537</v>
      </c>
      <c r="C471" s="29" t="str">
        <f t="shared" si="123"/>
        <v>LA England - Waverley</v>
      </c>
      <c r="D471" s="50">
        <f t="shared" si="115"/>
        <v>53759</v>
      </c>
      <c r="E471" s="50">
        <f t="shared" si="116"/>
        <v>58491</v>
      </c>
      <c r="F471" s="51">
        <f t="shared" si="117"/>
        <v>130063</v>
      </c>
      <c r="G471" s="51">
        <f t="shared" si="118"/>
        <v>62934</v>
      </c>
      <c r="H471" s="52">
        <f t="shared" si="119"/>
        <v>67129</v>
      </c>
      <c r="I471" s="61">
        <f t="shared" si="120"/>
        <v>53759</v>
      </c>
      <c r="J471" s="52">
        <f t="shared" si="114"/>
        <v>58491</v>
      </c>
      <c r="K471" s="49">
        <f t="shared" si="121"/>
        <v>14760</v>
      </c>
      <c r="L471" s="50">
        <f t="shared" si="122"/>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
      <c r="A472" s="30" t="s">
        <v>78</v>
      </c>
      <c r="B472" s="1" t="s">
        <v>538</v>
      </c>
      <c r="C472" s="29" t="str">
        <f t="shared" si="123"/>
        <v>LA England - Wealden</v>
      </c>
      <c r="D472" s="50">
        <f t="shared" si="115"/>
        <v>68371</v>
      </c>
      <c r="E472" s="50">
        <f t="shared" si="116"/>
        <v>75040</v>
      </c>
      <c r="F472" s="51">
        <f t="shared" si="117"/>
        <v>163012</v>
      </c>
      <c r="G472" s="51">
        <f t="shared" si="118"/>
        <v>78460</v>
      </c>
      <c r="H472" s="52">
        <f t="shared" si="119"/>
        <v>84552</v>
      </c>
      <c r="I472" s="61">
        <f t="shared" si="120"/>
        <v>68371</v>
      </c>
      <c r="J472" s="52">
        <f t="shared" si="114"/>
        <v>75040</v>
      </c>
      <c r="K472" s="49">
        <f t="shared" si="121"/>
        <v>15683</v>
      </c>
      <c r="L472" s="50">
        <f t="shared" si="122"/>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
      <c r="A473" s="30" t="s">
        <v>78</v>
      </c>
      <c r="B473" s="1" t="s">
        <v>539</v>
      </c>
      <c r="C473" s="29" t="str">
        <f t="shared" si="123"/>
        <v>LA England - Welwyn Hatfield</v>
      </c>
      <c r="D473" s="50">
        <f t="shared" si="115"/>
        <v>50742</v>
      </c>
      <c r="E473" s="50">
        <f t="shared" si="116"/>
        <v>52538</v>
      </c>
      <c r="F473" s="51">
        <f t="shared" si="117"/>
        <v>120213</v>
      </c>
      <c r="G473" s="51">
        <f t="shared" si="118"/>
        <v>59463</v>
      </c>
      <c r="H473" s="52">
        <f t="shared" si="119"/>
        <v>60750</v>
      </c>
      <c r="I473" s="61">
        <f t="shared" si="120"/>
        <v>50742</v>
      </c>
      <c r="J473" s="52">
        <f t="shared" si="114"/>
        <v>52538</v>
      </c>
      <c r="K473" s="49">
        <f t="shared" si="121"/>
        <v>13015</v>
      </c>
      <c r="L473" s="50">
        <f t="shared" si="122"/>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
      <c r="A474" s="30" t="s">
        <v>78</v>
      </c>
      <c r="B474" s="1" t="s">
        <v>540</v>
      </c>
      <c r="C474" s="29" t="str">
        <f t="shared" si="123"/>
        <v>LA England - West Berkshire</v>
      </c>
      <c r="D474" s="50">
        <f t="shared" si="115"/>
        <v>68770</v>
      </c>
      <c r="E474" s="50">
        <f t="shared" si="116"/>
        <v>71568</v>
      </c>
      <c r="F474" s="51">
        <f t="shared" si="117"/>
        <v>162215</v>
      </c>
      <c r="G474" s="51">
        <f t="shared" si="118"/>
        <v>80000</v>
      </c>
      <c r="H474" s="52">
        <f t="shared" si="119"/>
        <v>82215</v>
      </c>
      <c r="I474" s="61">
        <f t="shared" si="120"/>
        <v>68770</v>
      </c>
      <c r="J474" s="52">
        <f t="shared" si="114"/>
        <v>71568</v>
      </c>
      <c r="K474" s="49">
        <f t="shared" si="121"/>
        <v>17772</v>
      </c>
      <c r="L474" s="50">
        <f t="shared" si="122"/>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
      <c r="A475" s="30" t="s">
        <v>78</v>
      </c>
      <c r="B475" s="1" t="s">
        <v>541</v>
      </c>
      <c r="C475" s="29" t="str">
        <f t="shared" si="123"/>
        <v>LA England - West Devon</v>
      </c>
      <c r="D475" s="50">
        <f t="shared" si="115"/>
        <v>25400</v>
      </c>
      <c r="E475" s="50">
        <f t="shared" si="116"/>
        <v>26680</v>
      </c>
      <c r="F475" s="51">
        <f t="shared" si="117"/>
        <v>58190</v>
      </c>
      <c r="G475" s="51">
        <f t="shared" si="118"/>
        <v>28479</v>
      </c>
      <c r="H475" s="52">
        <f t="shared" si="119"/>
        <v>29711</v>
      </c>
      <c r="I475" s="61">
        <f t="shared" si="120"/>
        <v>25400</v>
      </c>
      <c r="J475" s="52">
        <f t="shared" si="114"/>
        <v>26680</v>
      </c>
      <c r="K475" s="49">
        <f t="shared" si="121"/>
        <v>5050</v>
      </c>
      <c r="L475" s="50">
        <f t="shared" si="122"/>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
      <c r="A476" s="30" t="s">
        <v>78</v>
      </c>
      <c r="B476" s="1" t="s">
        <v>542</v>
      </c>
      <c r="C476" s="29" t="str">
        <f t="shared" si="123"/>
        <v>LA England - West Lancashire</v>
      </c>
      <c r="D476" s="50">
        <f t="shared" si="115"/>
        <v>50062</v>
      </c>
      <c r="E476" s="50">
        <f t="shared" si="116"/>
        <v>55174</v>
      </c>
      <c r="F476" s="51">
        <f t="shared" si="117"/>
        <v>119367</v>
      </c>
      <c r="G476" s="51">
        <f t="shared" si="118"/>
        <v>57283</v>
      </c>
      <c r="H476" s="52">
        <f t="shared" si="119"/>
        <v>62084</v>
      </c>
      <c r="I476" s="61">
        <f t="shared" si="120"/>
        <v>50062</v>
      </c>
      <c r="J476" s="52">
        <f t="shared" si="114"/>
        <v>55174</v>
      </c>
      <c r="K476" s="49">
        <f t="shared" si="121"/>
        <v>11323</v>
      </c>
      <c r="L476" s="50">
        <f t="shared" si="122"/>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
      <c r="A477" s="30" t="s">
        <v>78</v>
      </c>
      <c r="B477" s="1" t="s">
        <v>543</v>
      </c>
      <c r="C477" s="29" t="str">
        <f t="shared" si="123"/>
        <v>LA England - West Lindsey</v>
      </c>
      <c r="D477" s="50">
        <f t="shared" si="115"/>
        <v>41346</v>
      </c>
      <c r="E477" s="50">
        <f t="shared" si="116"/>
        <v>43511</v>
      </c>
      <c r="F477" s="51">
        <f t="shared" si="117"/>
        <v>96817</v>
      </c>
      <c r="G477" s="51">
        <f t="shared" si="118"/>
        <v>47535</v>
      </c>
      <c r="H477" s="52">
        <f t="shared" si="119"/>
        <v>49282</v>
      </c>
      <c r="I477" s="61">
        <f t="shared" si="120"/>
        <v>41346</v>
      </c>
      <c r="J477" s="52">
        <f t="shared" si="114"/>
        <v>43511</v>
      </c>
      <c r="K477" s="49">
        <f t="shared" si="121"/>
        <v>9478</v>
      </c>
      <c r="L477" s="50">
        <f t="shared" si="122"/>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
      <c r="A478" s="30" t="s">
        <v>78</v>
      </c>
      <c r="B478" s="1" t="s">
        <v>544</v>
      </c>
      <c r="C478" s="29" t="str">
        <f t="shared" si="123"/>
        <v>LA England - West Northamptonshire</v>
      </c>
      <c r="D478" s="50">
        <f t="shared" si="115"/>
        <v>180622</v>
      </c>
      <c r="E478" s="50">
        <f t="shared" si="116"/>
        <v>186694</v>
      </c>
      <c r="F478" s="51">
        <f t="shared" si="117"/>
        <v>429013</v>
      </c>
      <c r="G478" s="51">
        <f t="shared" si="118"/>
        <v>212074</v>
      </c>
      <c r="H478" s="52">
        <f t="shared" si="119"/>
        <v>216939</v>
      </c>
      <c r="I478" s="61">
        <f t="shared" si="120"/>
        <v>180622</v>
      </c>
      <c r="J478" s="52">
        <f t="shared" si="114"/>
        <v>186694</v>
      </c>
      <c r="K478" s="49">
        <f t="shared" si="121"/>
        <v>47533</v>
      </c>
      <c r="L478" s="50">
        <f t="shared" si="122"/>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
      <c r="A479" s="30" t="s">
        <v>78</v>
      </c>
      <c r="B479" s="1" t="s">
        <v>545</v>
      </c>
      <c r="C479" s="29" t="str">
        <f t="shared" si="123"/>
        <v>LA England - West Oxfordshire</v>
      </c>
      <c r="D479" s="50">
        <f t="shared" si="115"/>
        <v>49729</v>
      </c>
      <c r="E479" s="50">
        <f t="shared" si="116"/>
        <v>51960</v>
      </c>
      <c r="F479" s="51">
        <f t="shared" si="117"/>
        <v>116928</v>
      </c>
      <c r="G479" s="51">
        <f t="shared" si="118"/>
        <v>57569</v>
      </c>
      <c r="H479" s="52">
        <f t="shared" si="119"/>
        <v>59359</v>
      </c>
      <c r="I479" s="61">
        <f t="shared" si="120"/>
        <v>49729</v>
      </c>
      <c r="J479" s="52">
        <f t="shared" si="114"/>
        <v>51960</v>
      </c>
      <c r="K479" s="49">
        <f t="shared" si="121"/>
        <v>11970</v>
      </c>
      <c r="L479" s="50">
        <f t="shared" si="122"/>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
      <c r="A480" s="30" t="s">
        <v>78</v>
      </c>
      <c r="B480" s="1" t="s">
        <v>546</v>
      </c>
      <c r="C480" s="29" t="str">
        <f t="shared" si="123"/>
        <v>LA England - West Suffolk</v>
      </c>
      <c r="D480" s="50">
        <f t="shared" si="115"/>
        <v>78586</v>
      </c>
      <c r="E480" s="50">
        <f t="shared" si="116"/>
        <v>79135</v>
      </c>
      <c r="F480" s="51">
        <f t="shared" si="117"/>
        <v>182228</v>
      </c>
      <c r="G480" s="51">
        <f t="shared" si="118"/>
        <v>91277</v>
      </c>
      <c r="H480" s="52">
        <f t="shared" si="119"/>
        <v>90951</v>
      </c>
      <c r="I480" s="61">
        <f t="shared" si="120"/>
        <v>78586</v>
      </c>
      <c r="J480" s="52">
        <f t="shared" si="114"/>
        <v>79135</v>
      </c>
      <c r="K480" s="49">
        <f t="shared" si="121"/>
        <v>18607</v>
      </c>
      <c r="L480" s="50">
        <f t="shared" si="122"/>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
      <c r="A481" s="30" t="s">
        <v>78</v>
      </c>
      <c r="B481" s="1" t="s">
        <v>547</v>
      </c>
      <c r="C481" s="29" t="str">
        <f t="shared" si="123"/>
        <v>LA England - Westminster</v>
      </c>
      <c r="D481" s="50">
        <f t="shared" si="115"/>
        <v>92044</v>
      </c>
      <c r="E481" s="50">
        <f t="shared" si="116"/>
        <v>99509</v>
      </c>
      <c r="F481" s="51">
        <f t="shared" si="117"/>
        <v>211365</v>
      </c>
      <c r="G481" s="51">
        <f t="shared" si="118"/>
        <v>102207</v>
      </c>
      <c r="H481" s="52">
        <f t="shared" si="119"/>
        <v>109158</v>
      </c>
      <c r="I481" s="61">
        <f t="shared" si="120"/>
        <v>92044</v>
      </c>
      <c r="J481" s="52">
        <f t="shared" si="114"/>
        <v>99509</v>
      </c>
      <c r="K481" s="49">
        <f t="shared" si="121"/>
        <v>15496</v>
      </c>
      <c r="L481" s="50">
        <f t="shared" si="122"/>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
      <c r="A482" s="30" t="s">
        <v>78</v>
      </c>
      <c r="B482" s="1" t="s">
        <v>548</v>
      </c>
      <c r="C482" s="29" t="str">
        <f t="shared" si="123"/>
        <v>LA England - Westmorland and Furness</v>
      </c>
      <c r="D482" s="50">
        <f t="shared" si="115"/>
        <v>99847</v>
      </c>
      <c r="E482" s="50">
        <f t="shared" si="116"/>
        <v>103218</v>
      </c>
      <c r="F482" s="51">
        <f t="shared" si="117"/>
        <v>227643</v>
      </c>
      <c r="G482" s="51">
        <f t="shared" si="118"/>
        <v>112393</v>
      </c>
      <c r="H482" s="52">
        <f t="shared" si="119"/>
        <v>115250</v>
      </c>
      <c r="I482" s="61">
        <f t="shared" si="120"/>
        <v>99847</v>
      </c>
      <c r="J482" s="52">
        <f t="shared" si="114"/>
        <v>103218</v>
      </c>
      <c r="K482" s="49">
        <f t="shared" si="121"/>
        <v>20106</v>
      </c>
      <c r="L482" s="50">
        <f t="shared" si="122"/>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
      <c r="A483" s="30" t="s">
        <v>78</v>
      </c>
      <c r="B483" s="1" t="s">
        <v>549</v>
      </c>
      <c r="C483" s="29" t="str">
        <f t="shared" si="123"/>
        <v>LA England - Wigan</v>
      </c>
      <c r="D483" s="50">
        <f t="shared" si="115"/>
        <v>142142</v>
      </c>
      <c r="E483" s="50">
        <f t="shared" si="116"/>
        <v>146354</v>
      </c>
      <c r="F483" s="51">
        <f t="shared" si="117"/>
        <v>334110</v>
      </c>
      <c r="G483" s="51">
        <f t="shared" si="118"/>
        <v>165612</v>
      </c>
      <c r="H483" s="52">
        <f t="shared" si="119"/>
        <v>168498</v>
      </c>
      <c r="I483" s="61">
        <f t="shared" si="120"/>
        <v>142142</v>
      </c>
      <c r="J483" s="52">
        <f t="shared" si="114"/>
        <v>146354</v>
      </c>
      <c r="K483" s="49">
        <f t="shared" si="121"/>
        <v>35791</v>
      </c>
      <c r="L483" s="50">
        <f t="shared" si="122"/>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
      <c r="A484" s="30" t="s">
        <v>78</v>
      </c>
      <c r="B484" s="1" t="s">
        <v>550</v>
      </c>
      <c r="C484" s="29" t="str">
        <f t="shared" si="123"/>
        <v>LA England - Wiltshire</v>
      </c>
      <c r="D484" s="50">
        <f t="shared" si="115"/>
        <v>220643</v>
      </c>
      <c r="E484" s="50">
        <f t="shared" si="116"/>
        <v>228443</v>
      </c>
      <c r="F484" s="51">
        <f t="shared" si="117"/>
        <v>515885</v>
      </c>
      <c r="G484" s="51">
        <f t="shared" si="118"/>
        <v>254963</v>
      </c>
      <c r="H484" s="52">
        <f t="shared" si="119"/>
        <v>260922</v>
      </c>
      <c r="I484" s="61">
        <f t="shared" si="120"/>
        <v>220643</v>
      </c>
      <c r="J484" s="52">
        <f t="shared" si="114"/>
        <v>228443</v>
      </c>
      <c r="K484" s="49">
        <f t="shared" si="121"/>
        <v>52690</v>
      </c>
      <c r="L484" s="50">
        <f t="shared" si="122"/>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
      <c r="A485" s="30" t="s">
        <v>78</v>
      </c>
      <c r="B485" s="1" t="s">
        <v>551</v>
      </c>
      <c r="C485" s="29" t="str">
        <f t="shared" si="123"/>
        <v>LA England - Winchester</v>
      </c>
      <c r="D485" s="50">
        <f t="shared" si="115"/>
        <v>54952</v>
      </c>
      <c r="E485" s="50">
        <f t="shared" si="116"/>
        <v>58559</v>
      </c>
      <c r="F485" s="51">
        <f t="shared" si="117"/>
        <v>130268</v>
      </c>
      <c r="G485" s="51">
        <f t="shared" si="118"/>
        <v>63583</v>
      </c>
      <c r="H485" s="52">
        <f t="shared" si="119"/>
        <v>66685</v>
      </c>
      <c r="I485" s="61">
        <f t="shared" si="120"/>
        <v>54952</v>
      </c>
      <c r="J485" s="52">
        <f t="shared" si="114"/>
        <v>58559</v>
      </c>
      <c r="K485" s="49">
        <f t="shared" si="121"/>
        <v>13800</v>
      </c>
      <c r="L485" s="50">
        <f t="shared" si="122"/>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
      <c r="A486" s="30" t="s">
        <v>78</v>
      </c>
      <c r="B486" s="1" t="s">
        <v>552</v>
      </c>
      <c r="C486" s="29" t="str">
        <f t="shared" si="123"/>
        <v>LA England - Windsor and Maidenhead</v>
      </c>
      <c r="D486" s="50">
        <f t="shared" si="115"/>
        <v>65611</v>
      </c>
      <c r="E486" s="50">
        <f t="shared" si="116"/>
        <v>68038</v>
      </c>
      <c r="F486" s="51">
        <f t="shared" si="117"/>
        <v>154738</v>
      </c>
      <c r="G486" s="51">
        <f t="shared" si="118"/>
        <v>76388</v>
      </c>
      <c r="H486" s="52">
        <f t="shared" si="119"/>
        <v>78350</v>
      </c>
      <c r="I486" s="61">
        <f t="shared" si="120"/>
        <v>65611</v>
      </c>
      <c r="J486" s="52">
        <f t="shared" si="114"/>
        <v>68038</v>
      </c>
      <c r="K486" s="49">
        <f t="shared" si="121"/>
        <v>17834</v>
      </c>
      <c r="L486" s="50">
        <f t="shared" si="122"/>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
      <c r="A487" s="30" t="s">
        <v>78</v>
      </c>
      <c r="B487" s="1" t="s">
        <v>553</v>
      </c>
      <c r="C487" s="29" t="str">
        <f t="shared" si="123"/>
        <v>LA England - Wirral</v>
      </c>
      <c r="D487" s="50">
        <f t="shared" si="115"/>
        <v>134091</v>
      </c>
      <c r="E487" s="50">
        <f t="shared" si="116"/>
        <v>145723</v>
      </c>
      <c r="F487" s="51">
        <f t="shared" si="117"/>
        <v>322453</v>
      </c>
      <c r="G487" s="51">
        <f t="shared" si="118"/>
        <v>156079</v>
      </c>
      <c r="H487" s="52">
        <f t="shared" si="119"/>
        <v>166374</v>
      </c>
      <c r="I487" s="61">
        <f t="shared" si="120"/>
        <v>134091</v>
      </c>
      <c r="J487" s="52">
        <f t="shared" si="114"/>
        <v>145723</v>
      </c>
      <c r="K487" s="49">
        <f t="shared" si="121"/>
        <v>33797</v>
      </c>
      <c r="L487" s="50">
        <f t="shared" si="122"/>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
      <c r="A488" s="30" t="s">
        <v>78</v>
      </c>
      <c r="B488" s="1" t="s">
        <v>554</v>
      </c>
      <c r="C488" s="29" t="str">
        <f t="shared" si="123"/>
        <v>LA England - Woking</v>
      </c>
      <c r="D488" s="50">
        <f t="shared" si="115"/>
        <v>43770</v>
      </c>
      <c r="E488" s="50">
        <f t="shared" si="116"/>
        <v>45004</v>
      </c>
      <c r="F488" s="51">
        <f t="shared" si="117"/>
        <v>104179</v>
      </c>
      <c r="G488" s="51">
        <f t="shared" si="118"/>
        <v>51709</v>
      </c>
      <c r="H488" s="52">
        <f t="shared" si="119"/>
        <v>52470</v>
      </c>
      <c r="I488" s="61">
        <f t="shared" si="120"/>
        <v>43770</v>
      </c>
      <c r="J488" s="52">
        <f t="shared" si="114"/>
        <v>45004</v>
      </c>
      <c r="K488" s="49">
        <f t="shared" si="121"/>
        <v>12007</v>
      </c>
      <c r="L488" s="50">
        <f t="shared" si="122"/>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
      <c r="A489" s="30" t="s">
        <v>78</v>
      </c>
      <c r="B489" s="1" t="s">
        <v>555</v>
      </c>
      <c r="C489" s="29" t="str">
        <f t="shared" si="123"/>
        <v>LA England - Wokingham</v>
      </c>
      <c r="D489" s="50">
        <f t="shared" si="115"/>
        <v>74736</v>
      </c>
      <c r="E489" s="50">
        <f t="shared" si="116"/>
        <v>78601</v>
      </c>
      <c r="F489" s="51">
        <f t="shared" si="117"/>
        <v>180967</v>
      </c>
      <c r="G489" s="51">
        <f t="shared" si="118"/>
        <v>88984</v>
      </c>
      <c r="H489" s="52">
        <f t="shared" si="119"/>
        <v>91983</v>
      </c>
      <c r="I489" s="61">
        <f t="shared" si="120"/>
        <v>74736</v>
      </c>
      <c r="J489" s="52">
        <f t="shared" si="114"/>
        <v>78601</v>
      </c>
      <c r="K489" s="49">
        <f t="shared" si="121"/>
        <v>21784</v>
      </c>
      <c r="L489" s="50">
        <f t="shared" si="122"/>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
      <c r="A490" s="30" t="s">
        <v>78</v>
      </c>
      <c r="B490" s="1" t="s">
        <v>556</v>
      </c>
      <c r="C490" s="29" t="str">
        <f t="shared" si="123"/>
        <v>LA England - Wolverhampton</v>
      </c>
      <c r="D490" s="50">
        <f t="shared" si="115"/>
        <v>109926</v>
      </c>
      <c r="E490" s="50">
        <f t="shared" si="116"/>
        <v>115317</v>
      </c>
      <c r="F490" s="51">
        <f t="shared" si="117"/>
        <v>267651</v>
      </c>
      <c r="G490" s="51">
        <f t="shared" si="118"/>
        <v>131809</v>
      </c>
      <c r="H490" s="52">
        <f t="shared" si="119"/>
        <v>135842</v>
      </c>
      <c r="I490" s="61">
        <f t="shared" si="120"/>
        <v>109926</v>
      </c>
      <c r="J490" s="52">
        <f t="shared" si="114"/>
        <v>115317</v>
      </c>
      <c r="K490" s="49">
        <f t="shared" si="121"/>
        <v>32870</v>
      </c>
      <c r="L490" s="50">
        <f t="shared" si="122"/>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
      <c r="A491" s="30" t="s">
        <v>78</v>
      </c>
      <c r="B491" s="1" t="s">
        <v>557</v>
      </c>
      <c r="C491" s="29" t="str">
        <f t="shared" si="123"/>
        <v>LA England - Worcester</v>
      </c>
      <c r="D491" s="50">
        <f t="shared" si="115"/>
        <v>43949</v>
      </c>
      <c r="E491" s="50">
        <f t="shared" si="116"/>
        <v>46769</v>
      </c>
      <c r="F491" s="51">
        <f t="shared" si="117"/>
        <v>104120</v>
      </c>
      <c r="G491" s="51">
        <f t="shared" si="118"/>
        <v>50821</v>
      </c>
      <c r="H491" s="52">
        <f t="shared" si="119"/>
        <v>53299</v>
      </c>
      <c r="I491" s="61">
        <f t="shared" si="120"/>
        <v>43949</v>
      </c>
      <c r="J491" s="52">
        <f t="shared" si="114"/>
        <v>46769</v>
      </c>
      <c r="K491" s="49">
        <f t="shared" si="121"/>
        <v>10489</v>
      </c>
      <c r="L491" s="50">
        <f t="shared" si="122"/>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
      <c r="A492" s="30" t="s">
        <v>78</v>
      </c>
      <c r="B492" s="1" t="s">
        <v>558</v>
      </c>
      <c r="C492" s="29" t="str">
        <f t="shared" si="123"/>
        <v>LA England - Worthing</v>
      </c>
      <c r="D492" s="50">
        <f t="shared" si="115"/>
        <v>47079</v>
      </c>
      <c r="E492" s="50">
        <f t="shared" si="116"/>
        <v>51112</v>
      </c>
      <c r="F492" s="51">
        <f t="shared" si="117"/>
        <v>112044</v>
      </c>
      <c r="G492" s="51">
        <f t="shared" si="118"/>
        <v>54118</v>
      </c>
      <c r="H492" s="52">
        <f t="shared" si="119"/>
        <v>57926</v>
      </c>
      <c r="I492" s="61">
        <f t="shared" si="120"/>
        <v>47079</v>
      </c>
      <c r="J492" s="52">
        <f t="shared" si="114"/>
        <v>51112</v>
      </c>
      <c r="K492" s="49">
        <f t="shared" si="121"/>
        <v>10857</v>
      </c>
      <c r="L492" s="50">
        <f t="shared" si="122"/>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
      <c r="A493" s="30" t="s">
        <v>78</v>
      </c>
      <c r="B493" s="1" t="s">
        <v>559</v>
      </c>
      <c r="C493" s="29" t="str">
        <f t="shared" si="123"/>
        <v>LA England - Wychavon</v>
      </c>
      <c r="D493" s="50">
        <f t="shared" si="115"/>
        <v>57477</v>
      </c>
      <c r="E493" s="50">
        <f t="shared" si="116"/>
        <v>60738</v>
      </c>
      <c r="F493" s="51">
        <f t="shared" si="117"/>
        <v>134536</v>
      </c>
      <c r="G493" s="51">
        <f t="shared" si="118"/>
        <v>65827</v>
      </c>
      <c r="H493" s="52">
        <f t="shared" si="119"/>
        <v>68709</v>
      </c>
      <c r="I493" s="61">
        <f t="shared" si="120"/>
        <v>57477</v>
      </c>
      <c r="J493" s="52">
        <f t="shared" si="114"/>
        <v>60738</v>
      </c>
      <c r="K493" s="49">
        <f t="shared" si="121"/>
        <v>12845</v>
      </c>
      <c r="L493" s="50">
        <f t="shared" si="122"/>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
      <c r="A494" s="30" t="s">
        <v>78</v>
      </c>
      <c r="B494" s="1" t="s">
        <v>560</v>
      </c>
      <c r="C494" s="29" t="str">
        <f t="shared" si="123"/>
        <v>LA England - Wyre</v>
      </c>
      <c r="D494" s="50">
        <f t="shared" si="115"/>
        <v>49179</v>
      </c>
      <c r="E494" s="50">
        <f t="shared" si="116"/>
        <v>52705</v>
      </c>
      <c r="F494" s="51">
        <f t="shared" si="117"/>
        <v>114809</v>
      </c>
      <c r="G494" s="51">
        <f t="shared" si="118"/>
        <v>55883</v>
      </c>
      <c r="H494" s="52">
        <f t="shared" si="119"/>
        <v>58926</v>
      </c>
      <c r="I494" s="61">
        <f t="shared" si="120"/>
        <v>49179</v>
      </c>
      <c r="J494" s="52">
        <f t="shared" si="114"/>
        <v>52705</v>
      </c>
      <c r="K494" s="49">
        <f t="shared" si="121"/>
        <v>10526</v>
      </c>
      <c r="L494" s="50">
        <f t="shared" si="122"/>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
      <c r="A495" s="30" t="s">
        <v>78</v>
      </c>
      <c r="B495" s="1" t="s">
        <v>561</v>
      </c>
      <c r="C495" s="29" t="str">
        <f t="shared" si="123"/>
        <v>LA England - Wyre Forest</v>
      </c>
      <c r="D495" s="50">
        <f t="shared" si="115"/>
        <v>43727</v>
      </c>
      <c r="E495" s="50">
        <f t="shared" si="116"/>
        <v>46168</v>
      </c>
      <c r="F495" s="51">
        <f t="shared" si="117"/>
        <v>102328</v>
      </c>
      <c r="G495" s="51">
        <f t="shared" si="118"/>
        <v>50175</v>
      </c>
      <c r="H495" s="52">
        <f t="shared" si="119"/>
        <v>52153</v>
      </c>
      <c r="I495" s="61">
        <f t="shared" si="120"/>
        <v>43727</v>
      </c>
      <c r="J495" s="52">
        <f t="shared" si="114"/>
        <v>46168</v>
      </c>
      <c r="K495" s="49">
        <f t="shared" si="121"/>
        <v>9962</v>
      </c>
      <c r="L495" s="50">
        <f t="shared" si="122"/>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
      <c r="A496" s="30" t="s">
        <v>78</v>
      </c>
      <c r="B496" s="1" t="s">
        <v>562</v>
      </c>
      <c r="C496" s="29" t="str">
        <f t="shared" si="123"/>
        <v>LA England - York</v>
      </c>
      <c r="D496" s="50">
        <f t="shared" si="115"/>
        <v>86592</v>
      </c>
      <c r="E496" s="50">
        <f t="shared" si="116"/>
        <v>95601</v>
      </c>
      <c r="F496" s="51">
        <f t="shared" si="117"/>
        <v>204551</v>
      </c>
      <c r="G496" s="51">
        <f t="shared" si="118"/>
        <v>98072</v>
      </c>
      <c r="H496" s="52">
        <f t="shared" si="119"/>
        <v>106479</v>
      </c>
      <c r="I496" s="61">
        <f t="shared" si="120"/>
        <v>86592</v>
      </c>
      <c r="J496" s="52">
        <f t="shared" si="114"/>
        <v>95601</v>
      </c>
      <c r="K496" s="49">
        <f t="shared" si="121"/>
        <v>17692</v>
      </c>
      <c r="L496" s="50">
        <f t="shared" si="122"/>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ht="15" x14ac:dyDescent="0.25">
      <c r="A497" s="111"/>
      <c r="B497" s="118"/>
      <c r="C497" s="111"/>
      <c r="D497" s="134">
        <f t="shared" ref="D497:L497" si="124">SUM(D201:D496)</f>
        <v>23982304</v>
      </c>
      <c r="E497" s="134">
        <f t="shared" si="124"/>
        <v>25305672</v>
      </c>
      <c r="F497" s="134">
        <f t="shared" si="124"/>
        <v>57106398</v>
      </c>
      <c r="G497" s="134">
        <f t="shared" si="124"/>
        <v>27983290</v>
      </c>
      <c r="H497" s="134">
        <f t="shared" si="124"/>
        <v>29123108</v>
      </c>
      <c r="I497" s="134">
        <f t="shared" si="124"/>
        <v>23982304</v>
      </c>
      <c r="J497" s="134">
        <f t="shared" si="124"/>
        <v>25305672</v>
      </c>
      <c r="K497" s="134">
        <f t="shared" si="124"/>
        <v>6087888</v>
      </c>
      <c r="L497" s="134">
        <f t="shared" si="124"/>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2">
      <c r="A498" s="30" t="s">
        <v>563</v>
      </c>
      <c r="B498" s="1" t="s">
        <v>564</v>
      </c>
      <c r="C498" s="29" t="str">
        <f t="shared" ref="C498:C531" si="125">CONCATENATE(A498," - ",B498)</f>
        <v>LA wales - Blaenau Gwent</v>
      </c>
      <c r="D498" s="50">
        <f t="shared" ref="D498:E501" si="126">I498</f>
        <v>28450</v>
      </c>
      <c r="E498" s="50">
        <f t="shared" si="126"/>
        <v>29858</v>
      </c>
      <c r="F498" s="51">
        <f>G498+H498</f>
        <v>67014</v>
      </c>
      <c r="G498" s="51">
        <f>SUM(M498:CY498)</f>
        <v>32977</v>
      </c>
      <c r="H498" s="52">
        <f>SUM(CZ498:GL498)</f>
        <v>34037</v>
      </c>
      <c r="I498" s="52">
        <f>SUM(Y498:CY498)</f>
        <v>28450</v>
      </c>
      <c r="J498" s="52">
        <f t="shared" ref="J498:J519" si="127">SUM(DL498:GL498)</f>
        <v>29858</v>
      </c>
      <c r="K498" s="49">
        <f>SUM(M498:AD498)</f>
        <v>6768</v>
      </c>
      <c r="L498" s="50">
        <f>SUM(CZ498:DQ498)</f>
        <v>6422</v>
      </c>
      <c r="M498" s="526">
        <v>391</v>
      </c>
      <c r="N498" s="526">
        <v>334</v>
      </c>
      <c r="O498" s="526">
        <v>374</v>
      </c>
      <c r="P498" s="526">
        <v>393</v>
      </c>
      <c r="Q498" s="526">
        <v>365</v>
      </c>
      <c r="R498" s="526">
        <v>333</v>
      </c>
      <c r="S498" s="526">
        <v>365</v>
      </c>
      <c r="T498" s="526">
        <v>388</v>
      </c>
      <c r="U498" s="526">
        <v>394</v>
      </c>
      <c r="V498" s="526">
        <v>392</v>
      </c>
      <c r="W498" s="526">
        <v>375</v>
      </c>
      <c r="X498" s="526">
        <v>423</v>
      </c>
      <c r="Y498" s="526">
        <v>403</v>
      </c>
      <c r="Z498" s="526">
        <v>425</v>
      </c>
      <c r="AA498" s="526">
        <v>394</v>
      </c>
      <c r="AB498" s="526">
        <v>319</v>
      </c>
      <c r="AC498" s="526">
        <v>337</v>
      </c>
      <c r="AD498" s="526">
        <v>363</v>
      </c>
      <c r="AE498" s="526">
        <v>363</v>
      </c>
      <c r="AF498" s="526">
        <v>317</v>
      </c>
      <c r="AG498" s="526">
        <v>288</v>
      </c>
      <c r="AH498" s="526">
        <v>332</v>
      </c>
      <c r="AI498" s="526">
        <v>374</v>
      </c>
      <c r="AJ498" s="526">
        <v>338</v>
      </c>
      <c r="AK498" s="526">
        <v>389</v>
      </c>
      <c r="AL498" s="526">
        <v>412</v>
      </c>
      <c r="AM498" s="526">
        <v>367</v>
      </c>
      <c r="AN498" s="526">
        <v>361</v>
      </c>
      <c r="AO498" s="526">
        <v>441</v>
      </c>
      <c r="AP498" s="526">
        <v>438</v>
      </c>
      <c r="AQ498" s="526">
        <v>468</v>
      </c>
      <c r="AR498" s="526">
        <v>465</v>
      </c>
      <c r="AS498" s="526">
        <v>442</v>
      </c>
      <c r="AT498" s="526">
        <v>467</v>
      </c>
      <c r="AU498" s="526">
        <v>398</v>
      </c>
      <c r="AV498" s="526">
        <v>423</v>
      </c>
      <c r="AW498" s="526">
        <v>418</v>
      </c>
      <c r="AX498" s="526">
        <v>449</v>
      </c>
      <c r="AY498" s="526">
        <v>389</v>
      </c>
      <c r="AZ498" s="526">
        <v>409</v>
      </c>
      <c r="BA498" s="526">
        <v>365</v>
      </c>
      <c r="BB498" s="526">
        <v>396</v>
      </c>
      <c r="BC498" s="526">
        <v>373</v>
      </c>
      <c r="BD498" s="526">
        <v>369</v>
      </c>
      <c r="BE498" s="526">
        <v>348</v>
      </c>
      <c r="BF498" s="526">
        <v>299</v>
      </c>
      <c r="BG498" s="526">
        <v>345</v>
      </c>
      <c r="BH498" s="526">
        <v>417</v>
      </c>
      <c r="BI498" s="526">
        <v>386</v>
      </c>
      <c r="BJ498" s="526">
        <v>430</v>
      </c>
      <c r="BK498" s="526">
        <v>495</v>
      </c>
      <c r="BL498" s="526">
        <v>469</v>
      </c>
      <c r="BM498" s="526">
        <v>471</v>
      </c>
      <c r="BN498" s="526">
        <v>521</v>
      </c>
      <c r="BO498" s="526">
        <v>498</v>
      </c>
      <c r="BP498" s="526">
        <v>491</v>
      </c>
      <c r="BQ498" s="526">
        <v>525</v>
      </c>
      <c r="BR498" s="526">
        <v>529</v>
      </c>
      <c r="BS498" s="526">
        <v>512</v>
      </c>
      <c r="BT498" s="526">
        <v>493</v>
      </c>
      <c r="BU498" s="526">
        <v>503</v>
      </c>
      <c r="BV498" s="526">
        <v>432</v>
      </c>
      <c r="BW498" s="526">
        <v>445</v>
      </c>
      <c r="BX498" s="526">
        <v>434</v>
      </c>
      <c r="BY498" s="526">
        <v>364</v>
      </c>
      <c r="BZ498" s="526">
        <v>441</v>
      </c>
      <c r="CA498" s="526">
        <v>389</v>
      </c>
      <c r="CB498" s="526">
        <v>372</v>
      </c>
      <c r="CC498" s="526">
        <v>364</v>
      </c>
      <c r="CD498" s="526">
        <v>375</v>
      </c>
      <c r="CE498" s="526">
        <v>341</v>
      </c>
      <c r="CF498" s="526">
        <v>358</v>
      </c>
      <c r="CG498" s="526">
        <v>351</v>
      </c>
      <c r="CH498" s="526">
        <v>359</v>
      </c>
      <c r="CI498" s="526">
        <v>343</v>
      </c>
      <c r="CJ498" s="526">
        <v>401</v>
      </c>
      <c r="CK498" s="526">
        <v>297</v>
      </c>
      <c r="CL498" s="526">
        <v>262</v>
      </c>
      <c r="CM498" s="526">
        <v>235</v>
      </c>
      <c r="CN498" s="526">
        <v>261</v>
      </c>
      <c r="CO498" s="526">
        <v>210</v>
      </c>
      <c r="CP498" s="526">
        <v>179</v>
      </c>
      <c r="CQ498" s="526">
        <v>155</v>
      </c>
      <c r="CR498" s="526">
        <v>164</v>
      </c>
      <c r="CS498" s="526">
        <v>135</v>
      </c>
      <c r="CT498" s="526">
        <v>101</v>
      </c>
      <c r="CU498" s="526">
        <v>100</v>
      </c>
      <c r="CV498" s="526">
        <v>87</v>
      </c>
      <c r="CW498" s="526">
        <v>55</v>
      </c>
      <c r="CX498" s="526">
        <v>58</v>
      </c>
      <c r="CY498" s="526">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
      <c r="A499" s="30" t="s">
        <v>68</v>
      </c>
      <c r="B499" s="1" t="s">
        <v>565</v>
      </c>
      <c r="C499" s="29" t="str">
        <f t="shared" si="125"/>
        <v>LA Wales - Bridgend</v>
      </c>
      <c r="D499" s="50">
        <f t="shared" si="126"/>
        <v>62440</v>
      </c>
      <c r="E499" s="50">
        <f t="shared" si="126"/>
        <v>64704</v>
      </c>
      <c r="F499" s="51">
        <f>G499+H499</f>
        <v>146136</v>
      </c>
      <c r="G499" s="51">
        <f>SUM(M499:CY499)</f>
        <v>72202</v>
      </c>
      <c r="H499" s="52">
        <f>SUM(CZ499:GL499)</f>
        <v>73934</v>
      </c>
      <c r="I499" s="52">
        <f t="shared" ref="I499:I519" si="128">SUM(Y499:CY499)</f>
        <v>62440</v>
      </c>
      <c r="J499" s="52">
        <f t="shared" si="127"/>
        <v>64704</v>
      </c>
      <c r="K499" s="49">
        <f>SUM(M499:AD499)</f>
        <v>15080</v>
      </c>
      <c r="L499" s="50">
        <f>SUM(CZ499:DQ499)</f>
        <v>14112</v>
      </c>
      <c r="M499" s="526">
        <v>731</v>
      </c>
      <c r="N499" s="526">
        <v>689</v>
      </c>
      <c r="O499" s="526">
        <v>714</v>
      </c>
      <c r="P499" s="526">
        <v>751</v>
      </c>
      <c r="Q499" s="526">
        <v>788</v>
      </c>
      <c r="R499" s="526">
        <v>823</v>
      </c>
      <c r="S499" s="526">
        <v>811</v>
      </c>
      <c r="T499" s="526">
        <v>852</v>
      </c>
      <c r="U499" s="526">
        <v>862</v>
      </c>
      <c r="V499" s="526">
        <v>879</v>
      </c>
      <c r="W499" s="526">
        <v>884</v>
      </c>
      <c r="X499" s="526">
        <v>978</v>
      </c>
      <c r="Y499" s="526">
        <v>895</v>
      </c>
      <c r="Z499" s="526">
        <v>924</v>
      </c>
      <c r="AA499" s="526">
        <v>890</v>
      </c>
      <c r="AB499" s="526">
        <v>868</v>
      </c>
      <c r="AC499" s="526">
        <v>836</v>
      </c>
      <c r="AD499" s="526">
        <v>905</v>
      </c>
      <c r="AE499" s="526">
        <v>777</v>
      </c>
      <c r="AF499" s="526">
        <v>641</v>
      </c>
      <c r="AG499" s="526">
        <v>674</v>
      </c>
      <c r="AH499" s="526">
        <v>686</v>
      </c>
      <c r="AI499" s="526">
        <v>727</v>
      </c>
      <c r="AJ499" s="526">
        <v>840</v>
      </c>
      <c r="AK499" s="526">
        <v>858</v>
      </c>
      <c r="AL499" s="526">
        <v>945</v>
      </c>
      <c r="AM499" s="526">
        <v>890</v>
      </c>
      <c r="AN499" s="526">
        <v>816</v>
      </c>
      <c r="AO499" s="526">
        <v>944</v>
      </c>
      <c r="AP499" s="526">
        <v>857</v>
      </c>
      <c r="AQ499" s="526">
        <v>968</v>
      </c>
      <c r="AR499" s="526">
        <v>910</v>
      </c>
      <c r="AS499" s="526">
        <v>982</v>
      </c>
      <c r="AT499" s="526">
        <v>986</v>
      </c>
      <c r="AU499" s="526">
        <v>996</v>
      </c>
      <c r="AV499" s="526">
        <v>984</v>
      </c>
      <c r="AW499" s="526">
        <v>944</v>
      </c>
      <c r="AX499" s="526">
        <v>937</v>
      </c>
      <c r="AY499" s="526">
        <v>874</v>
      </c>
      <c r="AZ499" s="526">
        <v>882</v>
      </c>
      <c r="BA499" s="526">
        <v>860</v>
      </c>
      <c r="BB499" s="526">
        <v>916</v>
      </c>
      <c r="BC499" s="526">
        <v>935</v>
      </c>
      <c r="BD499" s="526">
        <v>885</v>
      </c>
      <c r="BE499" s="526">
        <v>798</v>
      </c>
      <c r="BF499" s="526">
        <v>764</v>
      </c>
      <c r="BG499" s="526">
        <v>821</v>
      </c>
      <c r="BH499" s="526">
        <v>816</v>
      </c>
      <c r="BI499" s="526">
        <v>884</v>
      </c>
      <c r="BJ499" s="526">
        <v>901</v>
      </c>
      <c r="BK499" s="526">
        <v>1009</v>
      </c>
      <c r="BL499" s="526">
        <v>1091</v>
      </c>
      <c r="BM499" s="526">
        <v>977</v>
      </c>
      <c r="BN499" s="526">
        <v>1017</v>
      </c>
      <c r="BO499" s="526">
        <v>1078</v>
      </c>
      <c r="BP499" s="526">
        <v>1056</v>
      </c>
      <c r="BQ499" s="526">
        <v>1081</v>
      </c>
      <c r="BR499" s="526">
        <v>1062</v>
      </c>
      <c r="BS499" s="526">
        <v>1067</v>
      </c>
      <c r="BT499" s="526">
        <v>1000</v>
      </c>
      <c r="BU499" s="526">
        <v>1035</v>
      </c>
      <c r="BV499" s="526">
        <v>984</v>
      </c>
      <c r="BW499" s="526">
        <v>918</v>
      </c>
      <c r="BX499" s="526">
        <v>903</v>
      </c>
      <c r="BY499" s="526">
        <v>907</v>
      </c>
      <c r="BZ499" s="526">
        <v>835</v>
      </c>
      <c r="CA499" s="526">
        <v>831</v>
      </c>
      <c r="CB499" s="526">
        <v>766</v>
      </c>
      <c r="CC499" s="526">
        <v>742</v>
      </c>
      <c r="CD499" s="526">
        <v>776</v>
      </c>
      <c r="CE499" s="526">
        <v>736</v>
      </c>
      <c r="CF499" s="526">
        <v>767</v>
      </c>
      <c r="CG499" s="526">
        <v>726</v>
      </c>
      <c r="CH499" s="526">
        <v>780</v>
      </c>
      <c r="CI499" s="526">
        <v>754</v>
      </c>
      <c r="CJ499" s="526">
        <v>809</v>
      </c>
      <c r="CK499" s="526">
        <v>632</v>
      </c>
      <c r="CL499" s="526">
        <v>617</v>
      </c>
      <c r="CM499" s="526">
        <v>572</v>
      </c>
      <c r="CN499" s="526">
        <v>506</v>
      </c>
      <c r="CO499" s="526">
        <v>443</v>
      </c>
      <c r="CP499" s="526">
        <v>449</v>
      </c>
      <c r="CQ499" s="526">
        <v>367</v>
      </c>
      <c r="CR499" s="526">
        <v>336</v>
      </c>
      <c r="CS499" s="526">
        <v>314</v>
      </c>
      <c r="CT499" s="526">
        <v>257</v>
      </c>
      <c r="CU499" s="526">
        <v>226</v>
      </c>
      <c r="CV499" s="526">
        <v>223</v>
      </c>
      <c r="CW499" s="526">
        <v>154</v>
      </c>
      <c r="CX499" s="526">
        <v>144</v>
      </c>
      <c r="CY499" s="526">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
      <c r="A500" s="30" t="s">
        <v>68</v>
      </c>
      <c r="B500" s="1" t="s">
        <v>566</v>
      </c>
      <c r="C500" s="29" t="str">
        <f t="shared" si="125"/>
        <v>LA Wales - Caerphilly</v>
      </c>
      <c r="D500" s="50">
        <f t="shared" si="126"/>
        <v>74052</v>
      </c>
      <c r="E500" s="50">
        <f t="shared" si="126"/>
        <v>78556</v>
      </c>
      <c r="F500" s="51">
        <f>G500+H500</f>
        <v>176130</v>
      </c>
      <c r="G500" s="51">
        <f>SUM(M500:CY500)</f>
        <v>85945</v>
      </c>
      <c r="H500" s="52">
        <f>SUM(CZ500:GL500)</f>
        <v>90185</v>
      </c>
      <c r="I500" s="52">
        <f t="shared" si="128"/>
        <v>74052</v>
      </c>
      <c r="J500" s="52">
        <f t="shared" si="127"/>
        <v>78556</v>
      </c>
      <c r="K500" s="49">
        <f>SUM(M500:AD500)</f>
        <v>18415</v>
      </c>
      <c r="L500" s="50">
        <f>SUM(CZ500:DQ500)</f>
        <v>17818</v>
      </c>
      <c r="M500" s="526">
        <v>834</v>
      </c>
      <c r="N500" s="526">
        <v>824</v>
      </c>
      <c r="O500" s="526">
        <v>908</v>
      </c>
      <c r="P500" s="526">
        <v>935</v>
      </c>
      <c r="Q500" s="526">
        <v>1007</v>
      </c>
      <c r="R500" s="526">
        <v>996</v>
      </c>
      <c r="S500" s="526">
        <v>1029</v>
      </c>
      <c r="T500" s="526">
        <v>1072</v>
      </c>
      <c r="U500" s="526">
        <v>1068</v>
      </c>
      <c r="V500" s="526">
        <v>1056</v>
      </c>
      <c r="W500" s="526">
        <v>1069</v>
      </c>
      <c r="X500" s="526">
        <v>1095</v>
      </c>
      <c r="Y500" s="526">
        <v>1148</v>
      </c>
      <c r="Z500" s="526">
        <v>1126</v>
      </c>
      <c r="AA500" s="526">
        <v>1141</v>
      </c>
      <c r="AB500" s="526">
        <v>1053</v>
      </c>
      <c r="AC500" s="526">
        <v>1026</v>
      </c>
      <c r="AD500" s="526">
        <v>1028</v>
      </c>
      <c r="AE500" s="526">
        <v>1108</v>
      </c>
      <c r="AF500" s="526">
        <v>875</v>
      </c>
      <c r="AG500" s="526">
        <v>817</v>
      </c>
      <c r="AH500" s="526">
        <v>888</v>
      </c>
      <c r="AI500" s="526">
        <v>942</v>
      </c>
      <c r="AJ500" s="526">
        <v>891</v>
      </c>
      <c r="AK500" s="526">
        <v>901</v>
      </c>
      <c r="AL500" s="526">
        <v>1103</v>
      </c>
      <c r="AM500" s="526">
        <v>1005</v>
      </c>
      <c r="AN500" s="526">
        <v>987</v>
      </c>
      <c r="AO500" s="526">
        <v>1032</v>
      </c>
      <c r="AP500" s="526">
        <v>1030</v>
      </c>
      <c r="AQ500" s="526">
        <v>1074</v>
      </c>
      <c r="AR500" s="526">
        <v>1182</v>
      </c>
      <c r="AS500" s="526">
        <v>1115</v>
      </c>
      <c r="AT500" s="526">
        <v>1132</v>
      </c>
      <c r="AU500" s="526">
        <v>1167</v>
      </c>
      <c r="AV500" s="526">
        <v>1071</v>
      </c>
      <c r="AW500" s="526">
        <v>1140</v>
      </c>
      <c r="AX500" s="526">
        <v>1077</v>
      </c>
      <c r="AY500" s="526">
        <v>1079</v>
      </c>
      <c r="AZ500" s="526">
        <v>1060</v>
      </c>
      <c r="BA500" s="526">
        <v>1012</v>
      </c>
      <c r="BB500" s="526">
        <v>1070</v>
      </c>
      <c r="BC500" s="526">
        <v>1085</v>
      </c>
      <c r="BD500" s="526">
        <v>1002</v>
      </c>
      <c r="BE500" s="526">
        <v>958</v>
      </c>
      <c r="BF500" s="526">
        <v>997</v>
      </c>
      <c r="BG500" s="526">
        <v>992</v>
      </c>
      <c r="BH500" s="526">
        <v>988</v>
      </c>
      <c r="BI500" s="526">
        <v>1077</v>
      </c>
      <c r="BJ500" s="526">
        <v>1113</v>
      </c>
      <c r="BK500" s="526">
        <v>1157</v>
      </c>
      <c r="BL500" s="526">
        <v>1232</v>
      </c>
      <c r="BM500" s="526">
        <v>1129</v>
      </c>
      <c r="BN500" s="526">
        <v>1299</v>
      </c>
      <c r="BO500" s="526">
        <v>1259</v>
      </c>
      <c r="BP500" s="526">
        <v>1214</v>
      </c>
      <c r="BQ500" s="526">
        <v>1265</v>
      </c>
      <c r="BR500" s="526">
        <v>1277</v>
      </c>
      <c r="BS500" s="526">
        <v>1255</v>
      </c>
      <c r="BT500" s="526">
        <v>1273</v>
      </c>
      <c r="BU500" s="526">
        <v>1181</v>
      </c>
      <c r="BV500" s="526">
        <v>1146</v>
      </c>
      <c r="BW500" s="526">
        <v>1118</v>
      </c>
      <c r="BX500" s="526">
        <v>1064</v>
      </c>
      <c r="BY500" s="526">
        <v>1058</v>
      </c>
      <c r="BZ500" s="526">
        <v>1029</v>
      </c>
      <c r="CA500" s="526">
        <v>925</v>
      </c>
      <c r="CB500" s="526">
        <v>870</v>
      </c>
      <c r="CC500" s="526">
        <v>989</v>
      </c>
      <c r="CD500" s="526">
        <v>948</v>
      </c>
      <c r="CE500" s="526">
        <v>880</v>
      </c>
      <c r="CF500" s="526">
        <v>910</v>
      </c>
      <c r="CG500" s="526">
        <v>938</v>
      </c>
      <c r="CH500" s="526">
        <v>837</v>
      </c>
      <c r="CI500" s="526">
        <v>970</v>
      </c>
      <c r="CJ500" s="526">
        <v>989</v>
      </c>
      <c r="CK500" s="526">
        <v>740</v>
      </c>
      <c r="CL500" s="526">
        <v>691</v>
      </c>
      <c r="CM500" s="526">
        <v>645</v>
      </c>
      <c r="CN500" s="526">
        <v>570</v>
      </c>
      <c r="CO500" s="526">
        <v>578</v>
      </c>
      <c r="CP500" s="526">
        <v>442</v>
      </c>
      <c r="CQ500" s="526">
        <v>426</v>
      </c>
      <c r="CR500" s="526">
        <v>410</v>
      </c>
      <c r="CS500" s="526">
        <v>355</v>
      </c>
      <c r="CT500" s="526">
        <v>296</v>
      </c>
      <c r="CU500" s="526">
        <v>259</v>
      </c>
      <c r="CV500" s="526">
        <v>215</v>
      </c>
      <c r="CW500" s="526">
        <v>176</v>
      </c>
      <c r="CX500" s="526">
        <v>150</v>
      </c>
      <c r="CY500" s="526">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
      <c r="A501" s="30" t="s">
        <v>68</v>
      </c>
      <c r="B501" s="1" t="s">
        <v>567</v>
      </c>
      <c r="C501" s="29" t="str">
        <f t="shared" si="125"/>
        <v>LA Wales - Cardiff</v>
      </c>
      <c r="D501" s="50">
        <f t="shared" si="126"/>
        <v>157036</v>
      </c>
      <c r="E501" s="50">
        <f t="shared" si="126"/>
        <v>165394</v>
      </c>
      <c r="F501" s="51">
        <f>G501+H501</f>
        <v>372089</v>
      </c>
      <c r="G501" s="51">
        <f>SUM(M501:CY501)</f>
        <v>182357</v>
      </c>
      <c r="H501" s="52">
        <f>SUM(CZ501:GL501)</f>
        <v>189732</v>
      </c>
      <c r="I501" s="52">
        <f t="shared" si="128"/>
        <v>157036</v>
      </c>
      <c r="J501" s="52">
        <f t="shared" si="127"/>
        <v>165394</v>
      </c>
      <c r="K501" s="49">
        <f>SUM(M501:AD501)</f>
        <v>38330</v>
      </c>
      <c r="L501" s="50">
        <f>SUM(CZ501:DQ501)</f>
        <v>36776</v>
      </c>
      <c r="M501" s="526">
        <v>1950</v>
      </c>
      <c r="N501" s="526">
        <v>1875</v>
      </c>
      <c r="O501" s="526">
        <v>1880</v>
      </c>
      <c r="P501" s="526">
        <v>1977</v>
      </c>
      <c r="Q501" s="526">
        <v>2035</v>
      </c>
      <c r="R501" s="526">
        <v>2099</v>
      </c>
      <c r="S501" s="526">
        <v>2234</v>
      </c>
      <c r="T501" s="526">
        <v>2194</v>
      </c>
      <c r="U501" s="526">
        <v>2213</v>
      </c>
      <c r="V501" s="526">
        <v>2181</v>
      </c>
      <c r="W501" s="526">
        <v>2303</v>
      </c>
      <c r="X501" s="526">
        <v>2380</v>
      </c>
      <c r="Y501" s="526">
        <v>2271</v>
      </c>
      <c r="Z501" s="526">
        <v>2188</v>
      </c>
      <c r="AA501" s="526">
        <v>2173</v>
      </c>
      <c r="AB501" s="526">
        <v>2117</v>
      </c>
      <c r="AC501" s="526">
        <v>2130</v>
      </c>
      <c r="AD501" s="526">
        <v>2130</v>
      </c>
      <c r="AE501" s="526">
        <v>2327</v>
      </c>
      <c r="AF501" s="526">
        <v>4164</v>
      </c>
      <c r="AG501" s="526">
        <v>4565</v>
      </c>
      <c r="AH501" s="526">
        <v>4249</v>
      </c>
      <c r="AI501" s="526">
        <v>3797</v>
      </c>
      <c r="AJ501" s="526">
        <v>3628</v>
      </c>
      <c r="AK501" s="526">
        <v>3513</v>
      </c>
      <c r="AL501" s="526">
        <v>3439</v>
      </c>
      <c r="AM501" s="526">
        <v>3420</v>
      </c>
      <c r="AN501" s="526">
        <v>3228</v>
      </c>
      <c r="AO501" s="526">
        <v>3077</v>
      </c>
      <c r="AP501" s="526">
        <v>2999</v>
      </c>
      <c r="AQ501" s="526">
        <v>2824</v>
      </c>
      <c r="AR501" s="526">
        <v>2846</v>
      </c>
      <c r="AS501" s="526">
        <v>2776</v>
      </c>
      <c r="AT501" s="526">
        <v>2588</v>
      </c>
      <c r="AU501" s="526">
        <v>2705</v>
      </c>
      <c r="AV501" s="526">
        <v>2608</v>
      </c>
      <c r="AW501" s="526">
        <v>2669</v>
      </c>
      <c r="AX501" s="526">
        <v>2467</v>
      </c>
      <c r="AY501" s="526">
        <v>2494</v>
      </c>
      <c r="AZ501" s="526">
        <v>2498</v>
      </c>
      <c r="BA501" s="526">
        <v>2343</v>
      </c>
      <c r="BB501" s="526">
        <v>2361</v>
      </c>
      <c r="BC501" s="526">
        <v>2324</v>
      </c>
      <c r="BD501" s="526">
        <v>2260</v>
      </c>
      <c r="BE501" s="526">
        <v>2022</v>
      </c>
      <c r="BF501" s="526">
        <v>2128</v>
      </c>
      <c r="BG501" s="526">
        <v>2019</v>
      </c>
      <c r="BH501" s="526">
        <v>2027</v>
      </c>
      <c r="BI501" s="526">
        <v>2070</v>
      </c>
      <c r="BJ501" s="526">
        <v>1928</v>
      </c>
      <c r="BK501" s="526">
        <v>1966</v>
      </c>
      <c r="BL501" s="526">
        <v>2100</v>
      </c>
      <c r="BM501" s="526">
        <v>2061</v>
      </c>
      <c r="BN501" s="526">
        <v>2078</v>
      </c>
      <c r="BO501" s="526">
        <v>1992</v>
      </c>
      <c r="BP501" s="526">
        <v>2070</v>
      </c>
      <c r="BQ501" s="526">
        <v>1888</v>
      </c>
      <c r="BR501" s="526">
        <v>2027</v>
      </c>
      <c r="BS501" s="526">
        <v>1976</v>
      </c>
      <c r="BT501" s="526">
        <v>1918</v>
      </c>
      <c r="BU501" s="526">
        <v>1994</v>
      </c>
      <c r="BV501" s="526">
        <v>1814</v>
      </c>
      <c r="BW501" s="526">
        <v>1830</v>
      </c>
      <c r="BX501" s="526">
        <v>1808</v>
      </c>
      <c r="BY501" s="526">
        <v>1654</v>
      </c>
      <c r="BZ501" s="526">
        <v>1666</v>
      </c>
      <c r="CA501" s="526">
        <v>1538</v>
      </c>
      <c r="CB501" s="526">
        <v>1449</v>
      </c>
      <c r="CC501" s="526">
        <v>1467</v>
      </c>
      <c r="CD501" s="526">
        <v>1364</v>
      </c>
      <c r="CE501" s="526">
        <v>1286</v>
      </c>
      <c r="CF501" s="526">
        <v>1359</v>
      </c>
      <c r="CG501" s="526">
        <v>1353</v>
      </c>
      <c r="CH501" s="526">
        <v>1306</v>
      </c>
      <c r="CI501" s="526">
        <v>1244</v>
      </c>
      <c r="CJ501" s="526">
        <v>1342</v>
      </c>
      <c r="CK501" s="526">
        <v>991</v>
      </c>
      <c r="CL501" s="526">
        <v>942</v>
      </c>
      <c r="CM501" s="526">
        <v>905</v>
      </c>
      <c r="CN501" s="526">
        <v>742</v>
      </c>
      <c r="CO501" s="526">
        <v>691</v>
      </c>
      <c r="CP501" s="526">
        <v>611</v>
      </c>
      <c r="CQ501" s="526">
        <v>589</v>
      </c>
      <c r="CR501" s="526">
        <v>538</v>
      </c>
      <c r="CS501" s="526">
        <v>490</v>
      </c>
      <c r="CT501" s="526">
        <v>446</v>
      </c>
      <c r="CU501" s="526">
        <v>394</v>
      </c>
      <c r="CV501" s="526">
        <v>368</v>
      </c>
      <c r="CW501" s="526">
        <v>281</v>
      </c>
      <c r="CX501" s="526">
        <v>249</v>
      </c>
      <c r="CY501" s="526">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
      <c r="A502" s="30" t="s">
        <v>68</v>
      </c>
      <c r="B502" s="1" t="s">
        <v>568</v>
      </c>
      <c r="C502" s="29" t="str">
        <f t="shared" si="125"/>
        <v>LA Wales - Carmarthenshire</v>
      </c>
      <c r="D502" s="50">
        <f t="shared" ref="D502:D531" si="129">I502</f>
        <v>80222</v>
      </c>
      <c r="E502" s="50">
        <f t="shared" ref="E502:E531" si="130">J502</f>
        <v>85424</v>
      </c>
      <c r="F502" s="51">
        <f t="shared" ref="F502:F519" si="131">G502+H502</f>
        <v>189117</v>
      </c>
      <c r="G502" s="51">
        <f t="shared" ref="G502:G519" si="132">SUM(M502:CY502)</f>
        <v>92284</v>
      </c>
      <c r="H502" s="52">
        <f t="shared" ref="H502:H519" si="133">SUM(CZ502:GL502)</f>
        <v>96833</v>
      </c>
      <c r="I502" s="52">
        <f t="shared" si="128"/>
        <v>80222</v>
      </c>
      <c r="J502" s="52">
        <f t="shared" si="127"/>
        <v>85424</v>
      </c>
      <c r="K502" s="49">
        <f t="shared" ref="K502:K519" si="134">SUM(M502:AD502)</f>
        <v>18840</v>
      </c>
      <c r="L502" s="50">
        <f t="shared" ref="L502:L519" si="135">SUM(CZ502:DQ502)</f>
        <v>17839</v>
      </c>
      <c r="M502" s="526">
        <v>856</v>
      </c>
      <c r="N502" s="526">
        <v>866</v>
      </c>
      <c r="O502" s="526">
        <v>854</v>
      </c>
      <c r="P502" s="526">
        <v>934</v>
      </c>
      <c r="Q502" s="526">
        <v>976</v>
      </c>
      <c r="R502" s="526">
        <v>1016</v>
      </c>
      <c r="S502" s="526">
        <v>1068</v>
      </c>
      <c r="T502" s="526">
        <v>1057</v>
      </c>
      <c r="U502" s="526">
        <v>1032</v>
      </c>
      <c r="V502" s="526">
        <v>1077</v>
      </c>
      <c r="W502" s="526">
        <v>1158</v>
      </c>
      <c r="X502" s="526">
        <v>1168</v>
      </c>
      <c r="Y502" s="526">
        <v>1148</v>
      </c>
      <c r="Z502" s="526">
        <v>1099</v>
      </c>
      <c r="AA502" s="526">
        <v>1137</v>
      </c>
      <c r="AB502" s="526">
        <v>1146</v>
      </c>
      <c r="AC502" s="526">
        <v>1150</v>
      </c>
      <c r="AD502" s="526">
        <v>1098</v>
      </c>
      <c r="AE502" s="526">
        <v>1071</v>
      </c>
      <c r="AF502" s="526">
        <v>898</v>
      </c>
      <c r="AG502" s="526">
        <v>829</v>
      </c>
      <c r="AH502" s="526">
        <v>834</v>
      </c>
      <c r="AI502" s="526">
        <v>847</v>
      </c>
      <c r="AJ502" s="526">
        <v>907</v>
      </c>
      <c r="AK502" s="526">
        <v>957</v>
      </c>
      <c r="AL502" s="526">
        <v>1013</v>
      </c>
      <c r="AM502" s="526">
        <v>1000</v>
      </c>
      <c r="AN502" s="526">
        <v>923</v>
      </c>
      <c r="AO502" s="526">
        <v>977</v>
      </c>
      <c r="AP502" s="526">
        <v>975</v>
      </c>
      <c r="AQ502" s="526">
        <v>1005</v>
      </c>
      <c r="AR502" s="526">
        <v>1049</v>
      </c>
      <c r="AS502" s="526">
        <v>1077</v>
      </c>
      <c r="AT502" s="526">
        <v>1035</v>
      </c>
      <c r="AU502" s="526">
        <v>1116</v>
      </c>
      <c r="AV502" s="526">
        <v>1060</v>
      </c>
      <c r="AW502" s="526">
        <v>1050</v>
      </c>
      <c r="AX502" s="526">
        <v>991</v>
      </c>
      <c r="AY502" s="526">
        <v>1021</v>
      </c>
      <c r="AZ502" s="526">
        <v>1015</v>
      </c>
      <c r="BA502" s="526">
        <v>996</v>
      </c>
      <c r="BB502" s="526">
        <v>1033</v>
      </c>
      <c r="BC502" s="526">
        <v>1042</v>
      </c>
      <c r="BD502" s="526">
        <v>1003</v>
      </c>
      <c r="BE502" s="526">
        <v>929</v>
      </c>
      <c r="BF502" s="526">
        <v>918</v>
      </c>
      <c r="BG502" s="526">
        <v>1008</v>
      </c>
      <c r="BH502" s="526">
        <v>1037</v>
      </c>
      <c r="BI502" s="526">
        <v>1074</v>
      </c>
      <c r="BJ502" s="526">
        <v>1130</v>
      </c>
      <c r="BK502" s="526">
        <v>1203</v>
      </c>
      <c r="BL502" s="526">
        <v>1281</v>
      </c>
      <c r="BM502" s="526">
        <v>1243</v>
      </c>
      <c r="BN502" s="526">
        <v>1231</v>
      </c>
      <c r="BO502" s="526">
        <v>1260</v>
      </c>
      <c r="BP502" s="526">
        <v>1356</v>
      </c>
      <c r="BQ502" s="526">
        <v>1372</v>
      </c>
      <c r="BR502" s="526">
        <v>1413</v>
      </c>
      <c r="BS502" s="526">
        <v>1455</v>
      </c>
      <c r="BT502" s="526">
        <v>1317</v>
      </c>
      <c r="BU502" s="526">
        <v>1416</v>
      </c>
      <c r="BV502" s="526">
        <v>1373</v>
      </c>
      <c r="BW502" s="526">
        <v>1349</v>
      </c>
      <c r="BX502" s="526">
        <v>1279</v>
      </c>
      <c r="BY502" s="526">
        <v>1311</v>
      </c>
      <c r="BZ502" s="526">
        <v>1261</v>
      </c>
      <c r="CA502" s="526">
        <v>1172</v>
      </c>
      <c r="CB502" s="526">
        <v>1270</v>
      </c>
      <c r="CC502" s="526">
        <v>1212</v>
      </c>
      <c r="CD502" s="526">
        <v>1197</v>
      </c>
      <c r="CE502" s="526">
        <v>1164</v>
      </c>
      <c r="CF502" s="526">
        <v>1112</v>
      </c>
      <c r="CG502" s="526">
        <v>1141</v>
      </c>
      <c r="CH502" s="526">
        <v>1175</v>
      </c>
      <c r="CI502" s="526">
        <v>1186</v>
      </c>
      <c r="CJ502" s="526">
        <v>1175</v>
      </c>
      <c r="CK502" s="526">
        <v>999</v>
      </c>
      <c r="CL502" s="526">
        <v>920</v>
      </c>
      <c r="CM502" s="526">
        <v>863</v>
      </c>
      <c r="CN502" s="526">
        <v>789</v>
      </c>
      <c r="CO502" s="526">
        <v>736</v>
      </c>
      <c r="CP502" s="526">
        <v>619</v>
      </c>
      <c r="CQ502" s="526">
        <v>561</v>
      </c>
      <c r="CR502" s="526">
        <v>506</v>
      </c>
      <c r="CS502" s="526">
        <v>445</v>
      </c>
      <c r="CT502" s="526">
        <v>454</v>
      </c>
      <c r="CU502" s="526">
        <v>361</v>
      </c>
      <c r="CV502" s="526">
        <v>330</v>
      </c>
      <c r="CW502" s="526">
        <v>265</v>
      </c>
      <c r="CX502" s="526">
        <v>198</v>
      </c>
      <c r="CY502" s="526">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
      <c r="A503" s="30" t="s">
        <v>68</v>
      </c>
      <c r="B503" s="1" t="s">
        <v>569</v>
      </c>
      <c r="C503" s="29" t="str">
        <f t="shared" si="125"/>
        <v>LA Wales - Ceredigion</v>
      </c>
      <c r="D503" s="50">
        <f t="shared" si="129"/>
        <v>31230</v>
      </c>
      <c r="E503" s="50">
        <f t="shared" si="130"/>
        <v>32928</v>
      </c>
      <c r="F503" s="51">
        <f t="shared" si="131"/>
        <v>71610</v>
      </c>
      <c r="G503" s="51">
        <f t="shared" si="132"/>
        <v>34962</v>
      </c>
      <c r="H503" s="52">
        <f t="shared" si="133"/>
        <v>36648</v>
      </c>
      <c r="I503" s="52">
        <f t="shared" si="128"/>
        <v>31230</v>
      </c>
      <c r="J503" s="52">
        <f t="shared" si="127"/>
        <v>32928</v>
      </c>
      <c r="K503" s="49">
        <f t="shared" si="134"/>
        <v>5839</v>
      </c>
      <c r="L503" s="50">
        <f t="shared" si="135"/>
        <v>5699</v>
      </c>
      <c r="M503" s="526">
        <v>276</v>
      </c>
      <c r="N503" s="526">
        <v>237</v>
      </c>
      <c r="O503" s="526">
        <v>271</v>
      </c>
      <c r="P503" s="526">
        <v>294</v>
      </c>
      <c r="Q503" s="526">
        <v>285</v>
      </c>
      <c r="R503" s="526">
        <v>312</v>
      </c>
      <c r="S503" s="526">
        <v>341</v>
      </c>
      <c r="T503" s="526">
        <v>317</v>
      </c>
      <c r="U503" s="526">
        <v>309</v>
      </c>
      <c r="V503" s="526">
        <v>360</v>
      </c>
      <c r="W503" s="526">
        <v>360</v>
      </c>
      <c r="X503" s="526">
        <v>370</v>
      </c>
      <c r="Y503" s="526">
        <v>368</v>
      </c>
      <c r="Z503" s="526">
        <v>326</v>
      </c>
      <c r="AA503" s="526">
        <v>334</v>
      </c>
      <c r="AB503" s="526">
        <v>346</v>
      </c>
      <c r="AC503" s="526">
        <v>355</v>
      </c>
      <c r="AD503" s="526">
        <v>378</v>
      </c>
      <c r="AE503" s="526">
        <v>435</v>
      </c>
      <c r="AF503" s="526">
        <v>855</v>
      </c>
      <c r="AG503" s="526">
        <v>809</v>
      </c>
      <c r="AH503" s="526">
        <v>767</v>
      </c>
      <c r="AI503" s="526">
        <v>615</v>
      </c>
      <c r="AJ503" s="526">
        <v>548</v>
      </c>
      <c r="AK503" s="526">
        <v>432</v>
      </c>
      <c r="AL503" s="526">
        <v>350</v>
      </c>
      <c r="AM503" s="526">
        <v>336</v>
      </c>
      <c r="AN503" s="526">
        <v>361</v>
      </c>
      <c r="AO503" s="526">
        <v>363</v>
      </c>
      <c r="AP503" s="526">
        <v>307</v>
      </c>
      <c r="AQ503" s="526">
        <v>338</v>
      </c>
      <c r="AR503" s="526">
        <v>347</v>
      </c>
      <c r="AS503" s="526">
        <v>354</v>
      </c>
      <c r="AT503" s="526">
        <v>356</v>
      </c>
      <c r="AU503" s="526">
        <v>352</v>
      </c>
      <c r="AV503" s="526">
        <v>311</v>
      </c>
      <c r="AW503" s="526">
        <v>316</v>
      </c>
      <c r="AX503" s="526">
        <v>334</v>
      </c>
      <c r="AY503" s="526">
        <v>320</v>
      </c>
      <c r="AZ503" s="526">
        <v>335</v>
      </c>
      <c r="BA503" s="526">
        <v>353</v>
      </c>
      <c r="BB503" s="526">
        <v>347</v>
      </c>
      <c r="BC503" s="526">
        <v>316</v>
      </c>
      <c r="BD503" s="526">
        <v>308</v>
      </c>
      <c r="BE503" s="526">
        <v>280</v>
      </c>
      <c r="BF503" s="526">
        <v>309</v>
      </c>
      <c r="BG503" s="526">
        <v>342</v>
      </c>
      <c r="BH503" s="526">
        <v>348</v>
      </c>
      <c r="BI503" s="526">
        <v>356</v>
      </c>
      <c r="BJ503" s="526">
        <v>339</v>
      </c>
      <c r="BK503" s="526">
        <v>402</v>
      </c>
      <c r="BL503" s="526">
        <v>431</v>
      </c>
      <c r="BM503" s="526">
        <v>435</v>
      </c>
      <c r="BN503" s="526">
        <v>504</v>
      </c>
      <c r="BO503" s="526">
        <v>475</v>
      </c>
      <c r="BP503" s="526">
        <v>496</v>
      </c>
      <c r="BQ503" s="526">
        <v>511</v>
      </c>
      <c r="BR503" s="526">
        <v>501</v>
      </c>
      <c r="BS503" s="526">
        <v>541</v>
      </c>
      <c r="BT503" s="526">
        <v>553</v>
      </c>
      <c r="BU503" s="526">
        <v>538</v>
      </c>
      <c r="BV503" s="526">
        <v>517</v>
      </c>
      <c r="BW503" s="526">
        <v>495</v>
      </c>
      <c r="BX503" s="526">
        <v>529</v>
      </c>
      <c r="BY503" s="526">
        <v>518</v>
      </c>
      <c r="BZ503" s="526">
        <v>495</v>
      </c>
      <c r="CA503" s="526">
        <v>519</v>
      </c>
      <c r="CB503" s="526">
        <v>491</v>
      </c>
      <c r="CC503" s="526">
        <v>490</v>
      </c>
      <c r="CD503" s="526">
        <v>448</v>
      </c>
      <c r="CE503" s="526">
        <v>472</v>
      </c>
      <c r="CF503" s="526">
        <v>453</v>
      </c>
      <c r="CG503" s="526">
        <v>454</v>
      </c>
      <c r="CH503" s="526">
        <v>509</v>
      </c>
      <c r="CI503" s="526">
        <v>531</v>
      </c>
      <c r="CJ503" s="526">
        <v>500</v>
      </c>
      <c r="CK503" s="526">
        <v>376</v>
      </c>
      <c r="CL503" s="526">
        <v>376</v>
      </c>
      <c r="CM503" s="526">
        <v>354</v>
      </c>
      <c r="CN503" s="526">
        <v>347</v>
      </c>
      <c r="CO503" s="526">
        <v>289</v>
      </c>
      <c r="CP503" s="526">
        <v>213</v>
      </c>
      <c r="CQ503" s="526">
        <v>241</v>
      </c>
      <c r="CR503" s="526">
        <v>198</v>
      </c>
      <c r="CS503" s="526">
        <v>175</v>
      </c>
      <c r="CT503" s="526">
        <v>168</v>
      </c>
      <c r="CU503" s="526">
        <v>134</v>
      </c>
      <c r="CV503" s="526">
        <v>115</v>
      </c>
      <c r="CW503" s="526">
        <v>97</v>
      </c>
      <c r="CX503" s="526">
        <v>84</v>
      </c>
      <c r="CY503" s="526">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
      <c r="A504" s="30" t="s">
        <v>68</v>
      </c>
      <c r="B504" s="1" t="s">
        <v>570</v>
      </c>
      <c r="C504" s="29" t="str">
        <f t="shared" si="125"/>
        <v>LA Wales - Conwy</v>
      </c>
      <c r="D504" s="50">
        <f t="shared" si="129"/>
        <v>48645</v>
      </c>
      <c r="E504" s="50">
        <f t="shared" si="130"/>
        <v>52495</v>
      </c>
      <c r="F504" s="51">
        <f t="shared" si="131"/>
        <v>114290</v>
      </c>
      <c r="G504" s="51">
        <f t="shared" si="132"/>
        <v>55416</v>
      </c>
      <c r="H504" s="52">
        <f t="shared" si="133"/>
        <v>58874</v>
      </c>
      <c r="I504" s="52">
        <f t="shared" si="128"/>
        <v>48645</v>
      </c>
      <c r="J504" s="52">
        <f t="shared" si="127"/>
        <v>52495</v>
      </c>
      <c r="K504" s="49">
        <f t="shared" si="134"/>
        <v>10537</v>
      </c>
      <c r="L504" s="50">
        <f t="shared" si="135"/>
        <v>10021</v>
      </c>
      <c r="M504" s="526">
        <v>483</v>
      </c>
      <c r="N504" s="526">
        <v>469</v>
      </c>
      <c r="O504" s="526">
        <v>522</v>
      </c>
      <c r="P504" s="526">
        <v>523</v>
      </c>
      <c r="Q504" s="526">
        <v>549</v>
      </c>
      <c r="R504" s="526">
        <v>540</v>
      </c>
      <c r="S504" s="526">
        <v>563</v>
      </c>
      <c r="T504" s="526">
        <v>620</v>
      </c>
      <c r="U504" s="526">
        <v>583</v>
      </c>
      <c r="V504" s="526">
        <v>622</v>
      </c>
      <c r="W504" s="526">
        <v>611</v>
      </c>
      <c r="X504" s="526">
        <v>686</v>
      </c>
      <c r="Y504" s="526">
        <v>621</v>
      </c>
      <c r="Z504" s="526">
        <v>634</v>
      </c>
      <c r="AA504" s="526">
        <v>601</v>
      </c>
      <c r="AB504" s="526">
        <v>642</v>
      </c>
      <c r="AC504" s="526">
        <v>627</v>
      </c>
      <c r="AD504" s="526">
        <v>641</v>
      </c>
      <c r="AE504" s="526">
        <v>613</v>
      </c>
      <c r="AF504" s="526">
        <v>404</v>
      </c>
      <c r="AG504" s="526">
        <v>422</v>
      </c>
      <c r="AH504" s="526">
        <v>441</v>
      </c>
      <c r="AI504" s="526">
        <v>543</v>
      </c>
      <c r="AJ504" s="526">
        <v>525</v>
      </c>
      <c r="AK504" s="526">
        <v>583</v>
      </c>
      <c r="AL504" s="526">
        <v>572</v>
      </c>
      <c r="AM504" s="526">
        <v>471</v>
      </c>
      <c r="AN504" s="526">
        <v>561</v>
      </c>
      <c r="AO504" s="526">
        <v>538</v>
      </c>
      <c r="AP504" s="526">
        <v>526</v>
      </c>
      <c r="AQ504" s="526">
        <v>576</v>
      </c>
      <c r="AR504" s="526">
        <v>623</v>
      </c>
      <c r="AS504" s="526">
        <v>576</v>
      </c>
      <c r="AT504" s="526">
        <v>615</v>
      </c>
      <c r="AU504" s="526">
        <v>597</v>
      </c>
      <c r="AV504" s="526">
        <v>594</v>
      </c>
      <c r="AW504" s="526">
        <v>552</v>
      </c>
      <c r="AX504" s="526">
        <v>589</v>
      </c>
      <c r="AY504" s="526">
        <v>559</v>
      </c>
      <c r="AZ504" s="526">
        <v>543</v>
      </c>
      <c r="BA504" s="526">
        <v>551</v>
      </c>
      <c r="BB504" s="526">
        <v>596</v>
      </c>
      <c r="BC504" s="526">
        <v>626</v>
      </c>
      <c r="BD504" s="526">
        <v>555</v>
      </c>
      <c r="BE504" s="526">
        <v>470</v>
      </c>
      <c r="BF504" s="526">
        <v>555</v>
      </c>
      <c r="BG504" s="526">
        <v>559</v>
      </c>
      <c r="BH504" s="526">
        <v>569</v>
      </c>
      <c r="BI504" s="526">
        <v>603</v>
      </c>
      <c r="BJ504" s="526">
        <v>679</v>
      </c>
      <c r="BK504" s="526">
        <v>788</v>
      </c>
      <c r="BL504" s="526">
        <v>775</v>
      </c>
      <c r="BM504" s="526">
        <v>750</v>
      </c>
      <c r="BN504" s="526">
        <v>805</v>
      </c>
      <c r="BO504" s="526">
        <v>775</v>
      </c>
      <c r="BP504" s="526">
        <v>819</v>
      </c>
      <c r="BQ504" s="526">
        <v>862</v>
      </c>
      <c r="BR504" s="526">
        <v>890</v>
      </c>
      <c r="BS504" s="526">
        <v>870</v>
      </c>
      <c r="BT504" s="526">
        <v>881</v>
      </c>
      <c r="BU504" s="526">
        <v>879</v>
      </c>
      <c r="BV504" s="526">
        <v>894</v>
      </c>
      <c r="BW504" s="526">
        <v>876</v>
      </c>
      <c r="BX504" s="526">
        <v>830</v>
      </c>
      <c r="BY504" s="526">
        <v>792</v>
      </c>
      <c r="BZ504" s="526">
        <v>785</v>
      </c>
      <c r="CA504" s="526">
        <v>740</v>
      </c>
      <c r="CB504" s="526">
        <v>717</v>
      </c>
      <c r="CC504" s="526">
        <v>789</v>
      </c>
      <c r="CD504" s="526">
        <v>744</v>
      </c>
      <c r="CE504" s="526">
        <v>734</v>
      </c>
      <c r="CF504" s="526">
        <v>780</v>
      </c>
      <c r="CG504" s="526">
        <v>723</v>
      </c>
      <c r="CH504" s="526">
        <v>809</v>
      </c>
      <c r="CI504" s="526">
        <v>853</v>
      </c>
      <c r="CJ504" s="526">
        <v>851</v>
      </c>
      <c r="CK504" s="526">
        <v>673</v>
      </c>
      <c r="CL504" s="526">
        <v>628</v>
      </c>
      <c r="CM504" s="526">
        <v>602</v>
      </c>
      <c r="CN504" s="526">
        <v>548</v>
      </c>
      <c r="CO504" s="526">
        <v>479</v>
      </c>
      <c r="CP504" s="526">
        <v>400</v>
      </c>
      <c r="CQ504" s="526">
        <v>367</v>
      </c>
      <c r="CR504" s="526">
        <v>373</v>
      </c>
      <c r="CS504" s="526">
        <v>296</v>
      </c>
      <c r="CT504" s="526">
        <v>289</v>
      </c>
      <c r="CU504" s="526">
        <v>267</v>
      </c>
      <c r="CV504" s="526">
        <v>251</v>
      </c>
      <c r="CW504" s="526">
        <v>195</v>
      </c>
      <c r="CX504" s="526">
        <v>194</v>
      </c>
      <c r="CY504" s="526">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
      <c r="A505" s="30" t="s">
        <v>68</v>
      </c>
      <c r="B505" s="1" t="s">
        <v>571</v>
      </c>
      <c r="C505" s="29" t="str">
        <f t="shared" si="125"/>
        <v>LA Wales - Denbighshire</v>
      </c>
      <c r="D505" s="50">
        <f t="shared" si="129"/>
        <v>40657</v>
      </c>
      <c r="E505" s="50">
        <f t="shared" si="130"/>
        <v>43565</v>
      </c>
      <c r="F505" s="51">
        <f t="shared" si="131"/>
        <v>96558</v>
      </c>
      <c r="G505" s="51">
        <f t="shared" si="132"/>
        <v>46969</v>
      </c>
      <c r="H505" s="52">
        <f t="shared" si="133"/>
        <v>49589</v>
      </c>
      <c r="I505" s="52">
        <f t="shared" si="128"/>
        <v>40657</v>
      </c>
      <c r="J505" s="52">
        <f t="shared" si="127"/>
        <v>43565</v>
      </c>
      <c r="K505" s="49">
        <f t="shared" si="134"/>
        <v>9930</v>
      </c>
      <c r="L505" s="50">
        <f t="shared" si="135"/>
        <v>9373</v>
      </c>
      <c r="M505" s="526">
        <v>457</v>
      </c>
      <c r="N505" s="526">
        <v>493</v>
      </c>
      <c r="O505" s="526">
        <v>520</v>
      </c>
      <c r="P505" s="526">
        <v>480</v>
      </c>
      <c r="Q505" s="526">
        <v>486</v>
      </c>
      <c r="R505" s="526">
        <v>551</v>
      </c>
      <c r="S505" s="526">
        <v>523</v>
      </c>
      <c r="T505" s="526">
        <v>558</v>
      </c>
      <c r="U505" s="526">
        <v>524</v>
      </c>
      <c r="V505" s="526">
        <v>561</v>
      </c>
      <c r="W505" s="526">
        <v>567</v>
      </c>
      <c r="X505" s="526">
        <v>592</v>
      </c>
      <c r="Y505" s="526">
        <v>615</v>
      </c>
      <c r="Z505" s="526">
        <v>593</v>
      </c>
      <c r="AA505" s="526">
        <v>609</v>
      </c>
      <c r="AB505" s="526">
        <v>587</v>
      </c>
      <c r="AC505" s="526">
        <v>587</v>
      </c>
      <c r="AD505" s="526">
        <v>627</v>
      </c>
      <c r="AE505" s="526">
        <v>551</v>
      </c>
      <c r="AF505" s="526">
        <v>439</v>
      </c>
      <c r="AG505" s="526">
        <v>422</v>
      </c>
      <c r="AH505" s="526">
        <v>434</v>
      </c>
      <c r="AI505" s="526">
        <v>423</v>
      </c>
      <c r="AJ505" s="526">
        <v>470</v>
      </c>
      <c r="AK505" s="526">
        <v>490</v>
      </c>
      <c r="AL505" s="526">
        <v>482</v>
      </c>
      <c r="AM505" s="526">
        <v>514</v>
      </c>
      <c r="AN505" s="526">
        <v>470</v>
      </c>
      <c r="AO505" s="526">
        <v>500</v>
      </c>
      <c r="AP505" s="526">
        <v>483</v>
      </c>
      <c r="AQ505" s="526">
        <v>507</v>
      </c>
      <c r="AR505" s="526">
        <v>516</v>
      </c>
      <c r="AS505" s="526">
        <v>511</v>
      </c>
      <c r="AT505" s="526">
        <v>471</v>
      </c>
      <c r="AU505" s="526">
        <v>530</v>
      </c>
      <c r="AV505" s="526">
        <v>513</v>
      </c>
      <c r="AW505" s="526">
        <v>510</v>
      </c>
      <c r="AX505" s="526">
        <v>477</v>
      </c>
      <c r="AY505" s="526">
        <v>509</v>
      </c>
      <c r="AZ505" s="526">
        <v>424</v>
      </c>
      <c r="BA505" s="526">
        <v>488</v>
      </c>
      <c r="BB505" s="526">
        <v>496</v>
      </c>
      <c r="BC505" s="526">
        <v>500</v>
      </c>
      <c r="BD505" s="526">
        <v>478</v>
      </c>
      <c r="BE505" s="526">
        <v>422</v>
      </c>
      <c r="BF505" s="526">
        <v>464</v>
      </c>
      <c r="BG505" s="526">
        <v>515</v>
      </c>
      <c r="BH505" s="526">
        <v>516</v>
      </c>
      <c r="BI505" s="526">
        <v>525</v>
      </c>
      <c r="BJ505" s="526">
        <v>532</v>
      </c>
      <c r="BK505" s="526">
        <v>646</v>
      </c>
      <c r="BL505" s="526">
        <v>654</v>
      </c>
      <c r="BM505" s="526">
        <v>645</v>
      </c>
      <c r="BN505" s="526">
        <v>662</v>
      </c>
      <c r="BO505" s="526">
        <v>643</v>
      </c>
      <c r="BP505" s="526">
        <v>715</v>
      </c>
      <c r="BQ505" s="526">
        <v>681</v>
      </c>
      <c r="BR505" s="526">
        <v>758</v>
      </c>
      <c r="BS505" s="526">
        <v>746</v>
      </c>
      <c r="BT505" s="526">
        <v>697</v>
      </c>
      <c r="BU505" s="526">
        <v>737</v>
      </c>
      <c r="BV505" s="526">
        <v>654</v>
      </c>
      <c r="BW505" s="526">
        <v>713</v>
      </c>
      <c r="BX505" s="526">
        <v>665</v>
      </c>
      <c r="BY505" s="526">
        <v>635</v>
      </c>
      <c r="BZ505" s="526">
        <v>637</v>
      </c>
      <c r="CA505" s="526">
        <v>603</v>
      </c>
      <c r="CB505" s="526">
        <v>603</v>
      </c>
      <c r="CC505" s="526">
        <v>596</v>
      </c>
      <c r="CD505" s="526">
        <v>599</v>
      </c>
      <c r="CE505" s="526">
        <v>543</v>
      </c>
      <c r="CF505" s="526">
        <v>547</v>
      </c>
      <c r="CG505" s="526">
        <v>614</v>
      </c>
      <c r="CH505" s="526">
        <v>653</v>
      </c>
      <c r="CI505" s="526">
        <v>674</v>
      </c>
      <c r="CJ505" s="526">
        <v>666</v>
      </c>
      <c r="CK505" s="526">
        <v>469</v>
      </c>
      <c r="CL505" s="526">
        <v>446</v>
      </c>
      <c r="CM505" s="526">
        <v>473</v>
      </c>
      <c r="CN505" s="526">
        <v>443</v>
      </c>
      <c r="CO505" s="526">
        <v>359</v>
      </c>
      <c r="CP505" s="526">
        <v>328</v>
      </c>
      <c r="CQ505" s="526">
        <v>290</v>
      </c>
      <c r="CR505" s="526">
        <v>259</v>
      </c>
      <c r="CS505" s="526">
        <v>236</v>
      </c>
      <c r="CT505" s="526">
        <v>224</v>
      </c>
      <c r="CU505" s="526">
        <v>181</v>
      </c>
      <c r="CV505" s="526">
        <v>162</v>
      </c>
      <c r="CW505" s="526">
        <v>127</v>
      </c>
      <c r="CX505" s="526">
        <v>108</v>
      </c>
      <c r="CY505" s="526">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
      <c r="A506" s="30" t="s">
        <v>68</v>
      </c>
      <c r="B506" s="1" t="s">
        <v>572</v>
      </c>
      <c r="C506" s="29" t="str">
        <f t="shared" si="125"/>
        <v>LA Wales - Flintshire</v>
      </c>
      <c r="D506" s="50">
        <f t="shared" si="129"/>
        <v>65911</v>
      </c>
      <c r="E506" s="50">
        <f t="shared" si="130"/>
        <v>69739</v>
      </c>
      <c r="F506" s="51">
        <f t="shared" si="131"/>
        <v>155319</v>
      </c>
      <c r="G506" s="51">
        <f t="shared" si="132"/>
        <v>76023</v>
      </c>
      <c r="H506" s="52">
        <f t="shared" si="133"/>
        <v>79296</v>
      </c>
      <c r="I506" s="52">
        <f t="shared" si="128"/>
        <v>65911</v>
      </c>
      <c r="J506" s="52">
        <f t="shared" si="127"/>
        <v>69739</v>
      </c>
      <c r="K506" s="49">
        <f t="shared" si="134"/>
        <v>15883</v>
      </c>
      <c r="L506" s="50">
        <f t="shared" si="135"/>
        <v>15004</v>
      </c>
      <c r="M506" s="526">
        <v>701</v>
      </c>
      <c r="N506" s="526">
        <v>780</v>
      </c>
      <c r="O506" s="526">
        <v>775</v>
      </c>
      <c r="P506" s="526">
        <v>770</v>
      </c>
      <c r="Q506" s="526">
        <v>817</v>
      </c>
      <c r="R506" s="526">
        <v>825</v>
      </c>
      <c r="S506" s="526">
        <v>849</v>
      </c>
      <c r="T506" s="526">
        <v>888</v>
      </c>
      <c r="U506" s="526">
        <v>904</v>
      </c>
      <c r="V506" s="526">
        <v>899</v>
      </c>
      <c r="W506" s="526">
        <v>971</v>
      </c>
      <c r="X506" s="526">
        <v>933</v>
      </c>
      <c r="Y506" s="526">
        <v>1008</v>
      </c>
      <c r="Z506" s="526">
        <v>933</v>
      </c>
      <c r="AA506" s="526">
        <v>1033</v>
      </c>
      <c r="AB506" s="526">
        <v>950</v>
      </c>
      <c r="AC506" s="526">
        <v>903</v>
      </c>
      <c r="AD506" s="526">
        <v>944</v>
      </c>
      <c r="AE506" s="526">
        <v>881</v>
      </c>
      <c r="AF506" s="526">
        <v>661</v>
      </c>
      <c r="AG506" s="526">
        <v>648</v>
      </c>
      <c r="AH506" s="526">
        <v>673</v>
      </c>
      <c r="AI506" s="526">
        <v>728</v>
      </c>
      <c r="AJ506" s="526">
        <v>844</v>
      </c>
      <c r="AK506" s="526">
        <v>853</v>
      </c>
      <c r="AL506" s="526">
        <v>829</v>
      </c>
      <c r="AM506" s="526">
        <v>799</v>
      </c>
      <c r="AN506" s="526">
        <v>822</v>
      </c>
      <c r="AO506" s="526">
        <v>837</v>
      </c>
      <c r="AP506" s="526">
        <v>879</v>
      </c>
      <c r="AQ506" s="526">
        <v>1004</v>
      </c>
      <c r="AR506" s="526">
        <v>928</v>
      </c>
      <c r="AS506" s="526">
        <v>919</v>
      </c>
      <c r="AT506" s="526">
        <v>961</v>
      </c>
      <c r="AU506" s="526">
        <v>970</v>
      </c>
      <c r="AV506" s="526">
        <v>947</v>
      </c>
      <c r="AW506" s="526">
        <v>978</v>
      </c>
      <c r="AX506" s="526">
        <v>903</v>
      </c>
      <c r="AY506" s="526">
        <v>860</v>
      </c>
      <c r="AZ506" s="526">
        <v>889</v>
      </c>
      <c r="BA506" s="526">
        <v>925</v>
      </c>
      <c r="BB506" s="526">
        <v>916</v>
      </c>
      <c r="BC506" s="526">
        <v>930</v>
      </c>
      <c r="BD506" s="526">
        <v>875</v>
      </c>
      <c r="BE506" s="526">
        <v>855</v>
      </c>
      <c r="BF506" s="526">
        <v>802</v>
      </c>
      <c r="BG506" s="526">
        <v>825</v>
      </c>
      <c r="BH506" s="526">
        <v>925</v>
      </c>
      <c r="BI506" s="526">
        <v>970</v>
      </c>
      <c r="BJ506" s="526">
        <v>989</v>
      </c>
      <c r="BK506" s="526">
        <v>1124</v>
      </c>
      <c r="BL506" s="526">
        <v>1159</v>
      </c>
      <c r="BM506" s="526">
        <v>1172</v>
      </c>
      <c r="BN506" s="526">
        <v>1222</v>
      </c>
      <c r="BO506" s="526">
        <v>1193</v>
      </c>
      <c r="BP506" s="526">
        <v>1115</v>
      </c>
      <c r="BQ506" s="526">
        <v>1116</v>
      </c>
      <c r="BR506" s="526">
        <v>1156</v>
      </c>
      <c r="BS506" s="526">
        <v>1196</v>
      </c>
      <c r="BT506" s="526">
        <v>1096</v>
      </c>
      <c r="BU506" s="526">
        <v>1149</v>
      </c>
      <c r="BV506" s="526">
        <v>1060</v>
      </c>
      <c r="BW506" s="526">
        <v>1024</v>
      </c>
      <c r="BX506" s="526">
        <v>1036</v>
      </c>
      <c r="BY506" s="526">
        <v>912</v>
      </c>
      <c r="BZ506" s="526">
        <v>883</v>
      </c>
      <c r="CA506" s="526">
        <v>867</v>
      </c>
      <c r="CB506" s="526">
        <v>793</v>
      </c>
      <c r="CC506" s="526">
        <v>812</v>
      </c>
      <c r="CD506" s="526">
        <v>850</v>
      </c>
      <c r="CE506" s="526">
        <v>761</v>
      </c>
      <c r="CF506" s="526">
        <v>877</v>
      </c>
      <c r="CG506" s="526">
        <v>832</v>
      </c>
      <c r="CH506" s="526">
        <v>891</v>
      </c>
      <c r="CI506" s="526">
        <v>922</v>
      </c>
      <c r="CJ506" s="526">
        <v>1006</v>
      </c>
      <c r="CK506" s="526">
        <v>637</v>
      </c>
      <c r="CL506" s="526">
        <v>646</v>
      </c>
      <c r="CM506" s="526">
        <v>660</v>
      </c>
      <c r="CN506" s="526">
        <v>553</v>
      </c>
      <c r="CO506" s="526">
        <v>481</v>
      </c>
      <c r="CP506" s="526">
        <v>430</v>
      </c>
      <c r="CQ506" s="526">
        <v>426</v>
      </c>
      <c r="CR506" s="526">
        <v>354</v>
      </c>
      <c r="CS506" s="526">
        <v>350</v>
      </c>
      <c r="CT506" s="526">
        <v>287</v>
      </c>
      <c r="CU506" s="526">
        <v>257</v>
      </c>
      <c r="CV506" s="526">
        <v>212</v>
      </c>
      <c r="CW506" s="526">
        <v>170</v>
      </c>
      <c r="CX506" s="526">
        <v>138</v>
      </c>
      <c r="CY506" s="526">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
      <c r="A507" s="30" t="s">
        <v>68</v>
      </c>
      <c r="B507" s="1" t="s">
        <v>573</v>
      </c>
      <c r="C507" s="29" t="str">
        <f t="shared" si="125"/>
        <v>LA Wales - Gwynedd</v>
      </c>
      <c r="D507" s="50">
        <f t="shared" si="129"/>
        <v>50618</v>
      </c>
      <c r="E507" s="50">
        <f t="shared" si="130"/>
        <v>52941</v>
      </c>
      <c r="F507" s="51">
        <f t="shared" si="131"/>
        <v>117591</v>
      </c>
      <c r="G507" s="51">
        <f t="shared" si="132"/>
        <v>57848</v>
      </c>
      <c r="H507" s="52">
        <f t="shared" si="133"/>
        <v>59743</v>
      </c>
      <c r="I507" s="52">
        <f t="shared" si="128"/>
        <v>50618</v>
      </c>
      <c r="J507" s="52">
        <f t="shared" si="127"/>
        <v>52941</v>
      </c>
      <c r="K507" s="49">
        <f t="shared" si="134"/>
        <v>11225</v>
      </c>
      <c r="L507" s="50">
        <f t="shared" si="135"/>
        <v>10632</v>
      </c>
      <c r="M507" s="526">
        <v>554</v>
      </c>
      <c r="N507" s="526">
        <v>518</v>
      </c>
      <c r="O507" s="526">
        <v>550</v>
      </c>
      <c r="P507" s="526">
        <v>548</v>
      </c>
      <c r="Q507" s="526">
        <v>593</v>
      </c>
      <c r="R507" s="526">
        <v>563</v>
      </c>
      <c r="S507" s="526">
        <v>656</v>
      </c>
      <c r="T507" s="526">
        <v>596</v>
      </c>
      <c r="U507" s="526">
        <v>662</v>
      </c>
      <c r="V507" s="526">
        <v>660</v>
      </c>
      <c r="W507" s="526">
        <v>664</v>
      </c>
      <c r="X507" s="526">
        <v>666</v>
      </c>
      <c r="Y507" s="526">
        <v>714</v>
      </c>
      <c r="Z507" s="526">
        <v>665</v>
      </c>
      <c r="AA507" s="526">
        <v>674</v>
      </c>
      <c r="AB507" s="526">
        <v>671</v>
      </c>
      <c r="AC507" s="526">
        <v>653</v>
      </c>
      <c r="AD507" s="526">
        <v>618</v>
      </c>
      <c r="AE507" s="526">
        <v>660</v>
      </c>
      <c r="AF507" s="526">
        <v>869</v>
      </c>
      <c r="AG507" s="526">
        <v>893</v>
      </c>
      <c r="AH507" s="526">
        <v>930</v>
      </c>
      <c r="AI507" s="526">
        <v>871</v>
      </c>
      <c r="AJ507" s="526">
        <v>777</v>
      </c>
      <c r="AK507" s="526">
        <v>709</v>
      </c>
      <c r="AL507" s="526">
        <v>648</v>
      </c>
      <c r="AM507" s="526">
        <v>637</v>
      </c>
      <c r="AN507" s="526">
        <v>635</v>
      </c>
      <c r="AO507" s="526">
        <v>676</v>
      </c>
      <c r="AP507" s="526">
        <v>659</v>
      </c>
      <c r="AQ507" s="526">
        <v>661</v>
      </c>
      <c r="AR507" s="526">
        <v>643</v>
      </c>
      <c r="AS507" s="526">
        <v>663</v>
      </c>
      <c r="AT507" s="526">
        <v>677</v>
      </c>
      <c r="AU507" s="526">
        <v>680</v>
      </c>
      <c r="AV507" s="526">
        <v>704</v>
      </c>
      <c r="AW507" s="526">
        <v>572</v>
      </c>
      <c r="AX507" s="526">
        <v>595</v>
      </c>
      <c r="AY507" s="526">
        <v>582</v>
      </c>
      <c r="AZ507" s="526">
        <v>586</v>
      </c>
      <c r="BA507" s="526">
        <v>589</v>
      </c>
      <c r="BB507" s="526">
        <v>603</v>
      </c>
      <c r="BC507" s="526">
        <v>613</v>
      </c>
      <c r="BD507" s="526">
        <v>569</v>
      </c>
      <c r="BE507" s="526">
        <v>557</v>
      </c>
      <c r="BF507" s="526">
        <v>575</v>
      </c>
      <c r="BG507" s="526">
        <v>581</v>
      </c>
      <c r="BH507" s="526">
        <v>606</v>
      </c>
      <c r="BI507" s="526">
        <v>678</v>
      </c>
      <c r="BJ507" s="526">
        <v>722</v>
      </c>
      <c r="BK507" s="526">
        <v>767</v>
      </c>
      <c r="BL507" s="526">
        <v>811</v>
      </c>
      <c r="BM507" s="526">
        <v>804</v>
      </c>
      <c r="BN507" s="526">
        <v>775</v>
      </c>
      <c r="BO507" s="526">
        <v>801</v>
      </c>
      <c r="BP507" s="526">
        <v>799</v>
      </c>
      <c r="BQ507" s="526">
        <v>858</v>
      </c>
      <c r="BR507" s="526">
        <v>866</v>
      </c>
      <c r="BS507" s="526">
        <v>874</v>
      </c>
      <c r="BT507" s="526">
        <v>888</v>
      </c>
      <c r="BU507" s="526">
        <v>867</v>
      </c>
      <c r="BV507" s="526">
        <v>849</v>
      </c>
      <c r="BW507" s="526">
        <v>771</v>
      </c>
      <c r="BX507" s="526">
        <v>768</v>
      </c>
      <c r="BY507" s="526">
        <v>811</v>
      </c>
      <c r="BZ507" s="526">
        <v>756</v>
      </c>
      <c r="CA507" s="526">
        <v>711</v>
      </c>
      <c r="CB507" s="526">
        <v>727</v>
      </c>
      <c r="CC507" s="526">
        <v>675</v>
      </c>
      <c r="CD507" s="526">
        <v>709</v>
      </c>
      <c r="CE507" s="526">
        <v>650</v>
      </c>
      <c r="CF507" s="526">
        <v>649</v>
      </c>
      <c r="CG507" s="526">
        <v>649</v>
      </c>
      <c r="CH507" s="526">
        <v>729</v>
      </c>
      <c r="CI507" s="526">
        <v>764</v>
      </c>
      <c r="CJ507" s="526">
        <v>736</v>
      </c>
      <c r="CK507" s="526">
        <v>589</v>
      </c>
      <c r="CL507" s="526">
        <v>522</v>
      </c>
      <c r="CM507" s="526">
        <v>521</v>
      </c>
      <c r="CN507" s="526">
        <v>483</v>
      </c>
      <c r="CO507" s="526">
        <v>379</v>
      </c>
      <c r="CP507" s="526">
        <v>308</v>
      </c>
      <c r="CQ507" s="526">
        <v>331</v>
      </c>
      <c r="CR507" s="526">
        <v>327</v>
      </c>
      <c r="CS507" s="526">
        <v>274</v>
      </c>
      <c r="CT507" s="526">
        <v>248</v>
      </c>
      <c r="CU507" s="526">
        <v>221</v>
      </c>
      <c r="CV507" s="526">
        <v>181</v>
      </c>
      <c r="CW507" s="526">
        <v>162</v>
      </c>
      <c r="CX507" s="526">
        <v>135</v>
      </c>
      <c r="CY507" s="526">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
      <c r="A508" s="30" t="s">
        <v>68</v>
      </c>
      <c r="B508" s="1" t="s">
        <v>574</v>
      </c>
      <c r="C508" s="29" t="str">
        <f t="shared" si="125"/>
        <v>LA Wales - Isle of Anglesey</v>
      </c>
      <c r="D508" s="50">
        <f t="shared" si="129"/>
        <v>29452</v>
      </c>
      <c r="E508" s="50">
        <f t="shared" si="130"/>
        <v>31080</v>
      </c>
      <c r="F508" s="51">
        <f t="shared" si="131"/>
        <v>69049</v>
      </c>
      <c r="G508" s="51">
        <f t="shared" si="132"/>
        <v>33761</v>
      </c>
      <c r="H508" s="52">
        <f t="shared" si="133"/>
        <v>35288</v>
      </c>
      <c r="I508" s="52">
        <f t="shared" si="128"/>
        <v>29452</v>
      </c>
      <c r="J508" s="52">
        <f t="shared" si="127"/>
        <v>31080</v>
      </c>
      <c r="K508" s="49">
        <f t="shared" si="134"/>
        <v>6709</v>
      </c>
      <c r="L508" s="50">
        <f t="shared" si="135"/>
        <v>6395</v>
      </c>
      <c r="M508" s="526">
        <v>273</v>
      </c>
      <c r="N508" s="526">
        <v>322</v>
      </c>
      <c r="O508" s="526">
        <v>305</v>
      </c>
      <c r="P508" s="526">
        <v>320</v>
      </c>
      <c r="Q508" s="526">
        <v>334</v>
      </c>
      <c r="R508" s="526">
        <v>383</v>
      </c>
      <c r="S508" s="526">
        <v>383</v>
      </c>
      <c r="T508" s="526">
        <v>361</v>
      </c>
      <c r="U508" s="526">
        <v>383</v>
      </c>
      <c r="V508" s="526">
        <v>411</v>
      </c>
      <c r="W508" s="526">
        <v>394</v>
      </c>
      <c r="X508" s="526">
        <v>440</v>
      </c>
      <c r="Y508" s="526">
        <v>405</v>
      </c>
      <c r="Z508" s="526">
        <v>438</v>
      </c>
      <c r="AA508" s="526">
        <v>385</v>
      </c>
      <c r="AB508" s="526">
        <v>392</v>
      </c>
      <c r="AC508" s="526">
        <v>391</v>
      </c>
      <c r="AD508" s="526">
        <v>389</v>
      </c>
      <c r="AE508" s="526">
        <v>348</v>
      </c>
      <c r="AF508" s="526">
        <v>299</v>
      </c>
      <c r="AG508" s="526">
        <v>302</v>
      </c>
      <c r="AH508" s="526">
        <v>273</v>
      </c>
      <c r="AI508" s="526">
        <v>297</v>
      </c>
      <c r="AJ508" s="526">
        <v>367</v>
      </c>
      <c r="AK508" s="526">
        <v>299</v>
      </c>
      <c r="AL508" s="526">
        <v>316</v>
      </c>
      <c r="AM508" s="526">
        <v>341</v>
      </c>
      <c r="AN508" s="526">
        <v>319</v>
      </c>
      <c r="AO508" s="526">
        <v>363</v>
      </c>
      <c r="AP508" s="526">
        <v>338</v>
      </c>
      <c r="AQ508" s="526">
        <v>332</v>
      </c>
      <c r="AR508" s="526">
        <v>349</v>
      </c>
      <c r="AS508" s="526">
        <v>346</v>
      </c>
      <c r="AT508" s="526">
        <v>349</v>
      </c>
      <c r="AU508" s="526">
        <v>381</v>
      </c>
      <c r="AV508" s="526">
        <v>373</v>
      </c>
      <c r="AW508" s="526">
        <v>310</v>
      </c>
      <c r="AX508" s="526">
        <v>347</v>
      </c>
      <c r="AY508" s="526">
        <v>371</v>
      </c>
      <c r="AZ508" s="526">
        <v>328</v>
      </c>
      <c r="BA508" s="526">
        <v>331</v>
      </c>
      <c r="BB508" s="526">
        <v>346</v>
      </c>
      <c r="BC508" s="526">
        <v>345</v>
      </c>
      <c r="BD508" s="526">
        <v>373</v>
      </c>
      <c r="BE508" s="526">
        <v>321</v>
      </c>
      <c r="BF508" s="526">
        <v>306</v>
      </c>
      <c r="BG508" s="526">
        <v>326</v>
      </c>
      <c r="BH508" s="526">
        <v>357</v>
      </c>
      <c r="BI508" s="526">
        <v>373</v>
      </c>
      <c r="BJ508" s="526">
        <v>436</v>
      </c>
      <c r="BK508" s="526">
        <v>448</v>
      </c>
      <c r="BL508" s="526">
        <v>493</v>
      </c>
      <c r="BM508" s="526">
        <v>440</v>
      </c>
      <c r="BN508" s="526">
        <v>466</v>
      </c>
      <c r="BO508" s="526">
        <v>481</v>
      </c>
      <c r="BP508" s="526">
        <v>523</v>
      </c>
      <c r="BQ508" s="526">
        <v>490</v>
      </c>
      <c r="BR508" s="526">
        <v>546</v>
      </c>
      <c r="BS508" s="526">
        <v>515</v>
      </c>
      <c r="BT508" s="526">
        <v>563</v>
      </c>
      <c r="BU508" s="526">
        <v>503</v>
      </c>
      <c r="BV508" s="526">
        <v>511</v>
      </c>
      <c r="BW508" s="526">
        <v>539</v>
      </c>
      <c r="BX508" s="526">
        <v>521</v>
      </c>
      <c r="BY508" s="526">
        <v>482</v>
      </c>
      <c r="BZ508" s="526">
        <v>468</v>
      </c>
      <c r="CA508" s="526">
        <v>489</v>
      </c>
      <c r="CB508" s="526">
        <v>476</v>
      </c>
      <c r="CC508" s="526">
        <v>458</v>
      </c>
      <c r="CD508" s="526">
        <v>460</v>
      </c>
      <c r="CE508" s="526">
        <v>458</v>
      </c>
      <c r="CF508" s="526">
        <v>438</v>
      </c>
      <c r="CG508" s="526">
        <v>468</v>
      </c>
      <c r="CH508" s="526">
        <v>490</v>
      </c>
      <c r="CI508" s="526">
        <v>504</v>
      </c>
      <c r="CJ508" s="526">
        <v>484</v>
      </c>
      <c r="CK508" s="526">
        <v>343</v>
      </c>
      <c r="CL508" s="526">
        <v>365</v>
      </c>
      <c r="CM508" s="526">
        <v>374</v>
      </c>
      <c r="CN508" s="526">
        <v>344</v>
      </c>
      <c r="CO508" s="526">
        <v>273</v>
      </c>
      <c r="CP508" s="526">
        <v>244</v>
      </c>
      <c r="CQ508" s="526">
        <v>233</v>
      </c>
      <c r="CR508" s="526">
        <v>249</v>
      </c>
      <c r="CS508" s="526">
        <v>194</v>
      </c>
      <c r="CT508" s="526">
        <v>174</v>
      </c>
      <c r="CU508" s="526">
        <v>143</v>
      </c>
      <c r="CV508" s="526">
        <v>115</v>
      </c>
      <c r="CW508" s="526">
        <v>82</v>
      </c>
      <c r="CX508" s="526">
        <v>77</v>
      </c>
      <c r="CY508" s="526">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
      <c r="A509" s="30" t="s">
        <v>68</v>
      </c>
      <c r="B509" s="1" t="s">
        <v>575</v>
      </c>
      <c r="C509" s="29" t="str">
        <f t="shared" si="125"/>
        <v>LA Wales - Merthyr Tydfil</v>
      </c>
      <c r="D509" s="50">
        <f t="shared" si="129"/>
        <v>24474</v>
      </c>
      <c r="E509" s="50">
        <f t="shared" si="130"/>
        <v>26080</v>
      </c>
      <c r="F509" s="51">
        <f t="shared" si="131"/>
        <v>58883</v>
      </c>
      <c r="G509" s="51">
        <f t="shared" si="132"/>
        <v>28785</v>
      </c>
      <c r="H509" s="52">
        <f t="shared" si="133"/>
        <v>30098</v>
      </c>
      <c r="I509" s="52">
        <f t="shared" si="128"/>
        <v>24474</v>
      </c>
      <c r="J509" s="52">
        <f t="shared" si="127"/>
        <v>26080</v>
      </c>
      <c r="K509" s="49">
        <f t="shared" si="134"/>
        <v>6432</v>
      </c>
      <c r="L509" s="50">
        <f t="shared" si="135"/>
        <v>6044</v>
      </c>
      <c r="M509" s="526">
        <v>322</v>
      </c>
      <c r="N509" s="526">
        <v>325</v>
      </c>
      <c r="O509" s="526">
        <v>329</v>
      </c>
      <c r="P509" s="526">
        <v>309</v>
      </c>
      <c r="Q509" s="526">
        <v>371</v>
      </c>
      <c r="R509" s="526">
        <v>402</v>
      </c>
      <c r="S509" s="526">
        <v>381</v>
      </c>
      <c r="T509" s="526">
        <v>384</v>
      </c>
      <c r="U509" s="526">
        <v>350</v>
      </c>
      <c r="V509" s="526">
        <v>355</v>
      </c>
      <c r="W509" s="526">
        <v>378</v>
      </c>
      <c r="X509" s="526">
        <v>405</v>
      </c>
      <c r="Y509" s="526">
        <v>360</v>
      </c>
      <c r="Z509" s="526">
        <v>363</v>
      </c>
      <c r="AA509" s="526">
        <v>375</v>
      </c>
      <c r="AB509" s="526">
        <v>379</v>
      </c>
      <c r="AC509" s="526">
        <v>337</v>
      </c>
      <c r="AD509" s="526">
        <v>307</v>
      </c>
      <c r="AE509" s="526">
        <v>319</v>
      </c>
      <c r="AF509" s="526">
        <v>333</v>
      </c>
      <c r="AG509" s="526">
        <v>297</v>
      </c>
      <c r="AH509" s="526">
        <v>289</v>
      </c>
      <c r="AI509" s="526">
        <v>333</v>
      </c>
      <c r="AJ509" s="526">
        <v>329</v>
      </c>
      <c r="AK509" s="526">
        <v>314</v>
      </c>
      <c r="AL509" s="526">
        <v>356</v>
      </c>
      <c r="AM509" s="526">
        <v>342</v>
      </c>
      <c r="AN509" s="526">
        <v>329</v>
      </c>
      <c r="AO509" s="526">
        <v>375</v>
      </c>
      <c r="AP509" s="526">
        <v>373</v>
      </c>
      <c r="AQ509" s="526">
        <v>362</v>
      </c>
      <c r="AR509" s="526">
        <v>382</v>
      </c>
      <c r="AS509" s="526">
        <v>390</v>
      </c>
      <c r="AT509" s="526">
        <v>371</v>
      </c>
      <c r="AU509" s="526">
        <v>386</v>
      </c>
      <c r="AV509" s="526">
        <v>397</v>
      </c>
      <c r="AW509" s="526">
        <v>396</v>
      </c>
      <c r="AX509" s="526">
        <v>417</v>
      </c>
      <c r="AY509" s="526">
        <v>405</v>
      </c>
      <c r="AZ509" s="526">
        <v>353</v>
      </c>
      <c r="BA509" s="526">
        <v>345</v>
      </c>
      <c r="BB509" s="526">
        <v>368</v>
      </c>
      <c r="BC509" s="526">
        <v>386</v>
      </c>
      <c r="BD509" s="526">
        <v>340</v>
      </c>
      <c r="BE509" s="526">
        <v>284</v>
      </c>
      <c r="BF509" s="526">
        <v>280</v>
      </c>
      <c r="BG509" s="526">
        <v>319</v>
      </c>
      <c r="BH509" s="526">
        <v>331</v>
      </c>
      <c r="BI509" s="526">
        <v>303</v>
      </c>
      <c r="BJ509" s="526">
        <v>340</v>
      </c>
      <c r="BK509" s="526">
        <v>362</v>
      </c>
      <c r="BL509" s="526">
        <v>394</v>
      </c>
      <c r="BM509" s="526">
        <v>378</v>
      </c>
      <c r="BN509" s="526">
        <v>423</v>
      </c>
      <c r="BO509" s="526">
        <v>387</v>
      </c>
      <c r="BP509" s="526">
        <v>385</v>
      </c>
      <c r="BQ509" s="526">
        <v>419</v>
      </c>
      <c r="BR509" s="526">
        <v>416</v>
      </c>
      <c r="BS509" s="526">
        <v>421</v>
      </c>
      <c r="BT509" s="526">
        <v>381</v>
      </c>
      <c r="BU509" s="526">
        <v>405</v>
      </c>
      <c r="BV509" s="526">
        <v>379</v>
      </c>
      <c r="BW509" s="526">
        <v>383</v>
      </c>
      <c r="BX509" s="526">
        <v>405</v>
      </c>
      <c r="BY509" s="526">
        <v>393</v>
      </c>
      <c r="BZ509" s="526">
        <v>324</v>
      </c>
      <c r="CA509" s="526">
        <v>306</v>
      </c>
      <c r="CB509" s="526">
        <v>295</v>
      </c>
      <c r="CC509" s="526">
        <v>323</v>
      </c>
      <c r="CD509" s="526">
        <v>301</v>
      </c>
      <c r="CE509" s="526">
        <v>295</v>
      </c>
      <c r="CF509" s="526">
        <v>300</v>
      </c>
      <c r="CG509" s="526">
        <v>276</v>
      </c>
      <c r="CH509" s="526">
        <v>314</v>
      </c>
      <c r="CI509" s="526">
        <v>295</v>
      </c>
      <c r="CJ509" s="526">
        <v>264</v>
      </c>
      <c r="CK509" s="526">
        <v>208</v>
      </c>
      <c r="CL509" s="526">
        <v>225</v>
      </c>
      <c r="CM509" s="526">
        <v>219</v>
      </c>
      <c r="CN509" s="526">
        <v>190</v>
      </c>
      <c r="CO509" s="526">
        <v>177</v>
      </c>
      <c r="CP509" s="526">
        <v>123</v>
      </c>
      <c r="CQ509" s="526">
        <v>131</v>
      </c>
      <c r="CR509" s="526">
        <v>119</v>
      </c>
      <c r="CS509" s="526">
        <v>109</v>
      </c>
      <c r="CT509" s="526">
        <v>95</v>
      </c>
      <c r="CU509" s="526">
        <v>84</v>
      </c>
      <c r="CV509" s="526">
        <v>76</v>
      </c>
      <c r="CW509" s="526">
        <v>50</v>
      </c>
      <c r="CX509" s="526">
        <v>44</v>
      </c>
      <c r="CY509" s="526">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
      <c r="A510" s="30" t="s">
        <v>68</v>
      </c>
      <c r="B510" s="1" t="s">
        <v>576</v>
      </c>
      <c r="C510" s="29" t="str">
        <f t="shared" si="125"/>
        <v>LA Wales - Monmouthshire</v>
      </c>
      <c r="D510" s="50">
        <f t="shared" si="129"/>
        <v>40516</v>
      </c>
      <c r="E510" s="50">
        <f t="shared" si="130"/>
        <v>42738</v>
      </c>
      <c r="F510" s="51">
        <f t="shared" si="131"/>
        <v>93886</v>
      </c>
      <c r="G510" s="51">
        <f t="shared" si="132"/>
        <v>46037</v>
      </c>
      <c r="H510" s="52">
        <f t="shared" si="133"/>
        <v>47849</v>
      </c>
      <c r="I510" s="52">
        <f t="shared" si="128"/>
        <v>40516</v>
      </c>
      <c r="J510" s="52">
        <f t="shared" si="127"/>
        <v>42738</v>
      </c>
      <c r="K510" s="49">
        <f t="shared" si="134"/>
        <v>8777</v>
      </c>
      <c r="L510" s="50">
        <f t="shared" si="135"/>
        <v>8126</v>
      </c>
      <c r="M510" s="526">
        <v>377</v>
      </c>
      <c r="N510" s="526">
        <v>383</v>
      </c>
      <c r="O510" s="526">
        <v>404</v>
      </c>
      <c r="P510" s="526">
        <v>394</v>
      </c>
      <c r="Q510" s="526">
        <v>447</v>
      </c>
      <c r="R510" s="526">
        <v>478</v>
      </c>
      <c r="S510" s="526">
        <v>490</v>
      </c>
      <c r="T510" s="526">
        <v>485</v>
      </c>
      <c r="U510" s="526">
        <v>489</v>
      </c>
      <c r="V510" s="526">
        <v>501</v>
      </c>
      <c r="W510" s="526">
        <v>531</v>
      </c>
      <c r="X510" s="526">
        <v>542</v>
      </c>
      <c r="Y510" s="526">
        <v>515</v>
      </c>
      <c r="Z510" s="526">
        <v>563</v>
      </c>
      <c r="AA510" s="526">
        <v>550</v>
      </c>
      <c r="AB510" s="526">
        <v>559</v>
      </c>
      <c r="AC510" s="526">
        <v>524</v>
      </c>
      <c r="AD510" s="526">
        <v>545</v>
      </c>
      <c r="AE510" s="526">
        <v>490</v>
      </c>
      <c r="AF510" s="526">
        <v>319</v>
      </c>
      <c r="AG510" s="526">
        <v>335</v>
      </c>
      <c r="AH510" s="526">
        <v>372</v>
      </c>
      <c r="AI510" s="526">
        <v>418</v>
      </c>
      <c r="AJ510" s="526">
        <v>441</v>
      </c>
      <c r="AK510" s="526">
        <v>398</v>
      </c>
      <c r="AL510" s="526">
        <v>495</v>
      </c>
      <c r="AM510" s="526">
        <v>449</v>
      </c>
      <c r="AN510" s="526">
        <v>462</v>
      </c>
      <c r="AO510" s="526">
        <v>457</v>
      </c>
      <c r="AP510" s="526">
        <v>442</v>
      </c>
      <c r="AQ510" s="526">
        <v>500</v>
      </c>
      <c r="AR510" s="526">
        <v>537</v>
      </c>
      <c r="AS510" s="526">
        <v>477</v>
      </c>
      <c r="AT510" s="526">
        <v>516</v>
      </c>
      <c r="AU510" s="526">
        <v>453</v>
      </c>
      <c r="AV510" s="526">
        <v>485</v>
      </c>
      <c r="AW510" s="526">
        <v>490</v>
      </c>
      <c r="AX510" s="526">
        <v>484</v>
      </c>
      <c r="AY510" s="526">
        <v>482</v>
      </c>
      <c r="AZ510" s="526">
        <v>486</v>
      </c>
      <c r="BA510" s="526">
        <v>499</v>
      </c>
      <c r="BB510" s="526">
        <v>471</v>
      </c>
      <c r="BC510" s="526">
        <v>509</v>
      </c>
      <c r="BD510" s="526">
        <v>520</v>
      </c>
      <c r="BE510" s="526">
        <v>463</v>
      </c>
      <c r="BF510" s="526">
        <v>519</v>
      </c>
      <c r="BG510" s="526">
        <v>496</v>
      </c>
      <c r="BH510" s="526">
        <v>549</v>
      </c>
      <c r="BI510" s="526">
        <v>538</v>
      </c>
      <c r="BJ510" s="526">
        <v>592</v>
      </c>
      <c r="BK510" s="526">
        <v>667</v>
      </c>
      <c r="BL510" s="526">
        <v>708</v>
      </c>
      <c r="BM510" s="526">
        <v>648</v>
      </c>
      <c r="BN510" s="526">
        <v>693</v>
      </c>
      <c r="BO510" s="526">
        <v>749</v>
      </c>
      <c r="BP510" s="526">
        <v>752</v>
      </c>
      <c r="BQ510" s="526">
        <v>784</v>
      </c>
      <c r="BR510" s="526">
        <v>766</v>
      </c>
      <c r="BS510" s="526">
        <v>756</v>
      </c>
      <c r="BT510" s="526">
        <v>782</v>
      </c>
      <c r="BU510" s="526">
        <v>721</v>
      </c>
      <c r="BV510" s="526">
        <v>717</v>
      </c>
      <c r="BW510" s="526">
        <v>665</v>
      </c>
      <c r="BX510" s="526">
        <v>635</v>
      </c>
      <c r="BY510" s="526">
        <v>685</v>
      </c>
      <c r="BZ510" s="526">
        <v>628</v>
      </c>
      <c r="CA510" s="526">
        <v>575</v>
      </c>
      <c r="CB510" s="526">
        <v>602</v>
      </c>
      <c r="CC510" s="526">
        <v>554</v>
      </c>
      <c r="CD510" s="526">
        <v>603</v>
      </c>
      <c r="CE510" s="526">
        <v>611</v>
      </c>
      <c r="CF510" s="526">
        <v>578</v>
      </c>
      <c r="CG510" s="526">
        <v>625</v>
      </c>
      <c r="CH510" s="526">
        <v>605</v>
      </c>
      <c r="CI510" s="526">
        <v>606</v>
      </c>
      <c r="CJ510" s="526">
        <v>658</v>
      </c>
      <c r="CK510" s="526">
        <v>487</v>
      </c>
      <c r="CL510" s="526">
        <v>470</v>
      </c>
      <c r="CM510" s="526">
        <v>490</v>
      </c>
      <c r="CN510" s="526">
        <v>437</v>
      </c>
      <c r="CO510" s="526">
        <v>368</v>
      </c>
      <c r="CP510" s="526">
        <v>310</v>
      </c>
      <c r="CQ510" s="526">
        <v>342</v>
      </c>
      <c r="CR510" s="526">
        <v>275</v>
      </c>
      <c r="CS510" s="526">
        <v>241</v>
      </c>
      <c r="CT510" s="526">
        <v>224</v>
      </c>
      <c r="CU510" s="526">
        <v>217</v>
      </c>
      <c r="CV510" s="526">
        <v>168</v>
      </c>
      <c r="CW510" s="526">
        <v>170</v>
      </c>
      <c r="CX510" s="526">
        <v>145</v>
      </c>
      <c r="CY510" s="526">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
      <c r="A511" s="30" t="s">
        <v>68</v>
      </c>
      <c r="B511" s="1" t="s">
        <v>577</v>
      </c>
      <c r="C511" s="29" t="str">
        <f t="shared" si="125"/>
        <v>LA Wales - Neath Port Talbot</v>
      </c>
      <c r="D511" s="50">
        <f t="shared" si="129"/>
        <v>60406</v>
      </c>
      <c r="E511" s="50">
        <f t="shared" si="130"/>
        <v>63656</v>
      </c>
      <c r="F511" s="51">
        <f t="shared" si="131"/>
        <v>142158</v>
      </c>
      <c r="G511" s="51">
        <f t="shared" si="132"/>
        <v>69635</v>
      </c>
      <c r="H511" s="52">
        <f t="shared" si="133"/>
        <v>72523</v>
      </c>
      <c r="I511" s="52">
        <f t="shared" si="128"/>
        <v>60406</v>
      </c>
      <c r="J511" s="52">
        <f t="shared" si="127"/>
        <v>63656</v>
      </c>
      <c r="K511" s="49">
        <f t="shared" si="134"/>
        <v>14370</v>
      </c>
      <c r="L511" s="50">
        <f t="shared" si="135"/>
        <v>13791</v>
      </c>
      <c r="M511" s="526">
        <v>636</v>
      </c>
      <c r="N511" s="526">
        <v>642</v>
      </c>
      <c r="O511" s="526">
        <v>647</v>
      </c>
      <c r="P511" s="526">
        <v>707</v>
      </c>
      <c r="Q511" s="526">
        <v>762</v>
      </c>
      <c r="R511" s="526">
        <v>761</v>
      </c>
      <c r="S511" s="526">
        <v>825</v>
      </c>
      <c r="T511" s="526">
        <v>811</v>
      </c>
      <c r="U511" s="526">
        <v>818</v>
      </c>
      <c r="V511" s="526">
        <v>783</v>
      </c>
      <c r="W511" s="526">
        <v>915</v>
      </c>
      <c r="X511" s="526">
        <v>922</v>
      </c>
      <c r="Y511" s="526">
        <v>869</v>
      </c>
      <c r="Z511" s="526">
        <v>864</v>
      </c>
      <c r="AA511" s="526">
        <v>873</v>
      </c>
      <c r="AB511" s="526">
        <v>854</v>
      </c>
      <c r="AC511" s="526">
        <v>858</v>
      </c>
      <c r="AD511" s="526">
        <v>823</v>
      </c>
      <c r="AE511" s="526">
        <v>958</v>
      </c>
      <c r="AF511" s="526">
        <v>1502</v>
      </c>
      <c r="AG511" s="526">
        <v>878</v>
      </c>
      <c r="AH511" s="526">
        <v>667</v>
      </c>
      <c r="AI511" s="526">
        <v>607</v>
      </c>
      <c r="AJ511" s="526">
        <v>701</v>
      </c>
      <c r="AK511" s="526">
        <v>688</v>
      </c>
      <c r="AL511" s="526">
        <v>776</v>
      </c>
      <c r="AM511" s="526">
        <v>789</v>
      </c>
      <c r="AN511" s="526">
        <v>806</v>
      </c>
      <c r="AO511" s="526">
        <v>797</v>
      </c>
      <c r="AP511" s="526">
        <v>829</v>
      </c>
      <c r="AQ511" s="526">
        <v>904</v>
      </c>
      <c r="AR511" s="526">
        <v>851</v>
      </c>
      <c r="AS511" s="526">
        <v>855</v>
      </c>
      <c r="AT511" s="526">
        <v>855</v>
      </c>
      <c r="AU511" s="526">
        <v>825</v>
      </c>
      <c r="AV511" s="526">
        <v>845</v>
      </c>
      <c r="AW511" s="526">
        <v>903</v>
      </c>
      <c r="AX511" s="526">
        <v>859</v>
      </c>
      <c r="AY511" s="526">
        <v>868</v>
      </c>
      <c r="AZ511" s="526">
        <v>830</v>
      </c>
      <c r="BA511" s="526">
        <v>830</v>
      </c>
      <c r="BB511" s="526">
        <v>850</v>
      </c>
      <c r="BC511" s="526">
        <v>826</v>
      </c>
      <c r="BD511" s="526">
        <v>853</v>
      </c>
      <c r="BE511" s="526">
        <v>809</v>
      </c>
      <c r="BF511" s="526">
        <v>756</v>
      </c>
      <c r="BG511" s="526">
        <v>746</v>
      </c>
      <c r="BH511" s="526">
        <v>825</v>
      </c>
      <c r="BI511" s="526">
        <v>777</v>
      </c>
      <c r="BJ511" s="526">
        <v>849</v>
      </c>
      <c r="BK511" s="526">
        <v>862</v>
      </c>
      <c r="BL511" s="526">
        <v>954</v>
      </c>
      <c r="BM511" s="526">
        <v>904</v>
      </c>
      <c r="BN511" s="526">
        <v>948</v>
      </c>
      <c r="BO511" s="526">
        <v>1003</v>
      </c>
      <c r="BP511" s="526">
        <v>945</v>
      </c>
      <c r="BQ511" s="526">
        <v>984</v>
      </c>
      <c r="BR511" s="526">
        <v>991</v>
      </c>
      <c r="BS511" s="526">
        <v>1043</v>
      </c>
      <c r="BT511" s="526">
        <v>992</v>
      </c>
      <c r="BU511" s="526">
        <v>975</v>
      </c>
      <c r="BV511" s="526">
        <v>943</v>
      </c>
      <c r="BW511" s="526">
        <v>960</v>
      </c>
      <c r="BX511" s="526">
        <v>888</v>
      </c>
      <c r="BY511" s="526">
        <v>1006</v>
      </c>
      <c r="BZ511" s="526">
        <v>870</v>
      </c>
      <c r="CA511" s="526">
        <v>796</v>
      </c>
      <c r="CB511" s="526">
        <v>802</v>
      </c>
      <c r="CC511" s="526">
        <v>793</v>
      </c>
      <c r="CD511" s="526">
        <v>815</v>
      </c>
      <c r="CE511" s="526">
        <v>772</v>
      </c>
      <c r="CF511" s="526">
        <v>725</v>
      </c>
      <c r="CG511" s="526">
        <v>778</v>
      </c>
      <c r="CH511" s="526">
        <v>746</v>
      </c>
      <c r="CI511" s="526">
        <v>847</v>
      </c>
      <c r="CJ511" s="526">
        <v>799</v>
      </c>
      <c r="CK511" s="526">
        <v>579</v>
      </c>
      <c r="CL511" s="526">
        <v>577</v>
      </c>
      <c r="CM511" s="526">
        <v>556</v>
      </c>
      <c r="CN511" s="526">
        <v>505</v>
      </c>
      <c r="CO511" s="526">
        <v>452</v>
      </c>
      <c r="CP511" s="526">
        <v>360</v>
      </c>
      <c r="CQ511" s="526">
        <v>384</v>
      </c>
      <c r="CR511" s="526">
        <v>318</v>
      </c>
      <c r="CS511" s="526">
        <v>294</v>
      </c>
      <c r="CT511" s="526">
        <v>260</v>
      </c>
      <c r="CU511" s="526">
        <v>226</v>
      </c>
      <c r="CV511" s="526">
        <v>183</v>
      </c>
      <c r="CW511" s="526">
        <v>177</v>
      </c>
      <c r="CX511" s="526">
        <v>127</v>
      </c>
      <c r="CY511" s="526">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
      <c r="A512" s="30" t="s">
        <v>68</v>
      </c>
      <c r="B512" s="1" t="s">
        <v>578</v>
      </c>
      <c r="C512" s="29" t="str">
        <f t="shared" si="125"/>
        <v>LA Wales - Newport</v>
      </c>
      <c r="D512" s="50">
        <f t="shared" si="129"/>
        <v>67175</v>
      </c>
      <c r="E512" s="50">
        <f t="shared" si="130"/>
        <v>69835</v>
      </c>
      <c r="F512" s="51">
        <f t="shared" si="131"/>
        <v>161506</v>
      </c>
      <c r="G512" s="51">
        <f t="shared" si="132"/>
        <v>79686</v>
      </c>
      <c r="H512" s="52">
        <f t="shared" si="133"/>
        <v>81820</v>
      </c>
      <c r="I512" s="52">
        <f t="shared" si="128"/>
        <v>67175</v>
      </c>
      <c r="J512" s="52">
        <f t="shared" si="127"/>
        <v>69835</v>
      </c>
      <c r="K512" s="49">
        <f t="shared" si="134"/>
        <v>18647</v>
      </c>
      <c r="L512" s="50">
        <f t="shared" si="135"/>
        <v>17902</v>
      </c>
      <c r="M512" s="526">
        <v>1002</v>
      </c>
      <c r="N512" s="526">
        <v>958</v>
      </c>
      <c r="O512" s="526">
        <v>993</v>
      </c>
      <c r="P512" s="526">
        <v>1033</v>
      </c>
      <c r="Q512" s="526">
        <v>1002</v>
      </c>
      <c r="R512" s="526">
        <v>1014</v>
      </c>
      <c r="S512" s="526">
        <v>1196</v>
      </c>
      <c r="T512" s="526">
        <v>1083</v>
      </c>
      <c r="U512" s="526">
        <v>1043</v>
      </c>
      <c r="V512" s="526">
        <v>1089</v>
      </c>
      <c r="W512" s="526">
        <v>1039</v>
      </c>
      <c r="X512" s="526">
        <v>1059</v>
      </c>
      <c r="Y512" s="526">
        <v>1048</v>
      </c>
      <c r="Z512" s="526">
        <v>1123</v>
      </c>
      <c r="AA512" s="526">
        <v>1128</v>
      </c>
      <c r="AB512" s="526">
        <v>945</v>
      </c>
      <c r="AC512" s="526">
        <v>940</v>
      </c>
      <c r="AD512" s="526">
        <v>952</v>
      </c>
      <c r="AE512" s="526">
        <v>969</v>
      </c>
      <c r="AF512" s="526">
        <v>782</v>
      </c>
      <c r="AG512" s="526">
        <v>699</v>
      </c>
      <c r="AH512" s="526">
        <v>774</v>
      </c>
      <c r="AI512" s="526">
        <v>881</v>
      </c>
      <c r="AJ512" s="526">
        <v>985</v>
      </c>
      <c r="AK512" s="526">
        <v>959</v>
      </c>
      <c r="AL512" s="526">
        <v>1027</v>
      </c>
      <c r="AM512" s="526">
        <v>1005</v>
      </c>
      <c r="AN512" s="526">
        <v>1020</v>
      </c>
      <c r="AO512" s="526">
        <v>1076</v>
      </c>
      <c r="AP512" s="526">
        <v>1245</v>
      </c>
      <c r="AQ512" s="526">
        <v>1220</v>
      </c>
      <c r="AR512" s="526">
        <v>1265</v>
      </c>
      <c r="AS512" s="526">
        <v>1169</v>
      </c>
      <c r="AT512" s="526">
        <v>1279</v>
      </c>
      <c r="AU512" s="526">
        <v>1332</v>
      </c>
      <c r="AV512" s="526">
        <v>1215</v>
      </c>
      <c r="AW512" s="526">
        <v>1185</v>
      </c>
      <c r="AX512" s="526">
        <v>1259</v>
      </c>
      <c r="AY512" s="526">
        <v>1143</v>
      </c>
      <c r="AZ512" s="526">
        <v>1017</v>
      </c>
      <c r="BA512" s="526">
        <v>1038</v>
      </c>
      <c r="BB512" s="526">
        <v>1044</v>
      </c>
      <c r="BC512" s="526">
        <v>1120</v>
      </c>
      <c r="BD512" s="526">
        <v>1055</v>
      </c>
      <c r="BE512" s="526">
        <v>942</v>
      </c>
      <c r="BF512" s="526">
        <v>907</v>
      </c>
      <c r="BG512" s="526">
        <v>917</v>
      </c>
      <c r="BH512" s="526">
        <v>953</v>
      </c>
      <c r="BI512" s="526">
        <v>944</v>
      </c>
      <c r="BJ512" s="526">
        <v>996</v>
      </c>
      <c r="BK512" s="526">
        <v>980</v>
      </c>
      <c r="BL512" s="526">
        <v>1095</v>
      </c>
      <c r="BM512" s="526">
        <v>1067</v>
      </c>
      <c r="BN512" s="526">
        <v>1100</v>
      </c>
      <c r="BO512" s="526">
        <v>948</v>
      </c>
      <c r="BP512" s="526">
        <v>1070</v>
      </c>
      <c r="BQ512" s="526">
        <v>1067</v>
      </c>
      <c r="BR512" s="526">
        <v>1053</v>
      </c>
      <c r="BS512" s="526">
        <v>1041</v>
      </c>
      <c r="BT512" s="526">
        <v>1021</v>
      </c>
      <c r="BU512" s="526">
        <v>935</v>
      </c>
      <c r="BV512" s="526">
        <v>982</v>
      </c>
      <c r="BW512" s="526">
        <v>893</v>
      </c>
      <c r="BX512" s="526">
        <v>964</v>
      </c>
      <c r="BY512" s="526">
        <v>829</v>
      </c>
      <c r="BZ512" s="526">
        <v>800</v>
      </c>
      <c r="CA512" s="526">
        <v>680</v>
      </c>
      <c r="CB512" s="526">
        <v>675</v>
      </c>
      <c r="CC512" s="526">
        <v>724</v>
      </c>
      <c r="CD512" s="526">
        <v>751</v>
      </c>
      <c r="CE512" s="526">
        <v>678</v>
      </c>
      <c r="CF512" s="526">
        <v>607</v>
      </c>
      <c r="CG512" s="526">
        <v>654</v>
      </c>
      <c r="CH512" s="526">
        <v>620</v>
      </c>
      <c r="CI512" s="526">
        <v>701</v>
      </c>
      <c r="CJ512" s="526">
        <v>753</v>
      </c>
      <c r="CK512" s="526">
        <v>517</v>
      </c>
      <c r="CL512" s="526">
        <v>519</v>
      </c>
      <c r="CM512" s="526">
        <v>492</v>
      </c>
      <c r="CN512" s="526">
        <v>470</v>
      </c>
      <c r="CO512" s="526">
        <v>374</v>
      </c>
      <c r="CP512" s="526">
        <v>319</v>
      </c>
      <c r="CQ512" s="526">
        <v>324</v>
      </c>
      <c r="CR512" s="526">
        <v>314</v>
      </c>
      <c r="CS512" s="526">
        <v>256</v>
      </c>
      <c r="CT512" s="526">
        <v>240</v>
      </c>
      <c r="CU512" s="526">
        <v>230</v>
      </c>
      <c r="CV512" s="526">
        <v>172</v>
      </c>
      <c r="CW512" s="526">
        <v>142</v>
      </c>
      <c r="CX512" s="526">
        <v>117</v>
      </c>
      <c r="CY512" s="526">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
      <c r="A513" s="30" t="s">
        <v>68</v>
      </c>
      <c r="B513" s="1" t="s">
        <v>579</v>
      </c>
      <c r="C513" s="29" t="str">
        <f t="shared" si="125"/>
        <v>LA Wales - Pembrokeshire</v>
      </c>
      <c r="D513" s="50">
        <f t="shared" si="129"/>
        <v>52902</v>
      </c>
      <c r="E513" s="50">
        <f t="shared" si="130"/>
        <v>56440</v>
      </c>
      <c r="F513" s="51">
        <f t="shared" si="131"/>
        <v>124367</v>
      </c>
      <c r="G513" s="51">
        <f t="shared" si="132"/>
        <v>60607</v>
      </c>
      <c r="H513" s="52">
        <f t="shared" si="133"/>
        <v>63760</v>
      </c>
      <c r="I513" s="52">
        <f t="shared" si="128"/>
        <v>52902</v>
      </c>
      <c r="J513" s="52">
        <f t="shared" si="127"/>
        <v>56440</v>
      </c>
      <c r="K513" s="49">
        <f t="shared" si="134"/>
        <v>12099</v>
      </c>
      <c r="L513" s="50">
        <f t="shared" si="135"/>
        <v>11440</v>
      </c>
      <c r="M513" s="526">
        <v>547</v>
      </c>
      <c r="N513" s="526">
        <v>541</v>
      </c>
      <c r="O513" s="526">
        <v>560</v>
      </c>
      <c r="P513" s="526">
        <v>587</v>
      </c>
      <c r="Q513" s="526">
        <v>646</v>
      </c>
      <c r="R513" s="526">
        <v>630</v>
      </c>
      <c r="S513" s="526">
        <v>657</v>
      </c>
      <c r="T513" s="526">
        <v>695</v>
      </c>
      <c r="U513" s="526">
        <v>700</v>
      </c>
      <c r="V513" s="526">
        <v>693</v>
      </c>
      <c r="W513" s="526">
        <v>704</v>
      </c>
      <c r="X513" s="526">
        <v>745</v>
      </c>
      <c r="Y513" s="526">
        <v>723</v>
      </c>
      <c r="Z513" s="526">
        <v>691</v>
      </c>
      <c r="AA513" s="526">
        <v>785</v>
      </c>
      <c r="AB513" s="526">
        <v>690</v>
      </c>
      <c r="AC513" s="526">
        <v>779</v>
      </c>
      <c r="AD513" s="526">
        <v>726</v>
      </c>
      <c r="AE513" s="526">
        <v>659</v>
      </c>
      <c r="AF513" s="526">
        <v>545</v>
      </c>
      <c r="AG513" s="526">
        <v>505</v>
      </c>
      <c r="AH513" s="526">
        <v>573</v>
      </c>
      <c r="AI513" s="526">
        <v>608</v>
      </c>
      <c r="AJ513" s="526">
        <v>603</v>
      </c>
      <c r="AK513" s="526">
        <v>650</v>
      </c>
      <c r="AL513" s="526">
        <v>681</v>
      </c>
      <c r="AM513" s="526">
        <v>604</v>
      </c>
      <c r="AN513" s="526">
        <v>539</v>
      </c>
      <c r="AO513" s="526">
        <v>615</v>
      </c>
      <c r="AP513" s="526">
        <v>649</v>
      </c>
      <c r="AQ513" s="526">
        <v>715</v>
      </c>
      <c r="AR513" s="526">
        <v>687</v>
      </c>
      <c r="AS513" s="526">
        <v>631</v>
      </c>
      <c r="AT513" s="526">
        <v>601</v>
      </c>
      <c r="AU513" s="526">
        <v>686</v>
      </c>
      <c r="AV513" s="526">
        <v>659</v>
      </c>
      <c r="AW513" s="526">
        <v>623</v>
      </c>
      <c r="AX513" s="526">
        <v>623</v>
      </c>
      <c r="AY513" s="526">
        <v>614</v>
      </c>
      <c r="AZ513" s="526">
        <v>608</v>
      </c>
      <c r="BA513" s="526">
        <v>609</v>
      </c>
      <c r="BB513" s="526">
        <v>629</v>
      </c>
      <c r="BC513" s="526">
        <v>647</v>
      </c>
      <c r="BD513" s="526">
        <v>626</v>
      </c>
      <c r="BE513" s="526">
        <v>583</v>
      </c>
      <c r="BF513" s="526">
        <v>542</v>
      </c>
      <c r="BG513" s="526">
        <v>580</v>
      </c>
      <c r="BH513" s="526">
        <v>603</v>
      </c>
      <c r="BI513" s="526">
        <v>639</v>
      </c>
      <c r="BJ513" s="526">
        <v>703</v>
      </c>
      <c r="BK513" s="526">
        <v>754</v>
      </c>
      <c r="BL513" s="526">
        <v>757</v>
      </c>
      <c r="BM513" s="526">
        <v>818</v>
      </c>
      <c r="BN513" s="526">
        <v>808</v>
      </c>
      <c r="BO513" s="526">
        <v>855</v>
      </c>
      <c r="BP513" s="526">
        <v>905</v>
      </c>
      <c r="BQ513" s="526">
        <v>926</v>
      </c>
      <c r="BR513" s="526">
        <v>915</v>
      </c>
      <c r="BS513" s="526">
        <v>887</v>
      </c>
      <c r="BT513" s="526">
        <v>1009</v>
      </c>
      <c r="BU513" s="526">
        <v>967</v>
      </c>
      <c r="BV513" s="526">
        <v>914</v>
      </c>
      <c r="BW513" s="526">
        <v>904</v>
      </c>
      <c r="BX513" s="526">
        <v>952</v>
      </c>
      <c r="BY513" s="526">
        <v>893</v>
      </c>
      <c r="BZ513" s="526">
        <v>866</v>
      </c>
      <c r="CA513" s="526">
        <v>855</v>
      </c>
      <c r="CB513" s="526">
        <v>857</v>
      </c>
      <c r="CC513" s="526">
        <v>882</v>
      </c>
      <c r="CD513" s="526">
        <v>875</v>
      </c>
      <c r="CE513" s="526">
        <v>807</v>
      </c>
      <c r="CF513" s="526">
        <v>838</v>
      </c>
      <c r="CG513" s="526">
        <v>832</v>
      </c>
      <c r="CH513" s="526">
        <v>800</v>
      </c>
      <c r="CI513" s="526">
        <v>838</v>
      </c>
      <c r="CJ513" s="526">
        <v>882</v>
      </c>
      <c r="CK513" s="526">
        <v>614</v>
      </c>
      <c r="CL513" s="526">
        <v>659</v>
      </c>
      <c r="CM513" s="526">
        <v>627</v>
      </c>
      <c r="CN513" s="526">
        <v>545</v>
      </c>
      <c r="CO513" s="526">
        <v>490</v>
      </c>
      <c r="CP513" s="526">
        <v>469</v>
      </c>
      <c r="CQ513" s="526">
        <v>418</v>
      </c>
      <c r="CR513" s="526">
        <v>376</v>
      </c>
      <c r="CS513" s="526">
        <v>328</v>
      </c>
      <c r="CT513" s="526">
        <v>268</v>
      </c>
      <c r="CU513" s="526">
        <v>254</v>
      </c>
      <c r="CV513" s="526">
        <v>224</v>
      </c>
      <c r="CW513" s="526">
        <v>142</v>
      </c>
      <c r="CX513" s="526">
        <v>181</v>
      </c>
      <c r="CY513" s="526">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
      <c r="A514" s="30" t="s">
        <v>68</v>
      </c>
      <c r="B514" s="1" t="s">
        <v>580</v>
      </c>
      <c r="C514" s="29" t="str">
        <f t="shared" si="125"/>
        <v>LA Wales - Powys</v>
      </c>
      <c r="D514" s="50">
        <f>I514</f>
        <v>58414</v>
      </c>
      <c r="E514" s="50">
        <f>J514</f>
        <v>60474</v>
      </c>
      <c r="F514" s="51">
        <f>G514+H514</f>
        <v>133891</v>
      </c>
      <c r="G514" s="51">
        <f>SUM(M514:CY514)</f>
        <v>66153</v>
      </c>
      <c r="H514" s="52">
        <f>SUM(CZ514:GL514)</f>
        <v>67738</v>
      </c>
      <c r="I514" s="52">
        <f t="shared" si="128"/>
        <v>58414</v>
      </c>
      <c r="J514" s="52">
        <f t="shared" si="127"/>
        <v>60474</v>
      </c>
      <c r="K514" s="49">
        <f>SUM(M514:AD514)</f>
        <v>12168</v>
      </c>
      <c r="L514" s="50">
        <f>SUM(CZ514:DQ514)</f>
        <v>11383</v>
      </c>
      <c r="M514" s="526">
        <v>542</v>
      </c>
      <c r="N514" s="526">
        <v>558</v>
      </c>
      <c r="O514" s="526">
        <v>557</v>
      </c>
      <c r="P514" s="526">
        <v>623</v>
      </c>
      <c r="Q514" s="526">
        <v>680</v>
      </c>
      <c r="R514" s="526">
        <v>640</v>
      </c>
      <c r="S514" s="526">
        <v>636</v>
      </c>
      <c r="T514" s="526">
        <v>702</v>
      </c>
      <c r="U514" s="526">
        <v>710</v>
      </c>
      <c r="V514" s="526">
        <v>708</v>
      </c>
      <c r="W514" s="526">
        <v>684</v>
      </c>
      <c r="X514" s="526">
        <v>699</v>
      </c>
      <c r="Y514" s="526">
        <v>687</v>
      </c>
      <c r="Z514" s="526">
        <v>724</v>
      </c>
      <c r="AA514" s="526">
        <v>813</v>
      </c>
      <c r="AB514" s="526">
        <v>726</v>
      </c>
      <c r="AC514" s="526">
        <v>720</v>
      </c>
      <c r="AD514" s="526">
        <v>759</v>
      </c>
      <c r="AE514" s="526">
        <v>677</v>
      </c>
      <c r="AF514" s="526">
        <v>546</v>
      </c>
      <c r="AG514" s="526">
        <v>497</v>
      </c>
      <c r="AH514" s="526">
        <v>540</v>
      </c>
      <c r="AI514" s="526">
        <v>576</v>
      </c>
      <c r="AJ514" s="526">
        <v>708</v>
      </c>
      <c r="AK514" s="526">
        <v>659</v>
      </c>
      <c r="AL514" s="526">
        <v>640</v>
      </c>
      <c r="AM514" s="526">
        <v>700</v>
      </c>
      <c r="AN514" s="526">
        <v>643</v>
      </c>
      <c r="AO514" s="526">
        <v>676</v>
      </c>
      <c r="AP514" s="526">
        <v>655</v>
      </c>
      <c r="AQ514" s="526">
        <v>689</v>
      </c>
      <c r="AR514" s="526">
        <v>681</v>
      </c>
      <c r="AS514" s="526">
        <v>678</v>
      </c>
      <c r="AT514" s="526">
        <v>691</v>
      </c>
      <c r="AU514" s="526">
        <v>706</v>
      </c>
      <c r="AV514" s="526">
        <v>621</v>
      </c>
      <c r="AW514" s="526">
        <v>641</v>
      </c>
      <c r="AX514" s="526">
        <v>683</v>
      </c>
      <c r="AY514" s="526">
        <v>629</v>
      </c>
      <c r="AZ514" s="526">
        <v>628</v>
      </c>
      <c r="BA514" s="526">
        <v>668</v>
      </c>
      <c r="BB514" s="526">
        <v>643</v>
      </c>
      <c r="BC514" s="526">
        <v>674</v>
      </c>
      <c r="BD514" s="526">
        <v>652</v>
      </c>
      <c r="BE514" s="526">
        <v>622</v>
      </c>
      <c r="BF514" s="526">
        <v>638</v>
      </c>
      <c r="BG514" s="526">
        <v>646</v>
      </c>
      <c r="BH514" s="526">
        <v>721</v>
      </c>
      <c r="BI514" s="526">
        <v>733</v>
      </c>
      <c r="BJ514" s="526">
        <v>732</v>
      </c>
      <c r="BK514" s="526">
        <v>904</v>
      </c>
      <c r="BL514" s="526">
        <v>916</v>
      </c>
      <c r="BM514" s="526">
        <v>874</v>
      </c>
      <c r="BN514" s="526">
        <v>967</v>
      </c>
      <c r="BO514" s="526">
        <v>918</v>
      </c>
      <c r="BP514" s="526">
        <v>1049</v>
      </c>
      <c r="BQ514" s="526">
        <v>1027</v>
      </c>
      <c r="BR514" s="526">
        <v>1085</v>
      </c>
      <c r="BS514" s="526">
        <v>1055</v>
      </c>
      <c r="BT514" s="526">
        <v>1079</v>
      </c>
      <c r="BU514" s="526">
        <v>1083</v>
      </c>
      <c r="BV514" s="526">
        <v>1072</v>
      </c>
      <c r="BW514" s="526">
        <v>1062</v>
      </c>
      <c r="BX514" s="526">
        <v>1068</v>
      </c>
      <c r="BY514" s="526">
        <v>970</v>
      </c>
      <c r="BZ514" s="526">
        <v>1004</v>
      </c>
      <c r="CA514" s="526">
        <v>1048</v>
      </c>
      <c r="CB514" s="526">
        <v>920</v>
      </c>
      <c r="CC514" s="526">
        <v>981</v>
      </c>
      <c r="CD514" s="526">
        <v>986</v>
      </c>
      <c r="CE514" s="526">
        <v>946</v>
      </c>
      <c r="CF514" s="526">
        <v>909</v>
      </c>
      <c r="CG514" s="526">
        <v>957</v>
      </c>
      <c r="CH514" s="526">
        <v>966</v>
      </c>
      <c r="CI514" s="526">
        <v>1053</v>
      </c>
      <c r="CJ514" s="526">
        <v>1016</v>
      </c>
      <c r="CK514" s="526">
        <v>762</v>
      </c>
      <c r="CL514" s="526">
        <v>697</v>
      </c>
      <c r="CM514" s="526">
        <v>815</v>
      </c>
      <c r="CN514" s="526">
        <v>676</v>
      </c>
      <c r="CO514" s="526">
        <v>565</v>
      </c>
      <c r="CP514" s="526">
        <v>480</v>
      </c>
      <c r="CQ514" s="526">
        <v>484</v>
      </c>
      <c r="CR514" s="526">
        <v>421</v>
      </c>
      <c r="CS514" s="526">
        <v>402</v>
      </c>
      <c r="CT514" s="526">
        <v>348</v>
      </c>
      <c r="CU514" s="526">
        <v>295</v>
      </c>
      <c r="CV514" s="526">
        <v>283</v>
      </c>
      <c r="CW514" s="526">
        <v>234</v>
      </c>
      <c r="CX514" s="526">
        <v>151</v>
      </c>
      <c r="CY514" s="526">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
      <c r="A515" s="30" t="s">
        <v>68</v>
      </c>
      <c r="B515" s="1" t="s">
        <v>581</v>
      </c>
      <c r="C515" s="29" t="str">
        <f t="shared" si="125"/>
        <v>LA Wales - Rhondda Cynon Taf</v>
      </c>
      <c r="D515" s="50">
        <f t="shared" si="129"/>
        <v>100938</v>
      </c>
      <c r="E515" s="50">
        <f t="shared" si="130"/>
        <v>106111</v>
      </c>
      <c r="F515" s="51">
        <f t="shared" si="131"/>
        <v>239018</v>
      </c>
      <c r="G515" s="51">
        <f t="shared" si="132"/>
        <v>117258</v>
      </c>
      <c r="H515" s="52">
        <f t="shared" si="133"/>
        <v>121760</v>
      </c>
      <c r="I515" s="52">
        <f t="shared" si="128"/>
        <v>100938</v>
      </c>
      <c r="J515" s="52">
        <f t="shared" si="127"/>
        <v>106111</v>
      </c>
      <c r="K515" s="49">
        <f t="shared" si="134"/>
        <v>25116</v>
      </c>
      <c r="L515" s="50">
        <f t="shared" si="135"/>
        <v>24092</v>
      </c>
      <c r="M515" s="526">
        <v>1182</v>
      </c>
      <c r="N515" s="526">
        <v>1192</v>
      </c>
      <c r="O515" s="526">
        <v>1246</v>
      </c>
      <c r="P515" s="526">
        <v>1330</v>
      </c>
      <c r="Q515" s="526">
        <v>1390</v>
      </c>
      <c r="R515" s="526">
        <v>1335</v>
      </c>
      <c r="S515" s="526">
        <v>1349</v>
      </c>
      <c r="T515" s="526">
        <v>1424</v>
      </c>
      <c r="U515" s="526">
        <v>1454</v>
      </c>
      <c r="V515" s="526">
        <v>1448</v>
      </c>
      <c r="W515" s="526">
        <v>1470</v>
      </c>
      <c r="X515" s="526">
        <v>1500</v>
      </c>
      <c r="Y515" s="526">
        <v>1414</v>
      </c>
      <c r="Z515" s="526">
        <v>1599</v>
      </c>
      <c r="AA515" s="526">
        <v>1471</v>
      </c>
      <c r="AB515" s="526">
        <v>1487</v>
      </c>
      <c r="AC515" s="526">
        <v>1400</v>
      </c>
      <c r="AD515" s="526">
        <v>1425</v>
      </c>
      <c r="AE515" s="526">
        <v>1383</v>
      </c>
      <c r="AF515" s="526">
        <v>1430</v>
      </c>
      <c r="AG515" s="526">
        <v>1361</v>
      </c>
      <c r="AH515" s="526">
        <v>1470</v>
      </c>
      <c r="AI515" s="526">
        <v>1333</v>
      </c>
      <c r="AJ515" s="526">
        <v>1508</v>
      </c>
      <c r="AK515" s="526">
        <v>1349</v>
      </c>
      <c r="AL515" s="526">
        <v>1510</v>
      </c>
      <c r="AM515" s="526">
        <v>1397</v>
      </c>
      <c r="AN515" s="526">
        <v>1501</v>
      </c>
      <c r="AO515" s="526">
        <v>1440</v>
      </c>
      <c r="AP515" s="526">
        <v>1561</v>
      </c>
      <c r="AQ515" s="526">
        <v>1531</v>
      </c>
      <c r="AR515" s="526">
        <v>1507</v>
      </c>
      <c r="AS515" s="526">
        <v>1666</v>
      </c>
      <c r="AT515" s="526">
        <v>1646</v>
      </c>
      <c r="AU515" s="526">
        <v>1508</v>
      </c>
      <c r="AV515" s="526">
        <v>1576</v>
      </c>
      <c r="AW515" s="526">
        <v>1511</v>
      </c>
      <c r="AX515" s="526">
        <v>1573</v>
      </c>
      <c r="AY515" s="526">
        <v>1526</v>
      </c>
      <c r="AZ515" s="526">
        <v>1487</v>
      </c>
      <c r="BA515" s="526">
        <v>1448</v>
      </c>
      <c r="BB515" s="526">
        <v>1387</v>
      </c>
      <c r="BC515" s="526">
        <v>1473</v>
      </c>
      <c r="BD515" s="526">
        <v>1436</v>
      </c>
      <c r="BE515" s="526">
        <v>1292</v>
      </c>
      <c r="BF515" s="526">
        <v>1234</v>
      </c>
      <c r="BG515" s="526">
        <v>1228</v>
      </c>
      <c r="BH515" s="526">
        <v>1344</v>
      </c>
      <c r="BI515" s="526">
        <v>1265</v>
      </c>
      <c r="BJ515" s="526">
        <v>1525</v>
      </c>
      <c r="BK515" s="526">
        <v>1616</v>
      </c>
      <c r="BL515" s="526">
        <v>1695</v>
      </c>
      <c r="BM515" s="526">
        <v>1558</v>
      </c>
      <c r="BN515" s="526">
        <v>1611</v>
      </c>
      <c r="BO515" s="526">
        <v>1667</v>
      </c>
      <c r="BP515" s="526">
        <v>1659</v>
      </c>
      <c r="BQ515" s="526">
        <v>1692</v>
      </c>
      <c r="BR515" s="526">
        <v>1734</v>
      </c>
      <c r="BS515" s="526">
        <v>1649</v>
      </c>
      <c r="BT515" s="526">
        <v>1594</v>
      </c>
      <c r="BU515" s="526">
        <v>1607</v>
      </c>
      <c r="BV515" s="526">
        <v>1496</v>
      </c>
      <c r="BW515" s="526">
        <v>1364</v>
      </c>
      <c r="BX515" s="526">
        <v>1434</v>
      </c>
      <c r="BY515" s="526">
        <v>1372</v>
      </c>
      <c r="BZ515" s="526">
        <v>1354</v>
      </c>
      <c r="CA515" s="526">
        <v>1261</v>
      </c>
      <c r="CB515" s="526">
        <v>1184</v>
      </c>
      <c r="CC515" s="526">
        <v>1223</v>
      </c>
      <c r="CD515" s="526">
        <v>1163</v>
      </c>
      <c r="CE515" s="526">
        <v>1238</v>
      </c>
      <c r="CF515" s="526">
        <v>1171</v>
      </c>
      <c r="CG515" s="526">
        <v>1232</v>
      </c>
      <c r="CH515" s="526">
        <v>1244</v>
      </c>
      <c r="CI515" s="526">
        <v>1280</v>
      </c>
      <c r="CJ515" s="526">
        <v>1272</v>
      </c>
      <c r="CK515" s="526">
        <v>1071</v>
      </c>
      <c r="CL515" s="526">
        <v>988</v>
      </c>
      <c r="CM515" s="526">
        <v>843</v>
      </c>
      <c r="CN515" s="526">
        <v>708</v>
      </c>
      <c r="CO515" s="526">
        <v>680</v>
      </c>
      <c r="CP515" s="526">
        <v>591</v>
      </c>
      <c r="CQ515" s="526">
        <v>536</v>
      </c>
      <c r="CR515" s="526">
        <v>480</v>
      </c>
      <c r="CS515" s="526">
        <v>454</v>
      </c>
      <c r="CT515" s="526">
        <v>366</v>
      </c>
      <c r="CU515" s="526">
        <v>342</v>
      </c>
      <c r="CV515" s="526">
        <v>288</v>
      </c>
      <c r="CW515" s="526">
        <v>231</v>
      </c>
      <c r="CX515" s="526">
        <v>183</v>
      </c>
      <c r="CY515" s="526">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
      <c r="A516" s="30" t="s">
        <v>68</v>
      </c>
      <c r="B516" s="1" t="s">
        <v>582</v>
      </c>
      <c r="C516" s="29" t="str">
        <f t="shared" si="125"/>
        <v>LA Wales - Swansea</v>
      </c>
      <c r="D516" s="50">
        <f t="shared" si="129"/>
        <v>103946</v>
      </c>
      <c r="E516" s="50">
        <f t="shared" si="130"/>
        <v>107305</v>
      </c>
      <c r="F516" s="51">
        <f t="shared" si="131"/>
        <v>241282</v>
      </c>
      <c r="G516" s="51">
        <f t="shared" si="132"/>
        <v>119485</v>
      </c>
      <c r="H516" s="52">
        <f t="shared" si="133"/>
        <v>121797</v>
      </c>
      <c r="I516" s="52">
        <f t="shared" si="128"/>
        <v>103946</v>
      </c>
      <c r="J516" s="52">
        <f t="shared" si="127"/>
        <v>107305</v>
      </c>
      <c r="K516" s="49">
        <f t="shared" si="134"/>
        <v>24140</v>
      </c>
      <c r="L516" s="50">
        <f t="shared" si="135"/>
        <v>22329</v>
      </c>
      <c r="M516" s="526">
        <v>1134</v>
      </c>
      <c r="N516" s="526">
        <v>1063</v>
      </c>
      <c r="O516" s="526">
        <v>1133</v>
      </c>
      <c r="P516" s="526">
        <v>1224</v>
      </c>
      <c r="Q516" s="526">
        <v>1266</v>
      </c>
      <c r="R516" s="526">
        <v>1252</v>
      </c>
      <c r="S516" s="526">
        <v>1374</v>
      </c>
      <c r="T516" s="526">
        <v>1363</v>
      </c>
      <c r="U516" s="526">
        <v>1342</v>
      </c>
      <c r="V516" s="526">
        <v>1419</v>
      </c>
      <c r="W516" s="526">
        <v>1459</v>
      </c>
      <c r="X516" s="526">
        <v>1510</v>
      </c>
      <c r="Y516" s="526">
        <v>1407</v>
      </c>
      <c r="Z516" s="526">
        <v>1464</v>
      </c>
      <c r="AA516" s="526">
        <v>1527</v>
      </c>
      <c r="AB516" s="526">
        <v>1392</v>
      </c>
      <c r="AC516" s="526">
        <v>1385</v>
      </c>
      <c r="AD516" s="526">
        <v>1426</v>
      </c>
      <c r="AE516" s="526">
        <v>1459</v>
      </c>
      <c r="AF516" s="526">
        <v>1896</v>
      </c>
      <c r="AG516" s="526">
        <v>2522</v>
      </c>
      <c r="AH516" s="526">
        <v>2615</v>
      </c>
      <c r="AI516" s="526">
        <v>2280</v>
      </c>
      <c r="AJ516" s="526">
        <v>1910</v>
      </c>
      <c r="AK516" s="526">
        <v>1501</v>
      </c>
      <c r="AL516" s="526">
        <v>1507</v>
      </c>
      <c r="AM516" s="526">
        <v>1486</v>
      </c>
      <c r="AN516" s="526">
        <v>1351</v>
      </c>
      <c r="AO516" s="526">
        <v>1422</v>
      </c>
      <c r="AP516" s="526">
        <v>1448</v>
      </c>
      <c r="AQ516" s="526">
        <v>1520</v>
      </c>
      <c r="AR516" s="526">
        <v>1551</v>
      </c>
      <c r="AS516" s="526">
        <v>1644</v>
      </c>
      <c r="AT516" s="526">
        <v>1442</v>
      </c>
      <c r="AU516" s="526">
        <v>1501</v>
      </c>
      <c r="AV516" s="526">
        <v>1514</v>
      </c>
      <c r="AW516" s="526">
        <v>1498</v>
      </c>
      <c r="AX516" s="526">
        <v>1597</v>
      </c>
      <c r="AY516" s="526">
        <v>1396</v>
      </c>
      <c r="AZ516" s="526">
        <v>1455</v>
      </c>
      <c r="BA516" s="526">
        <v>1397</v>
      </c>
      <c r="BB516" s="526">
        <v>1417</v>
      </c>
      <c r="BC516" s="526">
        <v>1584</v>
      </c>
      <c r="BD516" s="526">
        <v>1343</v>
      </c>
      <c r="BE516" s="526">
        <v>1273</v>
      </c>
      <c r="BF516" s="526">
        <v>1289</v>
      </c>
      <c r="BG516" s="526">
        <v>1339</v>
      </c>
      <c r="BH516" s="526">
        <v>1379</v>
      </c>
      <c r="BI516" s="526">
        <v>1335</v>
      </c>
      <c r="BJ516" s="526">
        <v>1336</v>
      </c>
      <c r="BK516" s="526">
        <v>1462</v>
      </c>
      <c r="BL516" s="526">
        <v>1510</v>
      </c>
      <c r="BM516" s="526">
        <v>1509</v>
      </c>
      <c r="BN516" s="526">
        <v>1691</v>
      </c>
      <c r="BO516" s="526">
        <v>1552</v>
      </c>
      <c r="BP516" s="526">
        <v>1528</v>
      </c>
      <c r="BQ516" s="526">
        <v>1522</v>
      </c>
      <c r="BR516" s="526">
        <v>1665</v>
      </c>
      <c r="BS516" s="526">
        <v>1640</v>
      </c>
      <c r="BT516" s="526">
        <v>1484</v>
      </c>
      <c r="BU516" s="526">
        <v>1519</v>
      </c>
      <c r="BV516" s="526">
        <v>1456</v>
      </c>
      <c r="BW516" s="526">
        <v>1447</v>
      </c>
      <c r="BX516" s="526">
        <v>1394</v>
      </c>
      <c r="BY516" s="526">
        <v>1349</v>
      </c>
      <c r="BZ516" s="526">
        <v>1273</v>
      </c>
      <c r="CA516" s="526">
        <v>1240</v>
      </c>
      <c r="CB516" s="526">
        <v>1189</v>
      </c>
      <c r="CC516" s="526">
        <v>1181</v>
      </c>
      <c r="CD516" s="526">
        <v>1218</v>
      </c>
      <c r="CE516" s="526">
        <v>1171</v>
      </c>
      <c r="CF516" s="526">
        <v>1093</v>
      </c>
      <c r="CG516" s="526">
        <v>1212</v>
      </c>
      <c r="CH516" s="526">
        <v>1187</v>
      </c>
      <c r="CI516" s="526">
        <v>1233</v>
      </c>
      <c r="CJ516" s="526">
        <v>1340</v>
      </c>
      <c r="CK516" s="526">
        <v>889</v>
      </c>
      <c r="CL516" s="526">
        <v>905</v>
      </c>
      <c r="CM516" s="526">
        <v>899</v>
      </c>
      <c r="CN516" s="526">
        <v>852</v>
      </c>
      <c r="CO516" s="526">
        <v>748</v>
      </c>
      <c r="CP516" s="526">
        <v>612</v>
      </c>
      <c r="CQ516" s="526">
        <v>591</v>
      </c>
      <c r="CR516" s="526">
        <v>524</v>
      </c>
      <c r="CS516" s="526">
        <v>525</v>
      </c>
      <c r="CT516" s="526">
        <v>455</v>
      </c>
      <c r="CU516" s="526">
        <v>393</v>
      </c>
      <c r="CV516" s="526">
        <v>348</v>
      </c>
      <c r="CW516" s="526">
        <v>276</v>
      </c>
      <c r="CX516" s="526">
        <v>244</v>
      </c>
      <c r="CY516" s="526">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
      <c r="A517" s="30" t="s">
        <v>68</v>
      </c>
      <c r="B517" s="1" t="s">
        <v>583</v>
      </c>
      <c r="C517" s="29" t="str">
        <f t="shared" si="125"/>
        <v>LA Wales - Torfaen</v>
      </c>
      <c r="D517" s="50">
        <f t="shared" si="129"/>
        <v>38600</v>
      </c>
      <c r="E517" s="50">
        <f t="shared" si="130"/>
        <v>41666</v>
      </c>
      <c r="F517" s="51">
        <f t="shared" si="131"/>
        <v>92860</v>
      </c>
      <c r="G517" s="51">
        <f t="shared" si="132"/>
        <v>45114</v>
      </c>
      <c r="H517" s="52">
        <f t="shared" si="133"/>
        <v>47746</v>
      </c>
      <c r="I517" s="52">
        <f t="shared" si="128"/>
        <v>38600</v>
      </c>
      <c r="J517" s="52">
        <f t="shared" si="127"/>
        <v>41666</v>
      </c>
      <c r="K517" s="49">
        <f t="shared" si="134"/>
        <v>10040</v>
      </c>
      <c r="L517" s="50">
        <f t="shared" si="135"/>
        <v>9312</v>
      </c>
      <c r="M517" s="526">
        <v>514</v>
      </c>
      <c r="N517" s="526">
        <v>466</v>
      </c>
      <c r="O517" s="526">
        <v>537</v>
      </c>
      <c r="P517" s="526">
        <v>540</v>
      </c>
      <c r="Q517" s="526">
        <v>516</v>
      </c>
      <c r="R517" s="526">
        <v>556</v>
      </c>
      <c r="S517" s="526">
        <v>581</v>
      </c>
      <c r="T517" s="526">
        <v>514</v>
      </c>
      <c r="U517" s="526">
        <v>551</v>
      </c>
      <c r="V517" s="526">
        <v>551</v>
      </c>
      <c r="W517" s="526">
        <v>588</v>
      </c>
      <c r="X517" s="526">
        <v>600</v>
      </c>
      <c r="Y517" s="526">
        <v>586</v>
      </c>
      <c r="Z517" s="526">
        <v>625</v>
      </c>
      <c r="AA517" s="526">
        <v>581</v>
      </c>
      <c r="AB517" s="526">
        <v>557</v>
      </c>
      <c r="AC517" s="526">
        <v>592</v>
      </c>
      <c r="AD517" s="526">
        <v>585</v>
      </c>
      <c r="AE517" s="526">
        <v>488</v>
      </c>
      <c r="AF517" s="526">
        <v>425</v>
      </c>
      <c r="AG517" s="526">
        <v>404</v>
      </c>
      <c r="AH517" s="526">
        <v>418</v>
      </c>
      <c r="AI517" s="526">
        <v>438</v>
      </c>
      <c r="AJ517" s="526">
        <v>462</v>
      </c>
      <c r="AK517" s="526">
        <v>507</v>
      </c>
      <c r="AL517" s="526">
        <v>598</v>
      </c>
      <c r="AM517" s="526">
        <v>533</v>
      </c>
      <c r="AN517" s="526">
        <v>576</v>
      </c>
      <c r="AO517" s="526">
        <v>555</v>
      </c>
      <c r="AP517" s="526">
        <v>540</v>
      </c>
      <c r="AQ517" s="526">
        <v>596</v>
      </c>
      <c r="AR517" s="526">
        <v>615</v>
      </c>
      <c r="AS517" s="526">
        <v>622</v>
      </c>
      <c r="AT517" s="526">
        <v>617</v>
      </c>
      <c r="AU517" s="526">
        <v>553</v>
      </c>
      <c r="AV517" s="526">
        <v>586</v>
      </c>
      <c r="AW517" s="526">
        <v>593</v>
      </c>
      <c r="AX517" s="526">
        <v>574</v>
      </c>
      <c r="AY517" s="526">
        <v>532</v>
      </c>
      <c r="AZ517" s="526">
        <v>548</v>
      </c>
      <c r="BA517" s="526">
        <v>555</v>
      </c>
      <c r="BB517" s="526">
        <v>493</v>
      </c>
      <c r="BC517" s="526">
        <v>523</v>
      </c>
      <c r="BD517" s="526">
        <v>539</v>
      </c>
      <c r="BE517" s="526">
        <v>428</v>
      </c>
      <c r="BF517" s="526">
        <v>504</v>
      </c>
      <c r="BG517" s="526">
        <v>432</v>
      </c>
      <c r="BH517" s="526">
        <v>497</v>
      </c>
      <c r="BI517" s="526">
        <v>493</v>
      </c>
      <c r="BJ517" s="526">
        <v>561</v>
      </c>
      <c r="BK517" s="526">
        <v>569</v>
      </c>
      <c r="BL517" s="526">
        <v>636</v>
      </c>
      <c r="BM517" s="526">
        <v>634</v>
      </c>
      <c r="BN517" s="526">
        <v>601</v>
      </c>
      <c r="BO517" s="526">
        <v>597</v>
      </c>
      <c r="BP517" s="526">
        <v>623</v>
      </c>
      <c r="BQ517" s="526">
        <v>631</v>
      </c>
      <c r="BR517" s="526">
        <v>707</v>
      </c>
      <c r="BS517" s="526">
        <v>646</v>
      </c>
      <c r="BT517" s="526">
        <v>672</v>
      </c>
      <c r="BU517" s="526">
        <v>661</v>
      </c>
      <c r="BV517" s="526">
        <v>655</v>
      </c>
      <c r="BW517" s="526">
        <v>574</v>
      </c>
      <c r="BX517" s="526">
        <v>580</v>
      </c>
      <c r="BY517" s="526">
        <v>594</v>
      </c>
      <c r="BZ517" s="526">
        <v>511</v>
      </c>
      <c r="CA517" s="526">
        <v>490</v>
      </c>
      <c r="CB517" s="526">
        <v>470</v>
      </c>
      <c r="CC517" s="526">
        <v>535</v>
      </c>
      <c r="CD517" s="526">
        <v>469</v>
      </c>
      <c r="CE517" s="526">
        <v>488</v>
      </c>
      <c r="CF517" s="526">
        <v>479</v>
      </c>
      <c r="CG517" s="526">
        <v>457</v>
      </c>
      <c r="CH517" s="526">
        <v>484</v>
      </c>
      <c r="CI517" s="526">
        <v>455</v>
      </c>
      <c r="CJ517" s="526">
        <v>541</v>
      </c>
      <c r="CK517" s="526">
        <v>404</v>
      </c>
      <c r="CL517" s="526">
        <v>398</v>
      </c>
      <c r="CM517" s="526">
        <v>348</v>
      </c>
      <c r="CN517" s="526">
        <v>298</v>
      </c>
      <c r="CO517" s="526">
        <v>266</v>
      </c>
      <c r="CP517" s="526">
        <v>246</v>
      </c>
      <c r="CQ517" s="526">
        <v>224</v>
      </c>
      <c r="CR517" s="526">
        <v>223</v>
      </c>
      <c r="CS517" s="526">
        <v>187</v>
      </c>
      <c r="CT517" s="526">
        <v>157</v>
      </c>
      <c r="CU517" s="526">
        <v>143</v>
      </c>
      <c r="CV517" s="526">
        <v>129</v>
      </c>
      <c r="CW517" s="526">
        <v>118</v>
      </c>
      <c r="CX517" s="526">
        <v>110</v>
      </c>
      <c r="CY517" s="526">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
      <c r="A518" s="30" t="s">
        <v>68</v>
      </c>
      <c r="B518" s="1" t="s">
        <v>584</v>
      </c>
      <c r="C518" s="29" t="str">
        <f t="shared" si="125"/>
        <v>LA Wales - Vale of Glamorgan</v>
      </c>
      <c r="D518" s="50">
        <f t="shared" si="129"/>
        <v>55197</v>
      </c>
      <c r="E518" s="50">
        <f t="shared" si="130"/>
        <v>60244</v>
      </c>
      <c r="F518" s="51">
        <f t="shared" si="131"/>
        <v>133492</v>
      </c>
      <c r="G518" s="51">
        <f t="shared" si="132"/>
        <v>64368</v>
      </c>
      <c r="H518" s="52">
        <f t="shared" si="133"/>
        <v>69124</v>
      </c>
      <c r="I518" s="52">
        <f t="shared" si="128"/>
        <v>55197</v>
      </c>
      <c r="J518" s="52">
        <f t="shared" si="127"/>
        <v>60244</v>
      </c>
      <c r="K518" s="49">
        <f t="shared" si="134"/>
        <v>14186</v>
      </c>
      <c r="L518" s="50">
        <f t="shared" si="135"/>
        <v>13663</v>
      </c>
      <c r="M518" s="526">
        <v>642</v>
      </c>
      <c r="N518" s="526">
        <v>670</v>
      </c>
      <c r="O518" s="526">
        <v>666</v>
      </c>
      <c r="P518" s="526">
        <v>745</v>
      </c>
      <c r="Q518" s="526">
        <v>708</v>
      </c>
      <c r="R518" s="526">
        <v>814</v>
      </c>
      <c r="S518" s="526">
        <v>772</v>
      </c>
      <c r="T518" s="526">
        <v>756</v>
      </c>
      <c r="U518" s="526">
        <v>790</v>
      </c>
      <c r="V518" s="526">
        <v>869</v>
      </c>
      <c r="W518" s="526">
        <v>878</v>
      </c>
      <c r="X518" s="526">
        <v>861</v>
      </c>
      <c r="Y518" s="526">
        <v>888</v>
      </c>
      <c r="Z518" s="526">
        <v>889</v>
      </c>
      <c r="AA518" s="526">
        <v>863</v>
      </c>
      <c r="AB518" s="526">
        <v>841</v>
      </c>
      <c r="AC518" s="526">
        <v>775</v>
      </c>
      <c r="AD518" s="526">
        <v>759</v>
      </c>
      <c r="AE518" s="526">
        <v>728</v>
      </c>
      <c r="AF518" s="526">
        <v>587</v>
      </c>
      <c r="AG518" s="526">
        <v>503</v>
      </c>
      <c r="AH518" s="526">
        <v>620</v>
      </c>
      <c r="AI518" s="526">
        <v>676</v>
      </c>
      <c r="AJ518" s="526">
        <v>666</v>
      </c>
      <c r="AK518" s="526">
        <v>621</v>
      </c>
      <c r="AL518" s="526">
        <v>702</v>
      </c>
      <c r="AM518" s="526">
        <v>663</v>
      </c>
      <c r="AN518" s="526">
        <v>711</v>
      </c>
      <c r="AO518" s="526">
        <v>738</v>
      </c>
      <c r="AP518" s="526">
        <v>687</v>
      </c>
      <c r="AQ518" s="526">
        <v>701</v>
      </c>
      <c r="AR518" s="526">
        <v>728</v>
      </c>
      <c r="AS518" s="526">
        <v>706</v>
      </c>
      <c r="AT518" s="526">
        <v>774</v>
      </c>
      <c r="AU518" s="526">
        <v>806</v>
      </c>
      <c r="AV518" s="526">
        <v>800</v>
      </c>
      <c r="AW518" s="526">
        <v>846</v>
      </c>
      <c r="AX518" s="526">
        <v>741</v>
      </c>
      <c r="AY518" s="526">
        <v>762</v>
      </c>
      <c r="AZ518" s="526">
        <v>802</v>
      </c>
      <c r="BA518" s="526">
        <v>818</v>
      </c>
      <c r="BB518" s="526">
        <v>893</v>
      </c>
      <c r="BC518" s="526">
        <v>884</v>
      </c>
      <c r="BD518" s="526">
        <v>832</v>
      </c>
      <c r="BE518" s="526">
        <v>669</v>
      </c>
      <c r="BF518" s="526">
        <v>732</v>
      </c>
      <c r="BG518" s="526">
        <v>722</v>
      </c>
      <c r="BH518" s="526">
        <v>807</v>
      </c>
      <c r="BI518" s="526">
        <v>781</v>
      </c>
      <c r="BJ518" s="526">
        <v>815</v>
      </c>
      <c r="BK518" s="526">
        <v>842</v>
      </c>
      <c r="BL518" s="526">
        <v>880</v>
      </c>
      <c r="BM518" s="526">
        <v>853</v>
      </c>
      <c r="BN518" s="526">
        <v>916</v>
      </c>
      <c r="BO518" s="526">
        <v>871</v>
      </c>
      <c r="BP518" s="526">
        <v>920</v>
      </c>
      <c r="BQ518" s="526">
        <v>867</v>
      </c>
      <c r="BR518" s="526">
        <v>906</v>
      </c>
      <c r="BS518" s="526">
        <v>932</v>
      </c>
      <c r="BT518" s="526">
        <v>907</v>
      </c>
      <c r="BU518" s="526">
        <v>934</v>
      </c>
      <c r="BV518" s="526">
        <v>904</v>
      </c>
      <c r="BW518" s="526">
        <v>828</v>
      </c>
      <c r="BX518" s="526">
        <v>857</v>
      </c>
      <c r="BY518" s="526">
        <v>763</v>
      </c>
      <c r="BZ518" s="526">
        <v>786</v>
      </c>
      <c r="CA518" s="526">
        <v>761</v>
      </c>
      <c r="CB518" s="526">
        <v>745</v>
      </c>
      <c r="CC518" s="526">
        <v>753</v>
      </c>
      <c r="CD518" s="526">
        <v>754</v>
      </c>
      <c r="CE518" s="526">
        <v>696</v>
      </c>
      <c r="CF518" s="526">
        <v>706</v>
      </c>
      <c r="CG518" s="526">
        <v>707</v>
      </c>
      <c r="CH518" s="526">
        <v>714</v>
      </c>
      <c r="CI518" s="526">
        <v>737</v>
      </c>
      <c r="CJ518" s="526">
        <v>775</v>
      </c>
      <c r="CK518" s="526">
        <v>562</v>
      </c>
      <c r="CL518" s="526">
        <v>555</v>
      </c>
      <c r="CM518" s="526">
        <v>563</v>
      </c>
      <c r="CN518" s="526">
        <v>468</v>
      </c>
      <c r="CO518" s="526">
        <v>410</v>
      </c>
      <c r="CP518" s="526">
        <v>391</v>
      </c>
      <c r="CQ518" s="526">
        <v>349</v>
      </c>
      <c r="CR518" s="526">
        <v>336</v>
      </c>
      <c r="CS518" s="526">
        <v>307</v>
      </c>
      <c r="CT518" s="526">
        <v>239</v>
      </c>
      <c r="CU518" s="526">
        <v>231</v>
      </c>
      <c r="CV518" s="526">
        <v>180</v>
      </c>
      <c r="CW518" s="526">
        <v>170</v>
      </c>
      <c r="CX518" s="526">
        <v>135</v>
      </c>
      <c r="CY518" s="526">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
      <c r="A519" s="30" t="s">
        <v>68</v>
      </c>
      <c r="B519" s="1" t="s">
        <v>585</v>
      </c>
      <c r="C519" s="29" t="str">
        <f t="shared" si="125"/>
        <v>LA Wales - Wrexham</v>
      </c>
      <c r="D519" s="50">
        <f t="shared" si="129"/>
        <v>57819</v>
      </c>
      <c r="E519" s="50">
        <f t="shared" si="130"/>
        <v>59552</v>
      </c>
      <c r="F519" s="51">
        <f t="shared" si="131"/>
        <v>135394</v>
      </c>
      <c r="G519" s="51">
        <f t="shared" si="132"/>
        <v>67012</v>
      </c>
      <c r="H519" s="52">
        <f t="shared" si="133"/>
        <v>68382</v>
      </c>
      <c r="I519" s="52">
        <f t="shared" si="128"/>
        <v>57819</v>
      </c>
      <c r="J519" s="52">
        <f t="shared" si="127"/>
        <v>59552</v>
      </c>
      <c r="K519" s="49">
        <f t="shared" si="134"/>
        <v>14299</v>
      </c>
      <c r="L519" s="50">
        <f t="shared" si="135"/>
        <v>13626</v>
      </c>
      <c r="M519" s="526">
        <v>673</v>
      </c>
      <c r="N519" s="526">
        <v>647</v>
      </c>
      <c r="O519" s="526">
        <v>740</v>
      </c>
      <c r="P519" s="526">
        <v>723</v>
      </c>
      <c r="Q519" s="526">
        <v>730</v>
      </c>
      <c r="R519" s="526">
        <v>761</v>
      </c>
      <c r="S519" s="526">
        <v>793</v>
      </c>
      <c r="T519" s="526">
        <v>761</v>
      </c>
      <c r="U519" s="526">
        <v>814</v>
      </c>
      <c r="V519" s="526">
        <v>862</v>
      </c>
      <c r="W519" s="526">
        <v>831</v>
      </c>
      <c r="X519" s="526">
        <v>858</v>
      </c>
      <c r="Y519" s="526">
        <v>859</v>
      </c>
      <c r="Z519" s="526">
        <v>879</v>
      </c>
      <c r="AA519" s="526">
        <v>845</v>
      </c>
      <c r="AB519" s="526">
        <v>853</v>
      </c>
      <c r="AC519" s="526">
        <v>831</v>
      </c>
      <c r="AD519" s="526">
        <v>839</v>
      </c>
      <c r="AE519" s="526">
        <v>753</v>
      </c>
      <c r="AF519" s="526">
        <v>630</v>
      </c>
      <c r="AG519" s="526">
        <v>619</v>
      </c>
      <c r="AH519" s="526">
        <v>629</v>
      </c>
      <c r="AI519" s="526">
        <v>670</v>
      </c>
      <c r="AJ519" s="526">
        <v>758</v>
      </c>
      <c r="AK519" s="526">
        <v>790</v>
      </c>
      <c r="AL519" s="526">
        <v>832</v>
      </c>
      <c r="AM519" s="526">
        <v>753</v>
      </c>
      <c r="AN519" s="526">
        <v>823</v>
      </c>
      <c r="AO519" s="526">
        <v>819</v>
      </c>
      <c r="AP519" s="526">
        <v>821</v>
      </c>
      <c r="AQ519" s="526">
        <v>786</v>
      </c>
      <c r="AR519" s="526">
        <v>853</v>
      </c>
      <c r="AS519" s="526">
        <v>859</v>
      </c>
      <c r="AT519" s="526">
        <v>835</v>
      </c>
      <c r="AU519" s="526">
        <v>874</v>
      </c>
      <c r="AV519" s="526">
        <v>850</v>
      </c>
      <c r="AW519" s="526">
        <v>902</v>
      </c>
      <c r="AX519" s="526">
        <v>921</v>
      </c>
      <c r="AY519" s="526">
        <v>825</v>
      </c>
      <c r="AZ519" s="526">
        <v>847</v>
      </c>
      <c r="BA519" s="526">
        <v>842</v>
      </c>
      <c r="BB519" s="526">
        <v>901</v>
      </c>
      <c r="BC519" s="526">
        <v>918</v>
      </c>
      <c r="BD519" s="526">
        <v>874</v>
      </c>
      <c r="BE519" s="526">
        <v>746</v>
      </c>
      <c r="BF519" s="526">
        <v>759</v>
      </c>
      <c r="BG519" s="526">
        <v>795</v>
      </c>
      <c r="BH519" s="526">
        <v>790</v>
      </c>
      <c r="BI519" s="526">
        <v>799</v>
      </c>
      <c r="BJ519" s="526">
        <v>915</v>
      </c>
      <c r="BK519" s="526">
        <v>955</v>
      </c>
      <c r="BL519" s="526">
        <v>1013</v>
      </c>
      <c r="BM519" s="526">
        <v>995</v>
      </c>
      <c r="BN519" s="526">
        <v>1003</v>
      </c>
      <c r="BO519" s="526">
        <v>969</v>
      </c>
      <c r="BP519" s="526">
        <v>960</v>
      </c>
      <c r="BQ519" s="526">
        <v>1007</v>
      </c>
      <c r="BR519" s="526">
        <v>986</v>
      </c>
      <c r="BS519" s="526">
        <v>968</v>
      </c>
      <c r="BT519" s="526">
        <v>965</v>
      </c>
      <c r="BU519" s="526">
        <v>916</v>
      </c>
      <c r="BV519" s="526">
        <v>884</v>
      </c>
      <c r="BW519" s="526">
        <v>833</v>
      </c>
      <c r="BX519" s="526">
        <v>743</v>
      </c>
      <c r="BY519" s="526">
        <v>790</v>
      </c>
      <c r="BZ519" s="526">
        <v>795</v>
      </c>
      <c r="CA519" s="526">
        <v>774</v>
      </c>
      <c r="CB519" s="526">
        <v>688</v>
      </c>
      <c r="CC519" s="526">
        <v>698</v>
      </c>
      <c r="CD519" s="526">
        <v>716</v>
      </c>
      <c r="CE519" s="526">
        <v>688</v>
      </c>
      <c r="CF519" s="526">
        <v>667</v>
      </c>
      <c r="CG519" s="526">
        <v>680</v>
      </c>
      <c r="CH519" s="526">
        <v>708</v>
      </c>
      <c r="CI519" s="526">
        <v>706</v>
      </c>
      <c r="CJ519" s="526">
        <v>754</v>
      </c>
      <c r="CK519" s="526">
        <v>572</v>
      </c>
      <c r="CL519" s="526">
        <v>512</v>
      </c>
      <c r="CM519" s="526">
        <v>519</v>
      </c>
      <c r="CN519" s="526">
        <v>494</v>
      </c>
      <c r="CO519" s="526">
        <v>429</v>
      </c>
      <c r="CP519" s="526">
        <v>357</v>
      </c>
      <c r="CQ519" s="526">
        <v>308</v>
      </c>
      <c r="CR519" s="526">
        <v>275</v>
      </c>
      <c r="CS519" s="526">
        <v>281</v>
      </c>
      <c r="CT519" s="526">
        <v>235</v>
      </c>
      <c r="CU519" s="526">
        <v>217</v>
      </c>
      <c r="CV519" s="526">
        <v>176</v>
      </c>
      <c r="CW519" s="526">
        <v>132</v>
      </c>
      <c r="CX519" s="526">
        <v>132</v>
      </c>
      <c r="CY519" s="526">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ht="15" x14ac:dyDescent="0.25">
      <c r="A520" s="111"/>
      <c r="B520" s="118"/>
      <c r="C520" s="111"/>
      <c r="D520" s="134">
        <f>SUM(D498:D519)</f>
        <v>1329100</v>
      </c>
      <c r="E520" s="134">
        <f t="shared" ref="E520:L520" si="136">SUM(E498:E519)</f>
        <v>1400785</v>
      </c>
      <c r="F520" s="134">
        <f t="shared" si="136"/>
        <v>3131640</v>
      </c>
      <c r="G520" s="134">
        <f t="shared" si="136"/>
        <v>1534884</v>
      </c>
      <c r="H520" s="134">
        <f t="shared" si="136"/>
        <v>1596756</v>
      </c>
      <c r="I520" s="134">
        <f t="shared" si="136"/>
        <v>1329100</v>
      </c>
      <c r="J520" s="134">
        <f t="shared" si="136"/>
        <v>1400785</v>
      </c>
      <c r="K520" s="134">
        <f t="shared" si="136"/>
        <v>317830</v>
      </c>
      <c r="L520" s="134">
        <f t="shared" si="136"/>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2">
      <c r="A521" s="30" t="s">
        <v>72</v>
      </c>
      <c r="B521" s="1" t="s">
        <v>586</v>
      </c>
      <c r="C521" s="29" t="str">
        <f t="shared" si="125"/>
        <v>LA NI - Antrim and Newtownabbey</v>
      </c>
      <c r="D521" s="50">
        <f t="shared" si="129"/>
        <v>60900</v>
      </c>
      <c r="E521" s="50">
        <f t="shared" si="130"/>
        <v>64016</v>
      </c>
      <c r="F521" s="51">
        <f t="shared" ref="F521:F531" si="137">G521+H521</f>
        <v>146148</v>
      </c>
      <c r="G521" s="51">
        <f t="shared" ref="G521:G531" si="138">SUM(M521:CY521)</f>
        <v>71767</v>
      </c>
      <c r="H521" s="52">
        <f t="shared" ref="H521:H531" si="139">SUM(CZ521:GL521)</f>
        <v>74381</v>
      </c>
      <c r="I521" s="52">
        <f>SUM(Y521:CY521)</f>
        <v>60900</v>
      </c>
      <c r="J521" s="52">
        <f t="shared" ref="J521:J531" si="140">SUM(DL521:GL521)</f>
        <v>64016</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
      <c r="A522" s="30" t="s">
        <v>72</v>
      </c>
      <c r="B522" s="1" t="s">
        <v>587</v>
      </c>
      <c r="C522" s="29" t="str">
        <f t="shared" si="125"/>
        <v>LA NI - Ards and North Down</v>
      </c>
      <c r="D522" s="50">
        <f t="shared" si="129"/>
        <v>68896</v>
      </c>
      <c r="E522" s="50">
        <f t="shared" si="130"/>
        <v>73804</v>
      </c>
      <c r="F522" s="51">
        <f t="shared" si="137"/>
        <v>164223</v>
      </c>
      <c r="G522" s="51">
        <f t="shared" si="138"/>
        <v>79967</v>
      </c>
      <c r="H522" s="52">
        <f t="shared" si="139"/>
        <v>84256</v>
      </c>
      <c r="I522" s="52">
        <f t="shared" ref="I522:I531" si="143">SUM(Y522:CY522)</f>
        <v>68896</v>
      </c>
      <c r="J522" s="52">
        <f t="shared" si="140"/>
        <v>73804</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
      <c r="A523" s="30" t="s">
        <v>72</v>
      </c>
      <c r="B523" s="1" t="s">
        <v>588</v>
      </c>
      <c r="C523" s="29" t="str">
        <f t="shared" si="125"/>
        <v>LA NI - Armagh City, Banbridge and Craigavon</v>
      </c>
      <c r="D523" s="50">
        <f t="shared" si="129"/>
        <v>90731</v>
      </c>
      <c r="E523" s="50">
        <f t="shared" si="130"/>
        <v>93584</v>
      </c>
      <c r="F523" s="51">
        <f t="shared" si="137"/>
        <v>220271</v>
      </c>
      <c r="G523" s="51">
        <f t="shared" si="138"/>
        <v>109137</v>
      </c>
      <c r="H523" s="52">
        <f t="shared" si="139"/>
        <v>111134</v>
      </c>
      <c r="I523" s="52">
        <f t="shared" si="143"/>
        <v>90731</v>
      </c>
      <c r="J523" s="52">
        <f t="shared" si="140"/>
        <v>93584</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
      <c r="A524" s="30" t="s">
        <v>72</v>
      </c>
      <c r="B524" s="1" t="s">
        <v>589</v>
      </c>
      <c r="C524" s="29" t="str">
        <f t="shared" si="125"/>
        <v>LA NI - Belfast</v>
      </c>
      <c r="D524" s="50">
        <f t="shared" si="129"/>
        <v>144197</v>
      </c>
      <c r="E524" s="50">
        <f t="shared" si="130"/>
        <v>154319</v>
      </c>
      <c r="F524" s="51">
        <f t="shared" si="137"/>
        <v>348005</v>
      </c>
      <c r="G524" s="51">
        <f t="shared" si="138"/>
        <v>169491</v>
      </c>
      <c r="H524" s="52">
        <f t="shared" si="139"/>
        <v>178514</v>
      </c>
      <c r="I524" s="52">
        <f t="shared" si="143"/>
        <v>144197</v>
      </c>
      <c r="J524" s="52">
        <f t="shared" si="140"/>
        <v>154319</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
      <c r="A525" s="30" t="s">
        <v>72</v>
      </c>
      <c r="B525" s="1" t="s">
        <v>590</v>
      </c>
      <c r="C525" s="29" t="str">
        <f t="shared" si="125"/>
        <v>LA NI - Causeway Coast and Glens</v>
      </c>
      <c r="D525" s="50">
        <f t="shared" si="129"/>
        <v>59217</v>
      </c>
      <c r="E525" s="50">
        <f t="shared" si="130"/>
        <v>61840</v>
      </c>
      <c r="F525" s="51">
        <f t="shared" si="137"/>
        <v>141316</v>
      </c>
      <c r="G525" s="51">
        <f t="shared" si="138"/>
        <v>69599</v>
      </c>
      <c r="H525" s="52">
        <f t="shared" si="139"/>
        <v>71717</v>
      </c>
      <c r="I525" s="52">
        <f t="shared" si="143"/>
        <v>59217</v>
      </c>
      <c r="J525" s="52">
        <f t="shared" si="140"/>
        <v>61840</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
      <c r="A526" s="30" t="s">
        <v>72</v>
      </c>
      <c r="B526" s="1" t="s">
        <v>591</v>
      </c>
      <c r="C526" s="29" t="str">
        <f t="shared" si="125"/>
        <v>LA NI - Derry City and Strabane</v>
      </c>
      <c r="D526" s="50">
        <f t="shared" si="129"/>
        <v>61538</v>
      </c>
      <c r="E526" s="50">
        <f t="shared" si="130"/>
        <v>65688</v>
      </c>
      <c r="F526" s="51">
        <f t="shared" si="137"/>
        <v>150836</v>
      </c>
      <c r="G526" s="51">
        <f t="shared" si="138"/>
        <v>73562</v>
      </c>
      <c r="H526" s="52">
        <f t="shared" si="139"/>
        <v>77274</v>
      </c>
      <c r="I526" s="52">
        <f t="shared" si="143"/>
        <v>61538</v>
      </c>
      <c r="J526" s="52">
        <f t="shared" si="140"/>
        <v>65688</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
      <c r="A527" s="30" t="s">
        <v>72</v>
      </c>
      <c r="B527" s="1" t="s">
        <v>592</v>
      </c>
      <c r="C527" s="29" t="str">
        <f t="shared" si="125"/>
        <v>LA NI - Fermanagh and Omagh</v>
      </c>
      <c r="D527" s="50">
        <f t="shared" si="129"/>
        <v>49252</v>
      </c>
      <c r="E527" s="50">
        <f t="shared" si="130"/>
        <v>49498</v>
      </c>
      <c r="F527" s="51">
        <f t="shared" si="137"/>
        <v>116994</v>
      </c>
      <c r="G527" s="51">
        <f t="shared" si="138"/>
        <v>58418</v>
      </c>
      <c r="H527" s="52">
        <f t="shared" si="139"/>
        <v>58576</v>
      </c>
      <c r="I527" s="52">
        <f t="shared" si="143"/>
        <v>49252</v>
      </c>
      <c r="J527" s="52">
        <f t="shared" si="140"/>
        <v>49498</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
      <c r="A528" s="30" t="s">
        <v>72</v>
      </c>
      <c r="B528" s="1" t="s">
        <v>593</v>
      </c>
      <c r="C528" s="29" t="str">
        <f t="shared" si="125"/>
        <v>LA NI - Lisburn and Castlereagh</v>
      </c>
      <c r="D528" s="50">
        <f t="shared" si="129"/>
        <v>62111</v>
      </c>
      <c r="E528" s="50">
        <f t="shared" si="130"/>
        <v>65251</v>
      </c>
      <c r="F528" s="51">
        <f t="shared" si="137"/>
        <v>149915</v>
      </c>
      <c r="G528" s="51">
        <f t="shared" si="138"/>
        <v>73814</v>
      </c>
      <c r="H528" s="52">
        <f t="shared" si="139"/>
        <v>76101</v>
      </c>
      <c r="I528" s="52">
        <f t="shared" si="143"/>
        <v>62111</v>
      </c>
      <c r="J528" s="52">
        <f t="shared" si="140"/>
        <v>65251</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
      <c r="A529" s="30" t="s">
        <v>72</v>
      </c>
      <c r="B529" s="1" t="s">
        <v>594</v>
      </c>
      <c r="C529" s="29" t="str">
        <f t="shared" si="125"/>
        <v>LA NI - Mid and East Antrim</v>
      </c>
      <c r="D529" s="50">
        <f t="shared" si="129"/>
        <v>58538</v>
      </c>
      <c r="E529" s="50">
        <f t="shared" si="130"/>
        <v>61718</v>
      </c>
      <c r="F529" s="51">
        <f t="shared" si="137"/>
        <v>139200</v>
      </c>
      <c r="G529" s="51">
        <f t="shared" si="138"/>
        <v>68237</v>
      </c>
      <c r="H529" s="52">
        <f t="shared" si="139"/>
        <v>70963</v>
      </c>
      <c r="I529" s="52">
        <f t="shared" si="143"/>
        <v>58538</v>
      </c>
      <c r="J529" s="52">
        <f t="shared" si="140"/>
        <v>61718</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
      <c r="A530" s="30" t="s">
        <v>72</v>
      </c>
      <c r="B530" s="1" t="s">
        <v>595</v>
      </c>
      <c r="C530" s="29" t="str">
        <f t="shared" si="125"/>
        <v>LA NI - Mid Ulster</v>
      </c>
      <c r="D530" s="50">
        <f t="shared" si="129"/>
        <v>62408</v>
      </c>
      <c r="E530" s="50">
        <f t="shared" si="130"/>
        <v>62647</v>
      </c>
      <c r="F530" s="51">
        <f t="shared" si="137"/>
        <v>151001</v>
      </c>
      <c r="G530" s="51">
        <f t="shared" si="138"/>
        <v>75748</v>
      </c>
      <c r="H530" s="52">
        <f t="shared" si="139"/>
        <v>75253</v>
      </c>
      <c r="I530" s="52">
        <f t="shared" si="143"/>
        <v>62408</v>
      </c>
      <c r="J530" s="52">
        <f t="shared" si="140"/>
        <v>62647</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
      <c r="A531" s="30" t="s">
        <v>72</v>
      </c>
      <c r="B531" s="1" t="s">
        <v>596</v>
      </c>
      <c r="C531" s="29" t="str">
        <f t="shared" si="125"/>
        <v>LA NI - Newry, Mourne and Down</v>
      </c>
      <c r="D531" s="50">
        <f t="shared" si="129"/>
        <v>74911</v>
      </c>
      <c r="E531" s="50">
        <f t="shared" si="130"/>
        <v>77877</v>
      </c>
      <c r="F531" s="51">
        <f t="shared" si="137"/>
        <v>182634</v>
      </c>
      <c r="G531" s="51">
        <f t="shared" si="138"/>
        <v>90207</v>
      </c>
      <c r="H531" s="52">
        <f t="shared" si="139"/>
        <v>92427</v>
      </c>
      <c r="I531" s="52">
        <f t="shared" si="143"/>
        <v>74911</v>
      </c>
      <c r="J531" s="52">
        <f t="shared" si="140"/>
        <v>77877</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ht="15" x14ac:dyDescent="0.25">
      <c r="A532" s="111"/>
      <c r="B532" s="119"/>
      <c r="C532" s="111"/>
      <c r="D532" s="134">
        <f>SUM(D521:D531)</f>
        <v>792699</v>
      </c>
      <c r="E532" s="134">
        <f>SUM(E521:E531)</f>
        <v>830242</v>
      </c>
      <c r="F532" s="134">
        <f>SUM(F521:F531)</f>
        <v>1910543</v>
      </c>
      <c r="G532" s="134">
        <f>SUM(G521:G531)</f>
        <v>939947</v>
      </c>
      <c r="H532" s="134">
        <f>SUM(H521:H531)</f>
        <v>970596</v>
      </c>
      <c r="I532" s="134">
        <f t="shared" ref="I532:L532" si="144">SUM(I521:I531)</f>
        <v>792699</v>
      </c>
      <c r="J532" s="134">
        <f t="shared" si="144"/>
        <v>830242</v>
      </c>
      <c r="K532" s="134">
        <f t="shared" si="144"/>
        <v>223650</v>
      </c>
      <c r="L532" s="134">
        <f t="shared" si="144"/>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2">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ht="15" x14ac:dyDescent="0.25">
      <c r="A535" s="546" t="s">
        <v>597</v>
      </c>
      <c r="B535" s="547"/>
      <c r="C535" s="548"/>
      <c r="D535" s="549"/>
      <c r="E535" s="549"/>
      <c r="F535" s="549"/>
      <c r="G535" s="550"/>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ht="15" x14ac:dyDescent="0.25">
      <c r="C537" s="10"/>
      <c r="D537" s="551" t="s">
        <v>598</v>
      </c>
      <c r="E537" s="552" t="s">
        <v>599</v>
      </c>
      <c r="F537" s="551" t="s">
        <v>600</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5" x14ac:dyDescent="0.25">
      <c r="C538" s="10"/>
      <c r="D538" s="553" t="s">
        <v>601</v>
      </c>
      <c r="E538" s="554" t="s">
        <v>602</v>
      </c>
      <c r="F538" s="553" t="s">
        <v>603</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5" x14ac:dyDescent="0.25">
      <c r="C539" s="10"/>
      <c r="D539" s="553" t="s">
        <v>604</v>
      </c>
      <c r="E539" s="554" t="s">
        <v>605</v>
      </c>
      <c r="F539" s="553" t="s">
        <v>606</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5" x14ac:dyDescent="0.25">
      <c r="C540" s="1" t="s">
        <v>607</v>
      </c>
      <c r="D540" s="555">
        <v>60238038</v>
      </c>
      <c r="E540" s="556"/>
      <c r="F540" s="557"/>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5" x14ac:dyDescent="0.25">
      <c r="C541" s="558" t="s">
        <v>608</v>
      </c>
      <c r="D541" s="559"/>
      <c r="E541" s="560">
        <v>60856434</v>
      </c>
      <c r="F541" s="555">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5" x14ac:dyDescent="0.25">
      <c r="C542" s="558" t="s">
        <v>609</v>
      </c>
      <c r="D542" s="559"/>
      <c r="E542" s="561">
        <f>(E541-D540)/D540</f>
        <v>1.0265872205200309E-2</v>
      </c>
      <c r="F542" s="562">
        <f>(F541-D540)/D540</f>
        <v>2.0553358660187437E-2</v>
      </c>
      <c r="G542" s="563">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5" x14ac:dyDescent="0.25">
      <c r="C543" s="558" t="s">
        <v>610</v>
      </c>
      <c r="D543" s="559"/>
      <c r="E543" s="564"/>
      <c r="F543" s="555">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5" x14ac:dyDescent="0.25">
      <c r="C544" s="558" t="s">
        <v>611</v>
      </c>
      <c r="D544" s="559"/>
      <c r="E544" s="564"/>
      <c r="F544" s="555">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
      <c r="A547" s="542"/>
      <c r="B547" s="543"/>
      <c r="C547" s="20" t="s">
        <v>612</v>
      </c>
      <c r="D547" s="137" t="s">
        <v>613</v>
      </c>
      <c r="E547" s="137" t="s">
        <v>614</v>
      </c>
      <c r="F547" s="137" t="s">
        <v>615</v>
      </c>
      <c r="G547" s="137" t="s">
        <v>616</v>
      </c>
      <c r="H547" s="137" t="s">
        <v>617</v>
      </c>
      <c r="I547" s="137" t="s">
        <v>618</v>
      </c>
      <c r="J547" s="474" t="s">
        <v>619</v>
      </c>
      <c r="K547" s="477" t="s">
        <v>620</v>
      </c>
      <c r="L547" s="320" t="s">
        <v>621</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
      <c r="A548" s="544" t="s">
        <v>622</v>
      </c>
      <c r="C548" s="20" t="s">
        <v>623</v>
      </c>
      <c r="D548" s="1019" t="s">
        <v>624</v>
      </c>
      <c r="E548" s="1020"/>
      <c r="F548" s="1020"/>
      <c r="G548" s="1020"/>
      <c r="H548" s="1020"/>
      <c r="I548" s="1021"/>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
      <c r="A549" s="544" t="s">
        <v>622</v>
      </c>
      <c r="B549" s="10">
        <v>0</v>
      </c>
      <c r="C549" s="136" t="s">
        <v>625</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
      <c r="A550" s="544" t="s">
        <v>622</v>
      </c>
      <c r="B550" s="10">
        <v>1</v>
      </c>
      <c r="C550" s="136" t="s">
        <v>626</v>
      </c>
      <c r="D550" s="140"/>
      <c r="E550" s="140">
        <v>1.0090702843828887</v>
      </c>
      <c r="F550" s="140">
        <v>1.0170393771683619</v>
      </c>
      <c r="G550" s="140">
        <v>1.0238793000184203</v>
      </c>
      <c r="H550" s="140">
        <v>1.0295635385778663</v>
      </c>
      <c r="I550" s="140">
        <v>1.0351195322438309</v>
      </c>
      <c r="J550" s="475">
        <f>(I550-100%)/5</f>
        <v>7.0239064487661821E-3</v>
      </c>
      <c r="K550" s="478">
        <f t="shared" ref="K550:K563" si="145">(I550/100%)^(1/5)-1</f>
        <v>6.9272652964273984E-3</v>
      </c>
      <c r="L550" s="473">
        <v>6.9272652964273984E-3</v>
      </c>
      <c r="M550" s="469"/>
      <c r="N550" s="469"/>
      <c r="O550" s="470"/>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
      <c r="A551" s="544" t="s">
        <v>622</v>
      </c>
      <c r="B551" s="10">
        <v>2</v>
      </c>
      <c r="C551" s="136" t="s">
        <v>627</v>
      </c>
      <c r="D551" s="140"/>
      <c r="E551" s="140">
        <v>0.96173452499784384</v>
      </c>
      <c r="F551" s="140">
        <v>0.949547172001034</v>
      </c>
      <c r="G551" s="140">
        <v>0.93849673400054612</v>
      </c>
      <c r="H551" s="140">
        <v>0.92766778564091124</v>
      </c>
      <c r="I551" s="140">
        <v>0.91680012001884892</v>
      </c>
      <c r="J551" s="475">
        <f t="shared" ref="J551:J563" si="146">(I551-100%)/5</f>
        <v>-1.6639975996230218E-2</v>
      </c>
      <c r="K551" s="478">
        <f t="shared" si="145"/>
        <v>-1.7223117235316776E-2</v>
      </c>
      <c r="L551" s="473">
        <v>-1.7223117235316776E-2</v>
      </c>
      <c r="M551" s="469"/>
      <c r="N551" s="469"/>
      <c r="O551" s="470"/>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
      <c r="A552" s="544" t="s">
        <v>622</v>
      </c>
      <c r="B552" s="10">
        <v>3</v>
      </c>
      <c r="C552" s="136" t="s">
        <v>628</v>
      </c>
      <c r="D552" s="140"/>
      <c r="E552" s="140">
        <v>1.0707061745580608</v>
      </c>
      <c r="F552" s="140">
        <v>1.0961797739954167</v>
      </c>
      <c r="G552" s="140">
        <v>1.1120352164720533</v>
      </c>
      <c r="H552" s="140">
        <v>1.1172916519636134</v>
      </c>
      <c r="I552" s="140">
        <v>1.1228072524832799</v>
      </c>
      <c r="J552" s="475">
        <f t="shared" si="146"/>
        <v>2.4561450496655989E-2</v>
      </c>
      <c r="K552" s="478">
        <f t="shared" si="145"/>
        <v>2.3436830336478032E-2</v>
      </c>
      <c r="L552" s="473">
        <v>2.3436830336478032E-2</v>
      </c>
      <c r="M552" s="469"/>
      <c r="N552" s="469"/>
      <c r="O552" s="470"/>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
      <c r="A553" s="544" t="s">
        <v>622</v>
      </c>
      <c r="B553" s="10">
        <v>4</v>
      </c>
      <c r="C553" s="136" t="s">
        <v>629</v>
      </c>
      <c r="D553" s="140"/>
      <c r="E553" s="140">
        <v>0.99704312080608826</v>
      </c>
      <c r="F553" s="140">
        <v>0.99705853203848904</v>
      </c>
      <c r="G553" s="140">
        <v>0.99472603914083957</v>
      </c>
      <c r="H553" s="140">
        <v>0.9891090180954597</v>
      </c>
      <c r="I553" s="140">
        <v>0.98354979851924307</v>
      </c>
      <c r="J553" s="475">
        <f t="shared" si="146"/>
        <v>-3.2900402961513866E-3</v>
      </c>
      <c r="K553" s="478">
        <f t="shared" si="145"/>
        <v>-3.3119051937137156E-3</v>
      </c>
      <c r="L553" s="473">
        <v>-3.3119051937137156E-3</v>
      </c>
      <c r="M553" s="469"/>
      <c r="N553" s="469"/>
      <c r="O553" s="470"/>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
      <c r="A554" s="544" t="s">
        <v>622</v>
      </c>
      <c r="B554" s="10">
        <v>5</v>
      </c>
      <c r="C554" s="136" t="s">
        <v>630</v>
      </c>
      <c r="D554" s="140"/>
      <c r="E554" s="140">
        <v>0.99263087643060499</v>
      </c>
      <c r="F554" s="140">
        <v>0.99530151668079492</v>
      </c>
      <c r="G554" s="140">
        <v>0.99708461172748208</v>
      </c>
      <c r="H554" s="140">
        <v>0.99857946574262668</v>
      </c>
      <c r="I554" s="140">
        <v>1.0006058081967233</v>
      </c>
      <c r="J554" s="475">
        <f t="shared" si="146"/>
        <v>1.2116163934465796E-4</v>
      </c>
      <c r="K554" s="478">
        <f t="shared" si="145"/>
        <v>1.2113228972654433E-4</v>
      </c>
      <c r="L554" s="473">
        <v>1.2113228972654433E-4</v>
      </c>
      <c r="M554" s="469"/>
      <c r="N554" s="469"/>
      <c r="O554" s="470"/>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
      <c r="A555" s="544" t="s">
        <v>622</v>
      </c>
      <c r="B555" s="10">
        <v>6</v>
      </c>
      <c r="C555" s="467" t="s">
        <v>631</v>
      </c>
      <c r="D555" s="468"/>
      <c r="E555" s="468">
        <v>1.0123419501207302</v>
      </c>
      <c r="F555" s="468">
        <v>1.0224746276334522</v>
      </c>
      <c r="G555" s="468">
        <v>1.0318096590054313</v>
      </c>
      <c r="H555" s="468">
        <v>1.040568100689119</v>
      </c>
      <c r="I555" s="468">
        <v>1.0491476885800255</v>
      </c>
      <c r="J555" s="483">
        <f t="shared" si="146"/>
        <v>9.8295377160050983E-3</v>
      </c>
      <c r="K555" s="484">
        <f t="shared" si="145"/>
        <v>9.641807463928842E-3</v>
      </c>
      <c r="L555" s="545">
        <v>9.6418074639288403E-3</v>
      </c>
      <c r="M555" s="469"/>
      <c r="N555" s="469"/>
      <c r="O555" s="470"/>
      <c r="P555" s="12"/>
      <c r="Q555" s="471"/>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
      <c r="A556" s="544" t="s">
        <v>622</v>
      </c>
      <c r="B556" s="10">
        <v>7</v>
      </c>
      <c r="C556" s="136" t="s">
        <v>632</v>
      </c>
      <c r="D556" s="140"/>
      <c r="E556" s="140">
        <v>1.0234861902526262</v>
      </c>
      <c r="F556" s="140">
        <v>1.0362595252458171</v>
      </c>
      <c r="G556" s="140">
        <v>1.0484007089616401</v>
      </c>
      <c r="H556" s="140">
        <v>1.0594741481215733</v>
      </c>
      <c r="I556" s="140">
        <v>1.0705464348984648</v>
      </c>
      <c r="J556" s="475">
        <f t="shared" si="146"/>
        <v>1.4109286979692959E-2</v>
      </c>
      <c r="K556" s="478">
        <f t="shared" si="145"/>
        <v>1.372720562144969E-2</v>
      </c>
      <c r="L556" s="473">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
      <c r="A557" s="544" t="s">
        <v>622</v>
      </c>
      <c r="B557" s="10">
        <v>8</v>
      </c>
      <c r="C557" s="136" t="s">
        <v>633</v>
      </c>
      <c r="D557" s="140"/>
      <c r="E557" s="140">
        <v>1.0327181385810218</v>
      </c>
      <c r="F557" s="140">
        <v>1.0462000918268668</v>
      </c>
      <c r="G557" s="140">
        <v>1.0579618766687933</v>
      </c>
      <c r="H557" s="140">
        <v>1.0679645783102321</v>
      </c>
      <c r="I557" s="140">
        <v>1.0772361012999514</v>
      </c>
      <c r="J557" s="475">
        <f t="shared" si="146"/>
        <v>1.544722025999028E-2</v>
      </c>
      <c r="K557" s="478">
        <f t="shared" si="145"/>
        <v>1.4990973227517745E-2</v>
      </c>
      <c r="L557" s="473">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
      <c r="A558" s="544" t="s">
        <v>622</v>
      </c>
      <c r="B558" s="10">
        <v>9</v>
      </c>
      <c r="C558" s="136" t="s">
        <v>634</v>
      </c>
      <c r="D558" s="140"/>
      <c r="E558" s="140">
        <v>1.0231841082591016</v>
      </c>
      <c r="F558" s="140">
        <v>1.0358890289056439</v>
      </c>
      <c r="G558" s="140">
        <v>1.0481652070229122</v>
      </c>
      <c r="H558" s="140">
        <v>1.0592891805745575</v>
      </c>
      <c r="I558" s="140">
        <v>1.069681907109314</v>
      </c>
      <c r="J558" s="475">
        <f t="shared" si="146"/>
        <v>1.3936381421862798E-2</v>
      </c>
      <c r="K558" s="478">
        <f t="shared" si="145"/>
        <v>1.3563424108683053E-2</v>
      </c>
      <c r="L558" s="473">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
      <c r="A559" s="544" t="s">
        <v>622</v>
      </c>
      <c r="B559" s="10">
        <v>10</v>
      </c>
      <c r="C559" s="136" t="s">
        <v>635</v>
      </c>
      <c r="D559" s="140"/>
      <c r="E559" s="140">
        <v>1.0341666734322146</v>
      </c>
      <c r="F559" s="140">
        <v>1.0480179725760268</v>
      </c>
      <c r="G559" s="140">
        <v>1.0601012155156095</v>
      </c>
      <c r="H559" s="140">
        <v>1.0702848288878077</v>
      </c>
      <c r="I559" s="140">
        <v>1.0797421461131422</v>
      </c>
      <c r="J559" s="475">
        <f t="shared" si="146"/>
        <v>1.5948429222628447E-2</v>
      </c>
      <c r="K559" s="478">
        <f t="shared" si="145"/>
        <v>1.5462782371323147E-2</v>
      </c>
      <c r="L559" s="473">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
      <c r="A560" s="544" t="s">
        <v>622</v>
      </c>
      <c r="B560" s="10">
        <v>11</v>
      </c>
      <c r="C560" s="136" t="s">
        <v>636</v>
      </c>
      <c r="D560" s="140"/>
      <c r="E560" s="140">
        <v>1.0233409873632719</v>
      </c>
      <c r="F560" s="140">
        <v>1.0360814373748364</v>
      </c>
      <c r="G560" s="140">
        <v>1.0482875093579402</v>
      </c>
      <c r="H560" s="140">
        <v>1.0593852390742311</v>
      </c>
      <c r="I560" s="140">
        <v>1.0701308790705675</v>
      </c>
      <c r="J560" s="475">
        <f t="shared" si="146"/>
        <v>1.4026175814113495E-2</v>
      </c>
      <c r="K560" s="478">
        <f t="shared" si="145"/>
        <v>1.364849335671825E-2</v>
      </c>
      <c r="L560" s="473">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
      <c r="A561" s="544" t="s">
        <v>622</v>
      </c>
      <c r="B561" s="10">
        <v>12</v>
      </c>
      <c r="C561" s="136" t="s">
        <v>637</v>
      </c>
      <c r="D561" s="140"/>
      <c r="E561" s="140">
        <v>1.0334066911438702</v>
      </c>
      <c r="F561" s="140">
        <v>1.0470642108004322</v>
      </c>
      <c r="G561" s="140">
        <v>1.0589787988674986</v>
      </c>
      <c r="H561" s="140">
        <v>1.0690674958412283</v>
      </c>
      <c r="I561" s="140">
        <v>1.0784273350333435</v>
      </c>
      <c r="J561" s="475">
        <f t="shared" si="146"/>
        <v>1.5685467006668709E-2</v>
      </c>
      <c r="K561" s="478">
        <f t="shared" si="145"/>
        <v>1.5215354312122953E-2</v>
      </c>
      <c r="L561" s="473">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
      <c r="A562" s="544" t="s">
        <v>622</v>
      </c>
      <c r="B562" s="10">
        <v>13</v>
      </c>
      <c r="C562" s="136" t="s">
        <v>638</v>
      </c>
      <c r="D562" s="140"/>
      <c r="E562" s="140">
        <v>1.0535754755454367</v>
      </c>
      <c r="F562" s="140">
        <v>1.079128927735721</v>
      </c>
      <c r="G562" s="140">
        <v>1.10377830980113</v>
      </c>
      <c r="H562" s="140">
        <v>1.1267313398994689</v>
      </c>
      <c r="I562" s="140">
        <v>1.1493400902365778</v>
      </c>
      <c r="J562" s="475">
        <f t="shared" si="146"/>
        <v>2.9868018047315557E-2</v>
      </c>
      <c r="K562" s="478">
        <f t="shared" si="145"/>
        <v>2.8228674820024224E-2</v>
      </c>
      <c r="L562" s="473">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
      <c r="A563" s="57"/>
      <c r="B563" s="378">
        <v>14</v>
      </c>
      <c r="C563" s="136" t="s">
        <v>639</v>
      </c>
      <c r="D563" s="140"/>
      <c r="E563" s="140">
        <v>1.0081055095898279</v>
      </c>
      <c r="F563" s="140">
        <v>1.0157451629461605</v>
      </c>
      <c r="G563" s="140">
        <v>1.0222827798035592</v>
      </c>
      <c r="H563" s="140">
        <v>1.0276922014787842</v>
      </c>
      <c r="I563" s="140">
        <v>1.032997413899986</v>
      </c>
      <c r="J563" s="475">
        <f t="shared" si="146"/>
        <v>6.5994827799972008E-3</v>
      </c>
      <c r="K563" s="478">
        <f t="shared" si="145"/>
        <v>6.5140621434043311E-3</v>
      </c>
      <c r="L563" s="473">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
      <c r="B564" s="10">
        <v>15</v>
      </c>
      <c r="C564" s="136"/>
      <c r="D564" s="140"/>
      <c r="E564" s="140"/>
      <c r="F564" s="140"/>
      <c r="G564" s="140"/>
      <c r="H564" s="140"/>
      <c r="I564" s="140"/>
      <c r="J564" s="476" t="s">
        <v>640</v>
      </c>
      <c r="K564" s="6"/>
      <c r="L564" s="319" t="s">
        <v>641</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
      <c r="E565" s="14"/>
      <c r="L565" s="319" t="s">
        <v>642</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
      <c r="E566" s="14"/>
      <c r="L566" s="319" t="s">
        <v>643</v>
      </c>
      <c r="M566" s="12"/>
      <c r="N566" s="12"/>
      <c r="O566" s="12"/>
      <c r="P566" s="12"/>
      <c r="Q566" s="12"/>
      <c r="R566" s="47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
      <c r="C567" s="485" t="s">
        <v>644</v>
      </c>
      <c r="E567" s="14"/>
      <c r="L567" s="319" t="s">
        <v>645</v>
      </c>
      <c r="M567" s="12"/>
      <c r="N567" s="12"/>
      <c r="O567" s="12"/>
      <c r="P567" s="12"/>
      <c r="Q567" s="12"/>
      <c r="R567" s="47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
      <c r="E568" s="14"/>
      <c r="L568" s="319" t="s">
        <v>646</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
      <c r="E569" s="14"/>
      <c r="L569" s="319"/>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
      <c r="C570" s="10"/>
      <c r="L570" s="319" t="s">
        <v>647</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 x14ac:dyDescent="0.25">
      <c r="C571" s="10"/>
      <c r="L571" s="319" t="s">
        <v>648</v>
      </c>
      <c r="M571" s="12"/>
      <c r="N571" s="12"/>
      <c r="O571" s="566"/>
      <c r="P571" s="567" t="s">
        <v>649</v>
      </c>
      <c r="Q571" s="568"/>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5" customHeight="1" x14ac:dyDescent="0.2">
      <c r="C572" s="10"/>
      <c r="M572" s="12"/>
      <c r="N572" s="12"/>
      <c r="O572" s="571" t="s">
        <v>619</v>
      </c>
      <c r="P572" s="571" t="s">
        <v>620</v>
      </c>
      <c r="Q572" s="572" t="s">
        <v>650</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
      <c r="A573" s="542"/>
      <c r="B573" s="543"/>
      <c r="C573" s="136" t="s">
        <v>626</v>
      </c>
      <c r="D573" s="565"/>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475">
        <f>(N573-100%)/10</f>
        <v>6.0996339197137541E-3</v>
      </c>
      <c r="P573" s="478">
        <f>(N573/100%)^(1/10)-1</f>
        <v>5.9384037531065026E-3</v>
      </c>
      <c r="Q573" s="569">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
      <c r="A574" s="544" t="s">
        <v>651</v>
      </c>
      <c r="C574" s="136" t="s">
        <v>627</v>
      </c>
      <c r="D574" s="565"/>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475">
        <f t="shared" ref="O574:O586" si="147">(N574-100%)/10</f>
        <v>-6.0280923298853817E-3</v>
      </c>
      <c r="P574" s="478">
        <f t="shared" ref="P574:P586" si="148">(N574/100%)^(1/10)-1</f>
        <v>-6.1981420710855994E-3</v>
      </c>
      <c r="Q574" s="569">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
      <c r="A575" s="544" t="s">
        <v>651</v>
      </c>
      <c r="C575" s="136" t="s">
        <v>628</v>
      </c>
      <c r="D575" s="565"/>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475">
        <f t="shared" si="147"/>
        <v>1.5087615236704566E-2</v>
      </c>
      <c r="P575" s="478">
        <f t="shared" si="148"/>
        <v>1.4151550808456648E-2</v>
      </c>
      <c r="Q575" s="569">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
      <c r="A576" s="544" t="s">
        <v>651</v>
      </c>
      <c r="C576" s="136" t="s">
        <v>629</v>
      </c>
      <c r="D576" s="565"/>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475">
        <f t="shared" si="147"/>
        <v>8.1374209845206378E-4</v>
      </c>
      <c r="P576" s="478">
        <f t="shared" si="148"/>
        <v>8.1077757246905691E-4</v>
      </c>
      <c r="Q576" s="569">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
      <c r="A577" s="544" t="s">
        <v>651</v>
      </c>
      <c r="C577" s="136" t="s">
        <v>630</v>
      </c>
      <c r="D577" s="565"/>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475">
        <f t="shared" si="147"/>
        <v>2.5619811438394092E-3</v>
      </c>
      <c r="P577" s="478">
        <f t="shared" si="148"/>
        <v>2.5329148145079028E-3</v>
      </c>
      <c r="Q577" s="569">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
      <c r="A578" s="544" t="s">
        <v>651</v>
      </c>
      <c r="C578" s="467" t="s">
        <v>631</v>
      </c>
      <c r="D578" s="468"/>
      <c r="E578" s="468">
        <v>1.0123419501207302</v>
      </c>
      <c r="F578" s="468">
        <v>1.0224746276334522</v>
      </c>
      <c r="G578" s="468">
        <v>1.0318096590054313</v>
      </c>
      <c r="H578" s="468">
        <v>1.040568100689119</v>
      </c>
      <c r="I578" s="468">
        <v>1.0491476885800255</v>
      </c>
      <c r="J578" s="468">
        <v>1.0546473961073131</v>
      </c>
      <c r="K578" s="468">
        <v>1.0600156863772707</v>
      </c>
      <c r="L578" s="468">
        <v>1.0652587749595908</v>
      </c>
      <c r="M578" s="468">
        <v>1.0703773048442411</v>
      </c>
      <c r="N578" s="468">
        <v>1.0753751834317971</v>
      </c>
      <c r="O578" s="483">
        <f t="shared" si="147"/>
        <v>7.5375183431797051E-3</v>
      </c>
      <c r="P578" s="484">
        <f t="shared" si="148"/>
        <v>7.2934292896156272E-3</v>
      </c>
      <c r="Q578" s="484">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
      <c r="A579" s="544" t="s">
        <v>651</v>
      </c>
      <c r="C579" s="136" t="s">
        <v>632</v>
      </c>
      <c r="D579" s="565"/>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475">
        <f t="shared" si="147"/>
        <v>9.7308873986410305E-3</v>
      </c>
      <c r="P579" s="478">
        <f t="shared" si="148"/>
        <v>9.3293197294876951E-3</v>
      </c>
      <c r="Q579" s="569">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
      <c r="A580" s="544" t="s">
        <v>651</v>
      </c>
      <c r="C580" s="136" t="s">
        <v>633</v>
      </c>
      <c r="D580" s="565"/>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475">
        <f t="shared" si="147"/>
        <v>1.0416577441320607E-2</v>
      </c>
      <c r="P580" s="478">
        <f t="shared" si="148"/>
        <v>9.95826625164975E-3</v>
      </c>
      <c r="Q580" s="569">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
      <c r="A581" s="544" t="s">
        <v>651</v>
      </c>
      <c r="C581" s="136" t="s">
        <v>634</v>
      </c>
      <c r="D581" s="565"/>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475">
        <f t="shared" si="147"/>
        <v>9.64227339891921E-3</v>
      </c>
      <c r="P581" s="478">
        <f t="shared" si="148"/>
        <v>9.2477809488915597E-3</v>
      </c>
      <c r="Q581" s="569">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
      <c r="A582" s="544" t="s">
        <v>651</v>
      </c>
      <c r="C582" s="136" t="s">
        <v>635</v>
      </c>
      <c r="D582" s="565"/>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475">
        <f t="shared" si="147"/>
        <v>1.0673446748664817E-2</v>
      </c>
      <c r="P582" s="478">
        <f t="shared" si="148"/>
        <v>1.0192973847719333E-2</v>
      </c>
      <c r="Q582" s="569">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
      <c r="A583" s="544" t="s">
        <v>651</v>
      </c>
      <c r="C583" s="136" t="s">
        <v>636</v>
      </c>
      <c r="D583" s="565"/>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475">
        <f t="shared" si="147"/>
        <v>9.6882929737077683E-3</v>
      </c>
      <c r="P583" s="478">
        <f t="shared" si="148"/>
        <v>9.2901335764377091E-3</v>
      </c>
      <c r="Q583" s="569">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
      <c r="A584" s="544" t="s">
        <v>651</v>
      </c>
      <c r="C584" s="136" t="s">
        <v>637</v>
      </c>
      <c r="D584" s="565"/>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475">
        <f t="shared" si="147"/>
        <v>1.0538678763041154E-2</v>
      </c>
      <c r="P584" s="478">
        <f t="shared" si="148"/>
        <v>1.0069894342066732E-2</v>
      </c>
      <c r="Q584" s="569">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
      <c r="A585" s="544" t="s">
        <v>651</v>
      </c>
      <c r="C585" s="136" t="s">
        <v>638</v>
      </c>
      <c r="D585" s="565"/>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475">
        <f t="shared" si="147"/>
        <v>1.7807228078299507E-2</v>
      </c>
      <c r="P585" s="478">
        <f t="shared" si="148"/>
        <v>1.6522963134986579E-2</v>
      </c>
      <c r="Q585" s="569">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
      <c r="A586" s="57"/>
      <c r="B586" s="378"/>
      <c r="C586" s="136" t="s">
        <v>639</v>
      </c>
      <c r="D586" s="565"/>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475">
        <f t="shared" si="147"/>
        <v>5.8821170316610384E-3</v>
      </c>
      <c r="P586" s="478">
        <f t="shared" si="148"/>
        <v>5.7319838926312983E-3</v>
      </c>
      <c r="Q586" s="569">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
      <c r="C587" s="10"/>
      <c r="E587" s="14"/>
      <c r="M587" s="12"/>
      <c r="N587" s="12"/>
      <c r="O587" s="476" t="s">
        <v>640</v>
      </c>
      <c r="P587" s="476" t="s">
        <v>640</v>
      </c>
      <c r="Q587" s="570"/>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
      <c r="C588" s="10"/>
      <c r="E588" s="14"/>
      <c r="M588" s="12"/>
      <c r="N588" s="12"/>
      <c r="O588" s="476" t="s">
        <v>652</v>
      </c>
      <c r="P588" s="476" t="s">
        <v>652</v>
      </c>
      <c r="Q588" s="570"/>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
      <c r="C589" s="10"/>
      <c r="E589" s="14"/>
      <c r="M589" s="12"/>
      <c r="N589" s="12"/>
      <c r="O589" s="12"/>
      <c r="P589" s="12"/>
      <c r="Q589" s="570" t="s">
        <v>647</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
      <c r="E590" s="14"/>
      <c r="M590" s="12"/>
      <c r="N590" s="12"/>
      <c r="O590" s="12"/>
      <c r="P590" s="12"/>
      <c r="Q590" s="570" t="s">
        <v>648</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H201 G25:H25 H499:H513 H515:H519 H30:H134 G151:H156 G145:H148 G203:H496 G137:H142 G28:K28 J572:K572 J571:K571 G587:K745 J570:K570 H29 K29:L29 K134:L134 G136:H136 K136:L136 K142:L142 G144:H144 K144:L144 K148:L148 G150:H150 K150:L150 K156:L156 K201:L201 K496:L496 H498 K498:L498 K513:L513 K519:L519 K25:L25 K30:L30 K31:L31 K32:L32 K33:L33 K34:L34 K35:L35 K36:L36 K37:L37 K38:L38 K39:L39 K40:L40 K41:L41 K42:L42 K43:L43 K44:L44 K45:L45 K46:L46 K47:L47 K48:L48 K49:L49 K50:L50 K51:L51 K52:L52 K53:L53 K54:L54 K55:L55 K56:L56 K57:L57 K58:L58 K59:L59 K60:L60 K61:L61 K62:L62 K63:L63 K64:L64 K65:L65 K66:L66 K67:L67 K68:L68 K69:L69 K70:L70 K71:L71 K72:L72 K73:L73 K74:L74 K75:L75 K76:L76 K77:L77 K78:L78 K79:L79 K80:L80 K81:L81 K82:L82 K83:L83 K84:L84 K85:L85 K86:L86 K87:L87 K88:L88 K89:L89 K90:L90 K91:L91 K92:L92 K93:L93 K94:L94 K95:L95 K96:L96 K97:L97 K98:L98 K99:L99 K100:L100 K101:L101 K102:L102 K103:L103 K104:L104 K105:L105 K106:L106 K107:L107 K108:L108 K109:L109 K110:L110 K111:L111 K112:L112 K113:L113 K114:L114 K115:L115 K116:L116 K117:L117 K118:L118 K119:L119 K120:L120 K121:L121 K122:L122 K123:L123 K124:L124 K125:L125 K126:L126 K127:L127 K128:L128 K129:L129 K130:L130 K131:L131 K132:L132 K133:L133 K137:L137 K138:L138 K139:L139 K140:L140 K141:L141 K145:L145 K146:L146 K147:L147 K151:L151 K152:L152 K153:L153 K154:L154 K155:L155 K203:L203 K204:L204 K205:L205 K206:L206 K207:L207 K208:L208 K209:L209 K210:L210 K211:L211 K212:L212 K213:L213 K214:L214 K215:L215 K216:L216 K217:L217 K218:L218 K219:L219 K220:L220 K221:L221 K222:L222 K223:L223 K224:L224 K225:L225 K226:L226 K227:L227 K228:L228 K229:L229 K230:L230 K231:L231 K232:L232 K233:L233 K234:L234 K235:L235 K236:L236 K237:L237 K238:L238 K239:L239 K240:L240 K241:L241 K242:L242 K243:L243 K244:L244 K245:L245 K246:L246 K247:L247 K248:L248 K249:L249 K250:L250 K251:L251 K252:L252 K253:L253 K254:L254 K255:L255 K256:L256 K257:L257 K258:L258 K259:L259 K260:L260 K261:L261 K262:L262 K263:L263 K264:L264 K265:L265 K266:L266 K267:L267 K268:L268 K269:L269 K270:L270 K271:L271 K272:L272 K273:L273 K274:L274 K275:L275 K276:L276 K277:L277 K278:L278 K279:L279 K280:L280 K281:L281 K282:L282 K283:L283 K284:L284 K285:L285 K286:L286 K287:L287 K288:L288 K289:L289 K290:L290 K291:L291 K292:L292 K293:L293 K294:L294 K295:L295 K296:L296 K297:L297 K298:L298 K299:L299 K300:L300 K301:L301 K302:L302 K303:L303 K304:L304 K305:L305 K306:L306 K307:L307 K308:L308 K309:L309 K310:L310 K311:L311 K312:L312 K313:L313 K314:L314 K315:L315 K316:L316 K317:L317 K318:L318 K319:L319 K320:L320 K321:L321 K322:L322 K323:L323 K324:L324 K325:L325 K326:L326 K327:L327 K328:L328 K329:L329 K330:L330 K331:L331 K332:L332 K333:L333 K334:L334 K335:L335 K336:L336 K337:L337 K338:L338 K339:L339 K340:L340 K341:L341 K342:L342 K343:L343 K344:L344 K345:L345 K346:L346 K347:L347 K348:L348 K349:L349 K350:L350 K351:L351 K352:L352 K353:L353 K354:L354 K355:L355 K356:L356 K357:L357 K358:L358 K359:L359 K360:L360 K361:L361 K362:L362 K363:L363 K364:L364 K365:L365 K366:L366 K367:L367 K368:L368 K369:L369 K370:L370 K371:L371 K372:L372 K373:L373 K374:L374 K375:L375 K376:L376 K377:L377 K378:L378 K379:L379 K380:L380 K381:L381 K382:L382 K383:L383 K384:L384 K385:L385 K386:L386 K387:L387 K388:L388 K389:L389 K390:L390 K391:L391 K392:L392 K393:L393 K394:L394 K395:L395 K396:L396 K397:L397 K398:L398 K399:L399 K400:L400 K401:L401 K402:L402 K403:L403 K404:L404 K405:L405 K406:L406 K407:L407 K408:L408 K409:L409 K410:L410 K411:L411 K412:L412 K413:L413 K414:L414 K415:L415 K416:L416 K417:L417 K418:L418 K419:L419 K420:L420 K421:L421 K422:L422 K423:L423 K424:L424 K425:L425 K426:L426 K427:L427 K428:L428 K429:L429 K430:L430 K431:L431 K432:L432 K433:L433 K434:L434 K435:L435 K436:L436 K437:L437 K438:L438 K439:L439 K440:L440 K441:L441 K442:L442 K443:L443 K444:L444 K445:L445 K446:L446 K447:L447 K448:L448 K449:L449 K450:L450 K451:L451 K452:L452 K453:L453 K454:L454 K455:L455 K456:L456 K457:L457 K458:L458 K459:L459 K460:L460 K461:L461 K462:L462 K463:L463 K464:L464 K465:L465 K466:L466 K467:L467 K468:L468 K469:L469 K470:L470 K471:L471 K472:L472 K473:L473 K474:L474 K475:L475 K476:L476 K477:L477 K478:L478 K479:L479 K480:L480 K481:L481 K482:L482 K483:L483 K484:L484 K485:L485 K486:L486 K487:L487 K488:L488 K489:L489 K490:L490 K491:L491 K492:L492 K493:L493 K494:L494 K495:L495 K499:L499 K500:L500 K501:L501 K502:L502 K503:L503 K504:L504 K505:L505 K506:L506 K507:L507 K508:L508 K509:L509 K510:L510 K511:L511 K512:L512 K515:L515 K516:L516 K517:L517 K518:L518"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41"/>
  <sheetViews>
    <sheetView showGridLines="0" zoomScale="80" zoomScaleNormal="80" zoomScaleSheetLayoutView="30" workbookViewId="0"/>
  </sheetViews>
  <sheetFormatPr defaultColWidth="8.85546875" defaultRowHeight="15" x14ac:dyDescent="0.25"/>
  <cols>
    <col min="1" max="1" width="3.5703125" customWidth="1"/>
    <col min="2" max="2" width="72.5703125" style="1" customWidth="1"/>
    <col min="3" max="3" width="16.42578125" customWidth="1"/>
    <col min="4"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503" t="str">
        <f>'Inputs and eligible population'!B1</f>
        <v>Exagamglogene autotemcel for treating severe sickle cell disease in people 12 years and over</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x14ac:dyDescent="0.25">
      <c r="B2" s="208" t="s">
        <v>811</v>
      </c>
      <c r="C2" s="125" t="s">
        <v>725</v>
      </c>
      <c r="D2" s="125" t="s">
        <v>725</v>
      </c>
      <c r="E2" s="125" t="s">
        <v>725</v>
      </c>
      <c r="F2" s="125" t="s">
        <v>725</v>
      </c>
      <c r="G2" s="125" t="s">
        <v>725</v>
      </c>
      <c r="H2" s="125" t="s">
        <v>725</v>
      </c>
      <c r="I2" s="125" t="s">
        <v>725</v>
      </c>
      <c r="J2" s="125" t="s">
        <v>725</v>
      </c>
      <c r="K2" s="125"/>
      <c r="L2" s="125" t="s">
        <v>725</v>
      </c>
      <c r="M2" s="125" t="s">
        <v>725</v>
      </c>
      <c r="N2" s="125" t="s">
        <v>725</v>
      </c>
      <c r="O2" s="125" t="s">
        <v>725</v>
      </c>
      <c r="P2" s="125" t="s">
        <v>725</v>
      </c>
      <c r="Q2" s="125"/>
      <c r="R2" s="125"/>
      <c r="S2" s="125"/>
      <c r="T2" s="125"/>
      <c r="U2" s="125"/>
      <c r="V2" s="125"/>
      <c r="W2" s="125"/>
      <c r="X2" s="125"/>
      <c r="Y2" s="125"/>
      <c r="Z2" s="125"/>
    </row>
    <row r="3" spans="1:40" ht="14.45" customHeight="1" x14ac:dyDescent="0.25">
      <c r="B3" s="128" t="s">
        <v>725</v>
      </c>
      <c r="C3" s="131" t="s">
        <v>725</v>
      </c>
      <c r="D3" s="131" t="s">
        <v>725</v>
      </c>
      <c r="F3" s="131" t="s">
        <v>725</v>
      </c>
      <c r="G3" s="131" t="s">
        <v>725</v>
      </c>
      <c r="H3" s="131" t="s">
        <v>725</v>
      </c>
      <c r="I3" s="131" t="s">
        <v>725</v>
      </c>
      <c r="J3" s="125"/>
      <c r="K3" s="125"/>
      <c r="L3" s="125"/>
      <c r="M3" s="125"/>
      <c r="N3" s="125"/>
      <c r="O3" s="125"/>
      <c r="P3" s="125"/>
      <c r="Q3" s="131"/>
      <c r="R3" s="131"/>
      <c r="S3" s="131"/>
      <c r="T3" s="131"/>
      <c r="U3" s="131"/>
      <c r="V3" s="131"/>
      <c r="W3" s="131"/>
      <c r="X3" s="131"/>
      <c r="Y3" s="131"/>
      <c r="Z3" s="131"/>
    </row>
    <row r="4" spans="1:40" ht="14.45" customHeight="1" x14ac:dyDescent="0.25">
      <c r="B4" t="s">
        <v>798</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31"/>
      <c r="T5" s="131"/>
      <c r="U5" s="131"/>
      <c r="V5" s="131"/>
      <c r="W5" s="131"/>
      <c r="X5" s="131"/>
      <c r="Y5" s="131"/>
      <c r="Z5" s="131"/>
    </row>
    <row r="6" spans="1:40" ht="45" x14ac:dyDescent="0.25">
      <c r="B6" s="252" t="s">
        <v>769</v>
      </c>
      <c r="C6" s="204"/>
      <c r="D6" s="228" t="s">
        <v>792</v>
      </c>
      <c r="E6" s="250" t="s">
        <v>672</v>
      </c>
      <c r="F6" s="250" t="s">
        <v>673</v>
      </c>
      <c r="G6" s="162" t="s">
        <v>766</v>
      </c>
      <c r="H6" s="162" t="s">
        <v>767</v>
      </c>
      <c r="I6" s="250" t="s">
        <v>768</v>
      </c>
      <c r="L6" s="394" t="s">
        <v>792</v>
      </c>
      <c r="M6" s="250" t="s">
        <v>672</v>
      </c>
      <c r="N6" s="250" t="s">
        <v>673</v>
      </c>
      <c r="O6" s="162" t="s">
        <v>766</v>
      </c>
      <c r="P6" s="162" t="s">
        <v>767</v>
      </c>
      <c r="Q6" s="250" t="s">
        <v>768</v>
      </c>
      <c r="R6" s="131"/>
      <c r="S6" s="131"/>
      <c r="T6" s="131"/>
      <c r="U6" s="131"/>
      <c r="V6" s="131"/>
      <c r="W6" s="131"/>
      <c r="X6" s="131"/>
      <c r="Y6" s="131"/>
      <c r="Z6" s="131"/>
      <c r="AJ6" s="278"/>
      <c r="AK6" s="278"/>
      <c r="AL6" s="278"/>
      <c r="AM6" s="278"/>
      <c r="AN6" s="278"/>
    </row>
    <row r="7" spans="1:40" x14ac:dyDescent="0.25">
      <c r="B7" s="814"/>
      <c r="C7" s="720"/>
      <c r="D7" s="827"/>
      <c r="E7" s="828"/>
      <c r="F7" s="828"/>
      <c r="G7" s="828"/>
      <c r="H7" s="828"/>
      <c r="I7" s="828"/>
      <c r="L7" s="827"/>
      <c r="M7" s="828"/>
      <c r="N7" s="828"/>
      <c r="O7" s="828"/>
      <c r="P7" s="828"/>
      <c r="Q7" s="828"/>
      <c r="R7" s="131"/>
      <c r="S7" s="131"/>
      <c r="T7" s="131"/>
      <c r="U7" s="131"/>
      <c r="V7" s="131"/>
      <c r="W7" s="131"/>
      <c r="X7" s="131"/>
      <c r="Y7" s="131"/>
      <c r="Z7" s="131"/>
      <c r="AJ7" s="278"/>
      <c r="AK7" s="278"/>
      <c r="AL7" s="278"/>
      <c r="AM7" s="278"/>
      <c r="AN7" s="278"/>
    </row>
    <row r="8" spans="1:40" x14ac:dyDescent="0.25">
      <c r="B8" s="830" t="s">
        <v>1074</v>
      </c>
      <c r="C8" s="829"/>
      <c r="D8" s="833">
        <f>'Inputs and eligible population'!F44</f>
        <v>358.77097380010969</v>
      </c>
      <c r="E8" s="833">
        <f>'Inputs and eligible population'!G44</f>
        <v>362.23017445313661</v>
      </c>
      <c r="F8" s="833">
        <f>'Inputs and eligible population'!H44</f>
        <v>365.72272805283916</v>
      </c>
      <c r="G8" s="833">
        <f>'Inputs and eligible population'!I44</f>
        <v>369.24895618190743</v>
      </c>
      <c r="H8" s="833">
        <f>'Inputs and eligible population'!J44</f>
        <v>372.80918352367007</v>
      </c>
      <c r="I8" s="833">
        <f>'Inputs and eligible population'!K44</f>
        <v>376.40373789198981</v>
      </c>
      <c r="L8" s="827"/>
      <c r="M8" s="828"/>
      <c r="N8" s="828"/>
      <c r="O8" s="828"/>
      <c r="P8" s="828"/>
      <c r="Q8" s="828"/>
      <c r="R8" s="131"/>
      <c r="S8" s="131"/>
      <c r="T8" s="131"/>
      <c r="U8" s="131"/>
      <c r="V8" s="131"/>
      <c r="W8" s="131"/>
      <c r="X8" s="131"/>
      <c r="Y8" s="131"/>
      <c r="Z8" s="131"/>
      <c r="AJ8" s="278"/>
      <c r="AK8" s="278"/>
      <c r="AL8" s="278"/>
      <c r="AM8" s="278"/>
      <c r="AN8" s="278"/>
    </row>
    <row r="9" spans="1:40" x14ac:dyDescent="0.25">
      <c r="B9" s="832" t="s">
        <v>1065</v>
      </c>
      <c r="C9" s="165"/>
      <c r="D9" s="466">
        <f>'Inputs and eligible population'!F45</f>
        <v>1435.0838952004392</v>
      </c>
      <c r="E9" s="466">
        <f>'Inputs and eligible population'!G45</f>
        <v>1448.9206978125469</v>
      </c>
      <c r="F9" s="466">
        <f>'Inputs and eligible population'!H45</f>
        <v>1462.8909122113571</v>
      </c>
      <c r="G9" s="466">
        <f>'Inputs and eligible population'!I45</f>
        <v>1476.9958247276302</v>
      </c>
      <c r="H9" s="466">
        <f>'Inputs and eligible population'!J45</f>
        <v>1491.236734094681</v>
      </c>
      <c r="I9" s="466">
        <f>'Inputs and eligible population'!K45</f>
        <v>1505.6149515679597</v>
      </c>
      <c r="P9" s="131"/>
      <c r="Q9" s="131"/>
      <c r="R9" s="131"/>
      <c r="S9" s="131"/>
      <c r="T9" s="131"/>
      <c r="U9" s="131"/>
      <c r="V9" s="131"/>
      <c r="W9" s="131"/>
      <c r="X9" s="131"/>
      <c r="Y9" s="131"/>
      <c r="Z9" s="131"/>
      <c r="AJ9" s="278"/>
      <c r="AK9" s="278"/>
      <c r="AL9" s="278"/>
      <c r="AM9" s="278"/>
      <c r="AN9" s="278"/>
    </row>
    <row r="10" spans="1:40" x14ac:dyDescent="0.25">
      <c r="B10" s="831" t="s">
        <v>769</v>
      </c>
      <c r="C10" s="160"/>
      <c r="D10" s="360">
        <f>'Inputs and eligible population'!F46</f>
        <v>1793.8548690005489</v>
      </c>
      <c r="E10" s="360">
        <f>'Inputs and eligible population'!G46</f>
        <v>1811.1508722656836</v>
      </c>
      <c r="F10" s="360">
        <f>'Inputs and eligible population'!H46</f>
        <v>1828.6136402641962</v>
      </c>
      <c r="G10" s="360">
        <f>'Inputs and eligible population'!I46</f>
        <v>1846.2447809095377</v>
      </c>
      <c r="H10" s="360">
        <f>'Inputs and eligible population'!J46</f>
        <v>1864.045917618351</v>
      </c>
      <c r="I10" s="360">
        <f>'Inputs and eligible population'!K46</f>
        <v>1882.0186894599494</v>
      </c>
      <c r="P10" s="131"/>
      <c r="Q10" s="131"/>
      <c r="R10" s="131"/>
      <c r="S10" s="131"/>
      <c r="T10" s="131"/>
      <c r="U10" s="131"/>
      <c r="V10" s="131"/>
      <c r="W10" s="131"/>
      <c r="X10" s="131"/>
      <c r="Y10" s="131"/>
      <c r="Z10" s="131"/>
      <c r="AJ10" s="278"/>
      <c r="AK10" s="278"/>
      <c r="AL10" s="278"/>
      <c r="AM10" s="278"/>
      <c r="AN10" s="278"/>
    </row>
    <row r="11" spans="1:40" x14ac:dyDescent="0.25">
      <c r="B11" s="826"/>
      <c r="C11" s="191"/>
      <c r="D11" s="825"/>
      <c r="E11" s="825"/>
      <c r="F11" s="825"/>
      <c r="G11" s="825"/>
      <c r="H11" s="825"/>
      <c r="I11" s="825"/>
      <c r="P11" s="131"/>
      <c r="Q11" s="131"/>
      <c r="R11" s="131"/>
      <c r="S11" s="131"/>
      <c r="T11" s="131"/>
      <c r="U11" s="131"/>
      <c r="V11" s="131"/>
      <c r="W11" s="131"/>
      <c r="X11" s="131"/>
      <c r="Y11" s="131"/>
      <c r="Z11" s="131"/>
      <c r="AJ11" s="278"/>
      <c r="AK11" s="278"/>
      <c r="AL11" s="278"/>
      <c r="AM11" s="278"/>
      <c r="AN11" s="278"/>
    </row>
    <row r="12" spans="1:40" x14ac:dyDescent="0.25">
      <c r="B12" s="271" t="s">
        <v>799</v>
      </c>
      <c r="C12" s="407"/>
      <c r="D12" s="407"/>
      <c r="E12" s="408"/>
      <c r="F12" s="407"/>
      <c r="G12" s="409"/>
      <c r="H12" s="410"/>
      <c r="I12" s="525"/>
      <c r="L12" s="598" t="s">
        <v>773</v>
      </c>
      <c r="M12" s="598" t="s">
        <v>773</v>
      </c>
      <c r="N12" s="598" t="s">
        <v>773</v>
      </c>
      <c r="O12" s="598" t="s">
        <v>773</v>
      </c>
      <c r="P12" s="598" t="s">
        <v>773</v>
      </c>
      <c r="Q12" s="598" t="s">
        <v>773</v>
      </c>
      <c r="R12" s="131"/>
      <c r="S12" s="131"/>
      <c r="T12" s="131"/>
      <c r="U12" s="131"/>
      <c r="V12" s="131"/>
      <c r="W12" s="131"/>
      <c r="X12" s="131"/>
      <c r="Y12" s="131"/>
      <c r="Z12" s="131"/>
      <c r="AJ12" s="278"/>
      <c r="AK12" s="278"/>
      <c r="AL12" s="278"/>
      <c r="AM12" s="278"/>
      <c r="AN12" s="278"/>
    </row>
    <row r="13" spans="1:40" x14ac:dyDescent="0.25">
      <c r="A13" s="281"/>
      <c r="B13" s="891" t="str">
        <f>B19</f>
        <v xml:space="preserve">Blood transfusions- difference in number of transfusions </v>
      </c>
      <c r="C13" s="892"/>
      <c r="D13" s="393">
        <f>D25</f>
        <v>0</v>
      </c>
      <c r="E13" s="393">
        <f t="shared" ref="E13:I13" si="0">E25</f>
        <v>0</v>
      </c>
      <c r="F13" s="393">
        <f t="shared" si="0"/>
        <v>0</v>
      </c>
      <c r="G13" s="393">
        <f t="shared" si="0"/>
        <v>0</v>
      </c>
      <c r="H13" s="393">
        <f t="shared" si="0"/>
        <v>0</v>
      </c>
      <c r="I13" s="393">
        <f t="shared" si="0"/>
        <v>0</v>
      </c>
      <c r="K13" s="595"/>
      <c r="L13" s="874">
        <f>L25</f>
        <v>0</v>
      </c>
      <c r="M13" s="874">
        <f t="shared" ref="M13:Q13" si="1">M25</f>
        <v>0</v>
      </c>
      <c r="N13" s="874">
        <f t="shared" si="1"/>
        <v>0</v>
      </c>
      <c r="O13" s="874">
        <f t="shared" si="1"/>
        <v>0</v>
      </c>
      <c r="P13" s="874">
        <f t="shared" si="1"/>
        <v>0</v>
      </c>
      <c r="Q13" s="874">
        <f t="shared" si="1"/>
        <v>0</v>
      </c>
      <c r="R13" s="131"/>
      <c r="S13" s="131"/>
      <c r="T13" s="131"/>
      <c r="U13" s="131"/>
      <c r="V13" s="131"/>
      <c r="W13" s="131"/>
      <c r="X13" s="131"/>
      <c r="Y13" s="131"/>
      <c r="Z13" s="131"/>
      <c r="AJ13" s="278"/>
      <c r="AK13" s="278"/>
      <c r="AL13" s="278"/>
      <c r="AM13" s="278"/>
      <c r="AN13" s="278"/>
    </row>
    <row r="14" spans="1:40" x14ac:dyDescent="0.25">
      <c r="A14" s="280"/>
      <c r="B14" s="411" t="str">
        <f>B28</f>
        <v>Exa-cel treatments - number completing treatment</v>
      </c>
      <c r="C14" s="883"/>
      <c r="D14" s="396">
        <f>D32</f>
        <v>0</v>
      </c>
      <c r="E14" s="396">
        <f t="shared" ref="E14:I14" si="2">E32</f>
        <v>0</v>
      </c>
      <c r="F14" s="396">
        <f t="shared" si="2"/>
        <v>0</v>
      </c>
      <c r="G14" s="396">
        <f t="shared" si="2"/>
        <v>0</v>
      </c>
      <c r="H14" s="396">
        <f t="shared" si="2"/>
        <v>0</v>
      </c>
      <c r="I14" s="396">
        <f t="shared" si="2"/>
        <v>0</v>
      </c>
      <c r="K14" s="595"/>
      <c r="L14" s="889">
        <f>L32</f>
        <v>0</v>
      </c>
      <c r="M14" s="889">
        <f t="shared" ref="M14:Q14" si="3">M32</f>
        <v>0</v>
      </c>
      <c r="N14" s="889">
        <f t="shared" si="3"/>
        <v>0</v>
      </c>
      <c r="O14" s="889">
        <f t="shared" si="3"/>
        <v>0</v>
      </c>
      <c r="P14" s="889">
        <f t="shared" si="3"/>
        <v>0</v>
      </c>
      <c r="Q14" s="889">
        <f t="shared" si="3"/>
        <v>0</v>
      </c>
      <c r="R14" s="131"/>
      <c r="S14" s="131"/>
      <c r="T14" s="131"/>
      <c r="U14" s="131"/>
      <c r="V14" s="131"/>
      <c r="W14" s="131"/>
      <c r="X14" s="131"/>
      <c r="Y14" s="131"/>
      <c r="Z14" s="131"/>
      <c r="AJ14" s="278"/>
      <c r="AK14" s="278"/>
      <c r="AL14" s="278"/>
      <c r="AM14" s="278"/>
      <c r="AN14" s="278"/>
    </row>
    <row r="15" spans="1:40" x14ac:dyDescent="0.25">
      <c r="A15" s="280"/>
      <c r="B15" s="411" t="s">
        <v>1264</v>
      </c>
      <c r="C15" s="883"/>
      <c r="D15" s="396">
        <f>D39</f>
        <v>0</v>
      </c>
      <c r="E15" s="396">
        <f t="shared" ref="E15:I15" si="4">E39</f>
        <v>0</v>
      </c>
      <c r="F15" s="396">
        <f t="shared" si="4"/>
        <v>0</v>
      </c>
      <c r="G15" s="396">
        <f t="shared" si="4"/>
        <v>0</v>
      </c>
      <c r="H15" s="396">
        <f t="shared" si="4"/>
        <v>0</v>
      </c>
      <c r="I15" s="396">
        <f t="shared" si="4"/>
        <v>0</v>
      </c>
      <c r="K15" s="595"/>
      <c r="L15" s="889">
        <f>L39</f>
        <v>0</v>
      </c>
      <c r="M15" s="889">
        <f t="shared" ref="M15:Q15" si="5">M39</f>
        <v>0</v>
      </c>
      <c r="N15" s="889">
        <f t="shared" si="5"/>
        <v>0</v>
      </c>
      <c r="O15" s="889">
        <f t="shared" si="5"/>
        <v>0</v>
      </c>
      <c r="P15" s="889">
        <f t="shared" si="5"/>
        <v>0</v>
      </c>
      <c r="Q15" s="889">
        <f t="shared" si="5"/>
        <v>0</v>
      </c>
      <c r="R15" s="131"/>
      <c r="S15" s="131"/>
      <c r="T15" s="131"/>
      <c r="U15" s="131"/>
      <c r="V15" s="131"/>
      <c r="W15" s="131"/>
      <c r="X15" s="131"/>
      <c r="Y15" s="131"/>
      <c r="Z15" s="131"/>
      <c r="AJ15" s="278"/>
      <c r="AK15" s="278"/>
      <c r="AL15" s="278"/>
      <c r="AM15" s="278"/>
      <c r="AN15" s="278"/>
    </row>
    <row r="16" spans="1:40" x14ac:dyDescent="0.25">
      <c r="B16" s="241"/>
      <c r="D16" s="278"/>
      <c r="F16" s="131"/>
      <c r="G16" s="131"/>
      <c r="H16" s="131"/>
      <c r="I16" s="131"/>
      <c r="J16" s="131"/>
      <c r="K16" s="131"/>
      <c r="L16" s="285">
        <f>SUM(L13:L15)</f>
        <v>0</v>
      </c>
      <c r="M16" s="285">
        <f t="shared" ref="M16:Q16" si="6">SUM(M13:M15)</f>
        <v>0</v>
      </c>
      <c r="N16" s="285">
        <f t="shared" si="6"/>
        <v>0</v>
      </c>
      <c r="O16" s="285">
        <f t="shared" si="6"/>
        <v>0</v>
      </c>
      <c r="P16" s="285">
        <f t="shared" si="6"/>
        <v>0</v>
      </c>
      <c r="Q16" s="285">
        <f t="shared" si="6"/>
        <v>0</v>
      </c>
      <c r="R16" s="131"/>
      <c r="S16" s="131"/>
      <c r="T16" s="131"/>
      <c r="U16" s="131"/>
      <c r="V16" s="131"/>
      <c r="W16" s="131"/>
      <c r="X16" s="131"/>
      <c r="Y16" s="131"/>
      <c r="Z16" s="131"/>
    </row>
    <row r="17" spans="1:40" x14ac:dyDescent="0.25">
      <c r="B17" s="302"/>
      <c r="C17" s="302"/>
      <c r="D17" s="302"/>
      <c r="E17" s="302"/>
      <c r="F17" s="302"/>
      <c r="G17" s="302"/>
      <c r="H17" s="302"/>
      <c r="I17" s="302"/>
      <c r="J17" s="302"/>
      <c r="K17" s="302"/>
      <c r="L17" s="302"/>
      <c r="P17" s="131"/>
      <c r="Q17" s="131"/>
      <c r="R17" s="131"/>
      <c r="S17" s="131"/>
      <c r="V17" s="131"/>
      <c r="W17" s="131"/>
      <c r="X17" s="131"/>
      <c r="Y17" s="131"/>
      <c r="Z17" s="131"/>
      <c r="AJ17" s="278"/>
      <c r="AK17" s="278"/>
      <c r="AL17" s="278"/>
      <c r="AM17" s="278"/>
      <c r="AN17" s="278"/>
    </row>
    <row r="18" spans="1:40" x14ac:dyDescent="0.25">
      <c r="B18" s="352" t="s">
        <v>800</v>
      </c>
      <c r="C18" s="353"/>
      <c r="D18" s="353"/>
      <c r="E18" s="354"/>
      <c r="F18" s="353"/>
      <c r="G18" s="355"/>
      <c r="H18" s="356"/>
      <c r="I18" s="356"/>
      <c r="J18" s="356"/>
      <c r="K18" s="356"/>
      <c r="L18" s="356"/>
      <c r="M18" s="356"/>
      <c r="N18" s="356"/>
      <c r="O18" s="356"/>
      <c r="P18" s="356"/>
      <c r="Q18" s="357"/>
      <c r="R18" s="131"/>
      <c r="S18" s="131"/>
      <c r="T18" s="131"/>
      <c r="U18" s="131"/>
      <c r="V18" s="131"/>
      <c r="W18" s="131"/>
      <c r="X18" s="131"/>
      <c r="Y18" s="131"/>
      <c r="Z18" s="131"/>
      <c r="AJ18" s="278"/>
      <c r="AK18" s="278"/>
      <c r="AL18" s="278"/>
      <c r="AM18" s="278"/>
      <c r="AN18" s="278"/>
    </row>
    <row r="19" spans="1:40" x14ac:dyDescent="0.25">
      <c r="A19" s="896"/>
      <c r="B19" s="897" t="s">
        <v>1173</v>
      </c>
      <c r="C19" s="369"/>
      <c r="D19" s="369"/>
      <c r="E19" s="369"/>
      <c r="F19" s="369"/>
      <c r="G19" s="369"/>
      <c r="H19" s="369"/>
      <c r="I19" s="213"/>
      <c r="J19" s="214"/>
      <c r="K19" s="281"/>
      <c r="L19" s="281"/>
      <c r="M19" s="909"/>
      <c r="N19" s="909"/>
      <c r="O19" s="909"/>
      <c r="P19" s="909"/>
      <c r="Q19" s="909"/>
      <c r="R19" s="131"/>
      <c r="S19" s="131"/>
      <c r="T19" s="131"/>
      <c r="U19" s="131"/>
      <c r="V19" s="131"/>
      <c r="W19" s="131"/>
      <c r="X19" s="131"/>
      <c r="Y19" s="131"/>
      <c r="Z19" s="131"/>
      <c r="AJ19" s="278"/>
      <c r="AK19" s="278"/>
      <c r="AL19" s="278"/>
      <c r="AM19" s="278"/>
      <c r="AN19" s="278"/>
    </row>
    <row r="20" spans="1:40" ht="45" x14ac:dyDescent="0.25">
      <c r="A20" s="896"/>
      <c r="B20" s="301" t="s">
        <v>741</v>
      </c>
      <c r="C20" s="163" t="s">
        <v>801</v>
      </c>
      <c r="D20" s="394" t="s">
        <v>792</v>
      </c>
      <c r="E20" s="250" t="s">
        <v>672</v>
      </c>
      <c r="F20" s="250" t="s">
        <v>673</v>
      </c>
      <c r="G20" s="162" t="s">
        <v>766</v>
      </c>
      <c r="H20" s="162" t="s">
        <v>767</v>
      </c>
      <c r="I20" s="250" t="s">
        <v>768</v>
      </c>
      <c r="J20" s="903"/>
      <c r="K20" s="904"/>
      <c r="L20" s="905"/>
      <c r="M20" s="906"/>
      <c r="N20" s="906"/>
      <c r="O20" s="906"/>
      <c r="P20" s="906"/>
      <c r="Q20" s="906"/>
      <c r="R20" s="131"/>
      <c r="S20" s="131"/>
      <c r="T20" s="131"/>
      <c r="U20" s="131"/>
      <c r="V20" s="131"/>
      <c r="W20" s="131"/>
      <c r="X20" s="131"/>
      <c r="Y20" s="131"/>
      <c r="Z20" s="131"/>
      <c r="AJ20" s="278"/>
      <c r="AK20" s="278"/>
      <c r="AL20" s="278"/>
      <c r="AM20" s="278"/>
      <c r="AN20" s="278"/>
    </row>
    <row r="21" spans="1:40" x14ac:dyDescent="0.25">
      <c r="A21" s="896"/>
      <c r="B21" s="331" t="s">
        <v>1168</v>
      </c>
      <c r="C21" s="147">
        <f>'Inputs and eligible population'!H135</f>
        <v>5</v>
      </c>
      <c r="D21" s="126">
        <f>'Inputs and eligible population'!F50*$C21</f>
        <v>0</v>
      </c>
      <c r="E21" s="126">
        <f>'Inputs and eligible population'!G50*'Capacity (local prices)'!$C129</f>
        <v>0</v>
      </c>
      <c r="F21" s="126">
        <f>'Inputs and eligible population'!H50*'Capacity (local prices)'!$C129</f>
        <v>0</v>
      </c>
      <c r="G21" s="126">
        <f>'Inputs and eligible population'!I50*'Capacity (local prices)'!$C129</f>
        <v>0</v>
      </c>
      <c r="H21" s="126">
        <f>'Inputs and eligible population'!J50*'Capacity (local prices)'!$C129</f>
        <v>0</v>
      </c>
      <c r="I21" s="126">
        <f>'Inputs and eligible population'!K50*'Capacity (local prices)'!$C129</f>
        <v>0</v>
      </c>
      <c r="J21" s="903"/>
      <c r="K21" s="993"/>
      <c r="L21" s="994"/>
      <c r="M21" s="994"/>
      <c r="N21" s="994"/>
      <c r="O21" s="994"/>
      <c r="P21" s="994"/>
      <c r="Q21" s="994"/>
      <c r="R21" s="131"/>
      <c r="S21" s="131"/>
      <c r="T21" s="131"/>
      <c r="U21" s="131"/>
      <c r="V21" s="131"/>
      <c r="W21" s="131"/>
      <c r="X21" s="131"/>
      <c r="Y21" s="131"/>
      <c r="Z21" s="131"/>
      <c r="AJ21" s="278"/>
      <c r="AK21" s="278"/>
      <c r="AL21" s="278"/>
      <c r="AM21" s="278"/>
      <c r="AN21" s="278"/>
    </row>
    <row r="22" spans="1:40" ht="45" x14ac:dyDescent="0.25">
      <c r="A22" s="896"/>
      <c r="B22" s="331" t="s">
        <v>1169</v>
      </c>
      <c r="C22" s="147">
        <f>'Inputs and eligible population'!G135</f>
        <v>5</v>
      </c>
      <c r="D22" s="126">
        <f>'Inputs and eligible population'!F51*$C22</f>
        <v>0</v>
      </c>
      <c r="E22" s="126">
        <f>'Inputs and eligible population'!G51*$C22</f>
        <v>0</v>
      </c>
      <c r="F22" s="126">
        <f>'Inputs and eligible population'!H51*$C22</f>
        <v>0</v>
      </c>
      <c r="G22" s="126">
        <f>'Inputs and eligible population'!I51*$C22</f>
        <v>0</v>
      </c>
      <c r="H22" s="126">
        <f>'Inputs and eligible population'!J51*$C22</f>
        <v>0</v>
      </c>
      <c r="I22" s="126">
        <f>'Inputs and eligible population'!K51*$C22</f>
        <v>0</v>
      </c>
      <c r="J22" s="903"/>
      <c r="K22" s="990" t="s">
        <v>810</v>
      </c>
      <c r="L22" s="966" t="s">
        <v>792</v>
      </c>
      <c r="M22" s="991" t="s">
        <v>672</v>
      </c>
      <c r="N22" s="991" t="s">
        <v>673</v>
      </c>
      <c r="O22" s="992" t="s">
        <v>766</v>
      </c>
      <c r="P22" s="992" t="s">
        <v>767</v>
      </c>
      <c r="Q22" s="991" t="s">
        <v>768</v>
      </c>
      <c r="R22" s="131"/>
      <c r="S22" s="131"/>
      <c r="T22" s="131"/>
      <c r="U22" s="131"/>
      <c r="V22" s="131"/>
      <c r="W22" s="131"/>
      <c r="X22" s="131"/>
      <c r="Y22" s="131"/>
      <c r="Z22" s="131"/>
      <c r="AJ22" s="278"/>
      <c r="AK22" s="278"/>
      <c r="AL22" s="278"/>
      <c r="AM22" s="278"/>
      <c r="AN22" s="278"/>
    </row>
    <row r="23" spans="1:40" x14ac:dyDescent="0.25">
      <c r="A23" s="896"/>
      <c r="B23" s="331" t="s">
        <v>1170</v>
      </c>
      <c r="C23" s="147">
        <f>-'Inputs and eligible population'!I137</f>
        <v>-8.6999999999999993</v>
      </c>
      <c r="D23" s="126">
        <v>0</v>
      </c>
      <c r="E23" s="1018">
        <f>'Inputs and eligible population'!F59*C23*'Inputs and eligible population'!G53</f>
        <v>0</v>
      </c>
      <c r="F23" s="1018">
        <f>('Inputs and eligible population'!F59+'Inputs and eligible population'!G59)*C23*'Inputs and eligible population'!H53</f>
        <v>0</v>
      </c>
      <c r="G23" s="1018">
        <f>('Inputs and eligible population'!F59+'Inputs and eligible population'!G59+'Inputs and eligible population'!H59)*C23*'Inputs and eligible population'!I53</f>
        <v>0</v>
      </c>
      <c r="H23" s="1018">
        <f>('Inputs and eligible population'!F59+'Inputs and eligible population'!G59+'Inputs and eligible population'!H59+'Inputs and eligible population'!I59)*C23*'Inputs and eligible population'!J53</f>
        <v>0</v>
      </c>
      <c r="I23" s="1018">
        <f>('Inputs and eligible population'!F59+'Inputs and eligible population'!G59+'Inputs and eligible population'!H59+'Inputs and eligible population'!I59+'Inputs and eligible population'!J59)*C23*'Inputs and eligible population'!K53</f>
        <v>0</v>
      </c>
      <c r="J23" s="903"/>
      <c r="K23" s="521">
        <f>'Unit costs'!M81</f>
        <v>678</v>
      </c>
      <c r="L23" s="284">
        <f t="shared" ref="L23:Q24" si="7">(D23*$K23)/1000</f>
        <v>0</v>
      </c>
      <c r="M23" s="284">
        <f t="shared" si="7"/>
        <v>0</v>
      </c>
      <c r="N23" s="284">
        <f t="shared" si="7"/>
        <v>0</v>
      </c>
      <c r="O23" s="284">
        <f t="shared" si="7"/>
        <v>0</v>
      </c>
      <c r="P23" s="284">
        <f t="shared" si="7"/>
        <v>0</v>
      </c>
      <c r="Q23" s="284">
        <f t="shared" si="7"/>
        <v>0</v>
      </c>
      <c r="R23" s="131"/>
      <c r="S23" s="131"/>
      <c r="T23" s="131"/>
      <c r="U23" s="131"/>
      <c r="V23" s="131"/>
      <c r="W23" s="131"/>
      <c r="X23" s="131"/>
      <c r="Y23" s="131"/>
      <c r="Z23" s="131"/>
      <c r="AJ23" s="278"/>
      <c r="AK23" s="278"/>
      <c r="AL23" s="278"/>
      <c r="AM23" s="278"/>
      <c r="AN23" s="278"/>
    </row>
    <row r="24" spans="1:40" x14ac:dyDescent="0.25">
      <c r="A24" s="896"/>
      <c r="B24" s="331" t="s">
        <v>1175</v>
      </c>
      <c r="C24" s="147">
        <f>-'Inputs and eligible population'!I137</f>
        <v>-8.6999999999999993</v>
      </c>
      <c r="D24" s="126">
        <v>0</v>
      </c>
      <c r="E24" s="1018">
        <f>'Inputs and eligible population'!F60*C24*'Inputs and eligible population'!G53</f>
        <v>0</v>
      </c>
      <c r="F24" s="1018">
        <f>('Inputs and eligible population'!F60+'Inputs and eligible population'!G60)*C24*'Inputs and eligible population'!H53</f>
        <v>0</v>
      </c>
      <c r="G24" s="1018">
        <f>('Inputs and eligible population'!F60+'Inputs and eligible population'!G60+'Inputs and eligible population'!H60)*C24*'Inputs and eligible population'!I53</f>
        <v>0</v>
      </c>
      <c r="H24" s="1018">
        <f>('Inputs and eligible population'!F60+'Inputs and eligible population'!G60+'Inputs and eligible population'!H60+'Inputs and eligible population'!I60)*C24*'Inputs and eligible population'!J53</f>
        <v>0</v>
      </c>
      <c r="I24" s="1018">
        <f>('Inputs and eligible population'!F60+'Inputs and eligible population'!G60+'Inputs and eligible population'!H60+'Inputs and eligible population'!I60+'Inputs and eligible population'!J60)*C24*'Inputs and eligible population'!K53</f>
        <v>0</v>
      </c>
      <c r="J24" s="903"/>
      <c r="K24" s="521">
        <f>'Unit costs'!M80</f>
        <v>511</v>
      </c>
      <c r="L24" s="284">
        <f t="shared" si="7"/>
        <v>0</v>
      </c>
      <c r="M24" s="284">
        <f t="shared" si="7"/>
        <v>0</v>
      </c>
      <c r="N24" s="284">
        <f t="shared" si="7"/>
        <v>0</v>
      </c>
      <c r="O24" s="284">
        <f t="shared" si="7"/>
        <v>0</v>
      </c>
      <c r="P24" s="284">
        <f t="shared" si="7"/>
        <v>0</v>
      </c>
      <c r="Q24" s="284">
        <f t="shared" si="7"/>
        <v>0</v>
      </c>
      <c r="R24" s="131"/>
      <c r="S24" s="131"/>
      <c r="T24" s="131"/>
      <c r="U24" s="131"/>
      <c r="V24" s="131"/>
      <c r="W24" s="131"/>
      <c r="X24" s="131"/>
      <c r="Y24" s="131"/>
      <c r="Z24" s="131"/>
      <c r="AJ24" s="278"/>
      <c r="AK24" s="278"/>
      <c r="AL24" s="278"/>
      <c r="AM24" s="278"/>
      <c r="AN24" s="278"/>
    </row>
    <row r="25" spans="1:40" x14ac:dyDescent="0.25">
      <c r="A25" s="896"/>
      <c r="B25" s="480"/>
      <c r="C25" s="275"/>
      <c r="D25" s="182">
        <f t="shared" ref="D25:I25" si="8">SUM(D21:D24)</f>
        <v>0</v>
      </c>
      <c r="E25" s="182">
        <f>SUM(E21:E24)</f>
        <v>0</v>
      </c>
      <c r="F25" s="182">
        <f t="shared" si="8"/>
        <v>0</v>
      </c>
      <c r="G25" s="182">
        <f t="shared" si="8"/>
        <v>0</v>
      </c>
      <c r="H25" s="182">
        <f>SUM(H21:H24)</f>
        <v>0</v>
      </c>
      <c r="I25" s="182">
        <f t="shared" si="8"/>
        <v>0</v>
      </c>
      <c r="J25" s="903"/>
      <c r="K25" s="214"/>
      <c r="L25" s="285">
        <f>SUM(L21:L24)</f>
        <v>0</v>
      </c>
      <c r="M25" s="285">
        <f t="shared" ref="M25:Q25" si="9">SUM(M21:M24)</f>
        <v>0</v>
      </c>
      <c r="N25" s="285">
        <f t="shared" si="9"/>
        <v>0</v>
      </c>
      <c r="O25" s="285">
        <f t="shared" si="9"/>
        <v>0</v>
      </c>
      <c r="P25" s="285">
        <f t="shared" si="9"/>
        <v>0</v>
      </c>
      <c r="Q25" s="285">
        <f t="shared" si="9"/>
        <v>0</v>
      </c>
      <c r="R25" s="131"/>
      <c r="S25" s="131"/>
      <c r="T25" s="131"/>
      <c r="U25" s="131"/>
      <c r="V25" s="131"/>
      <c r="W25" s="131"/>
      <c r="X25" s="131"/>
      <c r="Y25" s="131"/>
      <c r="Z25" s="131"/>
      <c r="AJ25" s="278"/>
      <c r="AK25" s="278"/>
      <c r="AL25" s="278"/>
      <c r="AM25" s="278"/>
      <c r="AN25" s="278"/>
    </row>
    <row r="26" spans="1:40" x14ac:dyDescent="0.25">
      <c r="A26" s="896"/>
      <c r="B26" s="251"/>
      <c r="C26" s="251"/>
      <c r="D26" s="277" t="s">
        <v>803</v>
      </c>
      <c r="E26" s="182">
        <f>E25-D25</f>
        <v>0</v>
      </c>
      <c r="F26" s="182">
        <f>F25-$D25</f>
        <v>0</v>
      </c>
      <c r="G26" s="182">
        <f>G25-$D25</f>
        <v>0</v>
      </c>
      <c r="H26" s="182">
        <f>H25-$D25</f>
        <v>0</v>
      </c>
      <c r="I26" s="182">
        <f>I25-$D25</f>
        <v>0</v>
      </c>
      <c r="J26" s="903"/>
      <c r="K26" s="214"/>
      <c r="L26" s="497"/>
      <c r="M26" s="285">
        <f>M25-$L25</f>
        <v>0</v>
      </c>
      <c r="N26" s="285">
        <f>N25-$L25</f>
        <v>0</v>
      </c>
      <c r="O26" s="285">
        <f>O25-$L25</f>
        <v>0</v>
      </c>
      <c r="P26" s="285">
        <f>P25-$L25</f>
        <v>0</v>
      </c>
      <c r="Q26" s="285">
        <f>Q25-$L25</f>
        <v>0</v>
      </c>
      <c r="R26" s="131"/>
      <c r="S26" s="131"/>
      <c r="T26" s="131"/>
      <c r="U26" s="131"/>
      <c r="V26" s="131"/>
      <c r="W26" s="131"/>
      <c r="X26" s="131"/>
      <c r="Y26" s="131"/>
      <c r="Z26" s="131"/>
      <c r="AJ26" s="278"/>
      <c r="AK26" s="278"/>
      <c r="AL26" s="278"/>
      <c r="AM26" s="278"/>
      <c r="AN26" s="278"/>
    </row>
    <row r="27" spans="1:40" x14ac:dyDescent="0.25">
      <c r="A27" s="280"/>
      <c r="B27" s="516"/>
      <c r="C27" s="509"/>
      <c r="D27" s="510"/>
      <c r="E27" s="511"/>
      <c r="F27" s="280"/>
      <c r="G27" s="280"/>
      <c r="H27" s="212"/>
      <c r="I27" s="212"/>
      <c r="J27" s="212"/>
      <c r="K27" s="212"/>
      <c r="L27" s="212"/>
      <c r="M27" s="212"/>
      <c r="N27" s="212"/>
      <c r="O27" s="212"/>
      <c r="P27" s="212"/>
      <c r="Q27" s="212"/>
      <c r="R27" s="131"/>
      <c r="S27" s="131"/>
      <c r="T27" s="131"/>
      <c r="U27" s="131"/>
      <c r="V27" s="131"/>
      <c r="W27" s="131"/>
      <c r="X27" s="131"/>
      <c r="Y27" s="131"/>
      <c r="Z27" s="131"/>
      <c r="AJ27" s="278"/>
      <c r="AK27" s="278"/>
      <c r="AL27" s="278"/>
      <c r="AM27" s="278"/>
      <c r="AN27" s="278"/>
    </row>
    <row r="28" spans="1:40" x14ac:dyDescent="0.25">
      <c r="A28" s="507"/>
      <c r="B28" s="512" t="s">
        <v>1261</v>
      </c>
      <c r="C28" s="371"/>
      <c r="D28" s="371"/>
      <c r="E28" s="371"/>
      <c r="F28" s="371"/>
      <c r="G28" s="371"/>
      <c r="H28" s="371"/>
      <c r="I28" s="211"/>
      <c r="J28" s="212"/>
      <c r="K28" s="212"/>
      <c r="L28" s="212"/>
      <c r="M28" s="212"/>
      <c r="N28" s="212"/>
      <c r="O28" s="212"/>
      <c r="P28" s="212"/>
      <c r="Q28" s="212"/>
      <c r="R28" s="131"/>
      <c r="S28" s="131"/>
      <c r="T28" s="131"/>
      <c r="U28" s="131"/>
      <c r="V28" s="131"/>
      <c r="W28" s="131"/>
      <c r="X28" s="131"/>
      <c r="Y28" s="131"/>
      <c r="Z28" s="131"/>
      <c r="AJ28" s="278"/>
      <c r="AK28" s="278"/>
      <c r="AL28" s="278"/>
      <c r="AM28" s="278"/>
      <c r="AN28" s="278"/>
    </row>
    <row r="29" spans="1:40" ht="45" x14ac:dyDescent="0.25">
      <c r="A29" s="507"/>
      <c r="B29" s="301" t="s">
        <v>741</v>
      </c>
      <c r="C29" s="163" t="s">
        <v>801</v>
      </c>
      <c r="D29" s="394" t="s">
        <v>792</v>
      </c>
      <c r="E29" s="250" t="s">
        <v>672</v>
      </c>
      <c r="F29" s="250" t="s">
        <v>673</v>
      </c>
      <c r="G29" s="162" t="s">
        <v>766</v>
      </c>
      <c r="H29" s="162" t="s">
        <v>767</v>
      </c>
      <c r="I29" s="250" t="s">
        <v>768</v>
      </c>
      <c r="J29" s="515"/>
      <c r="K29" s="506" t="s">
        <v>810</v>
      </c>
      <c r="L29" s="967" t="s">
        <v>792</v>
      </c>
      <c r="M29" s="250" t="s">
        <v>672</v>
      </c>
      <c r="N29" s="250" t="s">
        <v>673</v>
      </c>
      <c r="O29" s="162" t="s">
        <v>766</v>
      </c>
      <c r="P29" s="162" t="s">
        <v>767</v>
      </c>
      <c r="Q29" s="250" t="s">
        <v>768</v>
      </c>
      <c r="R29" s="131"/>
      <c r="S29" s="131"/>
      <c r="T29" s="131"/>
      <c r="U29" s="131"/>
      <c r="V29" s="131"/>
      <c r="W29" s="131"/>
      <c r="X29" s="131"/>
      <c r="Y29" s="131"/>
      <c r="Z29" s="131"/>
      <c r="AJ29" s="278"/>
      <c r="AK29" s="278"/>
      <c r="AL29" s="278"/>
      <c r="AM29" s="278"/>
      <c r="AN29" s="278"/>
    </row>
    <row r="30" spans="1:40" x14ac:dyDescent="0.25">
      <c r="A30" s="507"/>
      <c r="B30" s="331" t="s">
        <v>1082</v>
      </c>
      <c r="C30" s="147">
        <f>'Inputs and eligible population'!H141</f>
        <v>1</v>
      </c>
      <c r="D30" s="126">
        <f>'Inputs and eligible population'!F59*'Capacity (local prices)'!$C161</f>
        <v>0</v>
      </c>
      <c r="E30" s="126">
        <f>'Inputs and eligible population'!G59*'Capacity (local prices)'!$C161</f>
        <v>0</v>
      </c>
      <c r="F30" s="126">
        <f>'Inputs and eligible population'!H59*'Capacity (local prices)'!$C161</f>
        <v>0</v>
      </c>
      <c r="G30" s="126">
        <f>'Inputs and eligible population'!I59*'Capacity (local prices)'!$C161</f>
        <v>0</v>
      </c>
      <c r="H30" s="126">
        <f>'Inputs and eligible population'!J59*'Capacity (local prices)'!$C161</f>
        <v>0</v>
      </c>
      <c r="I30" s="126">
        <f>'Inputs and eligible population'!K59*'Capacity (local prices)'!$C161</f>
        <v>0</v>
      </c>
      <c r="J30" s="515"/>
      <c r="K30" s="521">
        <f>'Unit costs'!C38</f>
        <v>58953</v>
      </c>
      <c r="L30" s="284">
        <f>D30*$K30/1000</f>
        <v>0</v>
      </c>
      <c r="M30" s="284">
        <f>E30*$K30/1000</f>
        <v>0</v>
      </c>
      <c r="N30" s="284">
        <f t="shared" ref="N30:Q31" si="10">F30*$K30/1000</f>
        <v>0</v>
      </c>
      <c r="O30" s="284">
        <f t="shared" si="10"/>
        <v>0</v>
      </c>
      <c r="P30" s="284">
        <f t="shared" si="10"/>
        <v>0</v>
      </c>
      <c r="Q30" s="284">
        <f t="shared" si="10"/>
        <v>0</v>
      </c>
      <c r="R30" s="131"/>
      <c r="S30" s="131"/>
      <c r="T30" s="131"/>
      <c r="U30" s="131"/>
      <c r="V30" s="131"/>
      <c r="W30" s="131"/>
      <c r="X30" s="131"/>
      <c r="Y30" s="131"/>
      <c r="Z30" s="131"/>
      <c r="AJ30" s="278"/>
      <c r="AK30" s="278"/>
      <c r="AL30" s="278"/>
      <c r="AM30" s="278"/>
      <c r="AN30" s="278"/>
    </row>
    <row r="31" spans="1:40" x14ac:dyDescent="0.25">
      <c r="A31" s="507"/>
      <c r="B31" s="331" t="s">
        <v>1081</v>
      </c>
      <c r="C31" s="147">
        <f>'Inputs and eligible population'!G141</f>
        <v>1</v>
      </c>
      <c r="D31" s="126">
        <f>'Inputs and eligible population'!F60*'Capacity (local prices)'!$C162</f>
        <v>0</v>
      </c>
      <c r="E31" s="126">
        <f>'Inputs and eligible population'!G60*'Capacity (local prices)'!$C162</f>
        <v>0</v>
      </c>
      <c r="F31" s="126">
        <f>'Inputs and eligible population'!H60*'Capacity (local prices)'!$C162</f>
        <v>0</v>
      </c>
      <c r="G31" s="126">
        <f>'Inputs and eligible population'!I60*'Capacity (local prices)'!$C162</f>
        <v>0</v>
      </c>
      <c r="H31" s="126">
        <f>'Inputs and eligible population'!J60*'Capacity (local prices)'!$C162</f>
        <v>0</v>
      </c>
      <c r="I31" s="126">
        <f>'Inputs and eligible population'!K60*'Capacity (local prices)'!$C162</f>
        <v>0</v>
      </c>
      <c r="J31" s="515"/>
      <c r="K31" s="521">
        <f>'Unit costs'!C38</f>
        <v>58953</v>
      </c>
      <c r="L31" s="284">
        <f>D31*$K31/1000</f>
        <v>0</v>
      </c>
      <c r="M31" s="284">
        <f t="shared" ref="M31" si="11">E31*$K31/1000</f>
        <v>0</v>
      </c>
      <c r="N31" s="284">
        <f t="shared" si="10"/>
        <v>0</v>
      </c>
      <c r="O31" s="284">
        <f t="shared" si="10"/>
        <v>0</v>
      </c>
      <c r="P31" s="284">
        <f t="shared" si="10"/>
        <v>0</v>
      </c>
      <c r="Q31" s="284">
        <f t="shared" si="10"/>
        <v>0</v>
      </c>
      <c r="R31" s="131"/>
      <c r="S31" s="131"/>
      <c r="T31" s="131"/>
      <c r="U31" s="131"/>
      <c r="V31" s="131"/>
      <c r="W31" s="131"/>
      <c r="X31" s="131"/>
      <c r="Y31" s="131"/>
      <c r="Z31" s="131"/>
      <c r="AJ31" s="278"/>
      <c r="AK31" s="278"/>
      <c r="AL31" s="278"/>
      <c r="AM31" s="278"/>
      <c r="AN31" s="278"/>
    </row>
    <row r="32" spans="1:40" x14ac:dyDescent="0.25">
      <c r="A32" s="507"/>
      <c r="B32" s="480"/>
      <c r="C32" s="275"/>
      <c r="D32" s="182">
        <f t="shared" ref="D32:I32" si="12">SUM(D30:D31)</f>
        <v>0</v>
      </c>
      <c r="E32" s="182">
        <f t="shared" si="12"/>
        <v>0</v>
      </c>
      <c r="F32" s="182">
        <f t="shared" si="12"/>
        <v>0</v>
      </c>
      <c r="G32" s="182">
        <f t="shared" si="12"/>
        <v>0</v>
      </c>
      <c r="H32" s="182">
        <f t="shared" si="12"/>
        <v>0</v>
      </c>
      <c r="I32" s="182">
        <f t="shared" si="12"/>
        <v>0</v>
      </c>
      <c r="J32" s="515"/>
      <c r="K32" s="878"/>
      <c r="L32" s="285">
        <f t="shared" ref="L32:Q32" si="13">SUM(L31:L31)</f>
        <v>0</v>
      </c>
      <c r="M32" s="285">
        <f t="shared" si="13"/>
        <v>0</v>
      </c>
      <c r="N32" s="285">
        <f t="shared" si="13"/>
        <v>0</v>
      </c>
      <c r="O32" s="285">
        <f t="shared" si="13"/>
        <v>0</v>
      </c>
      <c r="P32" s="285">
        <f t="shared" si="13"/>
        <v>0</v>
      </c>
      <c r="Q32" s="285">
        <f t="shared" si="13"/>
        <v>0</v>
      </c>
      <c r="R32" s="131"/>
      <c r="S32" s="131"/>
      <c r="T32" s="131"/>
      <c r="U32" s="131"/>
      <c r="V32" s="131"/>
      <c r="W32" s="131"/>
      <c r="X32" s="131"/>
      <c r="Y32" s="131"/>
      <c r="Z32" s="131"/>
      <c r="AJ32" s="278"/>
      <c r="AK32" s="278"/>
      <c r="AL32" s="278"/>
      <c r="AM32" s="278"/>
      <c r="AN32" s="278"/>
    </row>
    <row r="33" spans="1:40" x14ac:dyDescent="0.25">
      <c r="A33" s="507"/>
      <c r="B33" s="251"/>
      <c r="C33" s="251"/>
      <c r="D33" s="277" t="s">
        <v>803</v>
      </c>
      <c r="E33" s="182">
        <f>E32-$D32</f>
        <v>0</v>
      </c>
      <c r="F33" s="182">
        <f>F32-$D32</f>
        <v>0</v>
      </c>
      <c r="G33" s="182">
        <f>G32-$D32</f>
        <v>0</v>
      </c>
      <c r="H33" s="182">
        <f>H32-$D32</f>
        <v>0</v>
      </c>
      <c r="I33" s="182">
        <f>I32-$D32</f>
        <v>0</v>
      </c>
      <c r="J33" s="515"/>
      <c r="K33" s="280"/>
      <c r="L33" s="968"/>
      <c r="M33" s="285">
        <f>M32-$L32</f>
        <v>0</v>
      </c>
      <c r="N33" s="285">
        <f>N32-$L32</f>
        <v>0</v>
      </c>
      <c r="O33" s="285">
        <f>O32-$L32</f>
        <v>0</v>
      </c>
      <c r="P33" s="285">
        <f>P32-$L32</f>
        <v>0</v>
      </c>
      <c r="Q33" s="285">
        <f>Q32-$L32</f>
        <v>0</v>
      </c>
      <c r="R33" s="131"/>
      <c r="S33" s="131"/>
      <c r="T33" s="131"/>
      <c r="U33" s="131"/>
      <c r="V33" s="131"/>
      <c r="W33" s="131"/>
      <c r="X33" s="131"/>
      <c r="Y33" s="131"/>
      <c r="Z33" s="131"/>
      <c r="AJ33" s="278"/>
      <c r="AK33" s="278"/>
      <c r="AL33" s="278"/>
      <c r="AM33" s="278"/>
      <c r="AN33" s="278"/>
    </row>
    <row r="34" spans="1:40" x14ac:dyDescent="0.25">
      <c r="A34" s="280"/>
      <c r="B34" s="508"/>
      <c r="C34" s="509"/>
      <c r="D34" s="510"/>
      <c r="E34" s="511"/>
      <c r="F34" s="280"/>
      <c r="G34" s="280"/>
      <c r="H34" s="280"/>
      <c r="I34" s="292"/>
      <c r="J34" s="212"/>
      <c r="K34" s="212"/>
      <c r="L34" s="212"/>
      <c r="M34" s="880"/>
      <c r="N34" s="880"/>
      <c r="O34" s="880"/>
      <c r="P34" s="880"/>
      <c r="Q34" s="880"/>
      <c r="R34" s="131"/>
      <c r="S34" s="131"/>
      <c r="T34" s="131"/>
      <c r="U34" s="131"/>
      <c r="V34" s="131"/>
      <c r="W34" s="131"/>
      <c r="X34" s="131"/>
      <c r="Y34" s="131"/>
      <c r="Z34" s="131"/>
      <c r="AJ34" s="278"/>
      <c r="AK34" s="278"/>
      <c r="AL34" s="278"/>
      <c r="AM34" s="278"/>
      <c r="AN34" s="278"/>
    </row>
    <row r="35" spans="1:40" x14ac:dyDescent="0.25">
      <c r="A35" s="507"/>
      <c r="B35" s="512" t="s">
        <v>1248</v>
      </c>
      <c r="C35" s="371"/>
      <c r="D35" s="371"/>
      <c r="E35" s="371"/>
      <c r="F35" s="371"/>
      <c r="G35" s="371"/>
      <c r="H35" s="371"/>
      <c r="I35" s="211"/>
      <c r="J35" s="212"/>
      <c r="K35" s="212"/>
      <c r="L35" s="212"/>
      <c r="M35" s="212"/>
      <c r="N35" s="212"/>
      <c r="O35" s="212"/>
      <c r="P35" s="212"/>
      <c r="Q35" s="212"/>
      <c r="R35" s="131"/>
      <c r="S35" s="131"/>
      <c r="T35" s="131"/>
      <c r="U35" s="131"/>
      <c r="V35" s="131"/>
      <c r="W35" s="131"/>
      <c r="X35" s="131"/>
      <c r="Y35" s="131"/>
      <c r="Z35" s="131"/>
      <c r="AJ35" s="278"/>
      <c r="AK35" s="278"/>
      <c r="AL35" s="278"/>
      <c r="AM35" s="278"/>
      <c r="AN35" s="278"/>
    </row>
    <row r="36" spans="1:40" ht="45" x14ac:dyDescent="0.25">
      <c r="A36" s="507"/>
      <c r="B36" s="301" t="s">
        <v>741</v>
      </c>
      <c r="C36" s="163" t="s">
        <v>801</v>
      </c>
      <c r="D36" s="394" t="s">
        <v>792</v>
      </c>
      <c r="E36" s="250" t="s">
        <v>672</v>
      </c>
      <c r="F36" s="250" t="s">
        <v>673</v>
      </c>
      <c r="G36" s="162" t="s">
        <v>766</v>
      </c>
      <c r="H36" s="162" t="s">
        <v>767</v>
      </c>
      <c r="I36" s="250" t="s">
        <v>768</v>
      </c>
      <c r="J36" s="515"/>
      <c r="K36" s="506" t="s">
        <v>810</v>
      </c>
      <c r="L36" s="967" t="s">
        <v>792</v>
      </c>
      <c r="M36" s="250" t="s">
        <v>672</v>
      </c>
      <c r="N36" s="250" t="s">
        <v>673</v>
      </c>
      <c r="O36" s="162" t="s">
        <v>766</v>
      </c>
      <c r="P36" s="162" t="s">
        <v>767</v>
      </c>
      <c r="Q36" s="250" t="s">
        <v>768</v>
      </c>
      <c r="R36" s="131"/>
      <c r="S36" s="131"/>
      <c r="T36" s="131"/>
      <c r="U36" s="131"/>
      <c r="V36" s="131"/>
      <c r="W36" s="131"/>
      <c r="X36" s="131"/>
      <c r="Y36" s="131"/>
      <c r="Z36" s="131"/>
      <c r="AJ36" s="278"/>
      <c r="AK36" s="278"/>
      <c r="AL36" s="278"/>
      <c r="AM36" s="278"/>
      <c r="AN36" s="278"/>
    </row>
    <row r="37" spans="1:40" x14ac:dyDescent="0.25">
      <c r="A37" s="507"/>
      <c r="B37" s="331" t="s">
        <v>1249</v>
      </c>
      <c r="C37" s="147">
        <v>1</v>
      </c>
      <c r="D37" s="126">
        <f>'Inputs and eligible population'!F50-'Inputs and eligible population'!F59</f>
        <v>0</v>
      </c>
      <c r="E37" s="126">
        <f>'Inputs and eligible population'!G50-'Inputs and eligible population'!G59</f>
        <v>0</v>
      </c>
      <c r="F37" s="126">
        <f>'Inputs and eligible population'!H50-'Inputs and eligible population'!H59</f>
        <v>0</v>
      </c>
      <c r="G37" s="126">
        <f>'Inputs and eligible population'!I50-'Inputs and eligible population'!I59</f>
        <v>0</v>
      </c>
      <c r="H37" s="126">
        <f>'Inputs and eligible population'!J50-'Inputs and eligible population'!J59</f>
        <v>0</v>
      </c>
      <c r="I37" s="126">
        <f>'Inputs and eligible population'!K50-'Inputs and eligible population'!K59</f>
        <v>0</v>
      </c>
      <c r="J37" s="515"/>
      <c r="K37" s="521">
        <f>'Unit costs'!C39</f>
        <v>0</v>
      </c>
      <c r="L37" s="284">
        <f>D37*$K37/1000</f>
        <v>0</v>
      </c>
      <c r="M37" s="284">
        <f>E37*$K37/1000</f>
        <v>0</v>
      </c>
      <c r="N37" s="284">
        <f t="shared" ref="N37:N38" si="14">F37*$K37/1000</f>
        <v>0</v>
      </c>
      <c r="O37" s="284">
        <f t="shared" ref="O37:O38" si="15">G37*$K37/1000</f>
        <v>0</v>
      </c>
      <c r="P37" s="284">
        <f t="shared" ref="P37:P38" si="16">H37*$K37/1000</f>
        <v>0</v>
      </c>
      <c r="Q37" s="284">
        <f t="shared" ref="Q37:Q38" si="17">I37*$K37/1000</f>
        <v>0</v>
      </c>
      <c r="R37" s="131"/>
      <c r="S37" s="131"/>
      <c r="T37" s="131"/>
      <c r="U37" s="131"/>
      <c r="V37" s="131"/>
      <c r="W37" s="131"/>
      <c r="X37" s="131"/>
      <c r="Y37" s="131"/>
      <c r="Z37" s="131"/>
      <c r="AJ37" s="278"/>
      <c r="AK37" s="278"/>
      <c r="AL37" s="278"/>
      <c r="AM37" s="278"/>
      <c r="AN37" s="278"/>
    </row>
    <row r="38" spans="1:40" x14ac:dyDescent="0.25">
      <c r="A38" s="507"/>
      <c r="B38" s="331" t="s">
        <v>1250</v>
      </c>
      <c r="C38" s="147">
        <v>1</v>
      </c>
      <c r="D38" s="126">
        <f>'Inputs and eligible population'!F51-'Inputs and eligible population'!F60</f>
        <v>0</v>
      </c>
      <c r="E38" s="126">
        <f>'Inputs and eligible population'!G51-'Inputs and eligible population'!G60</f>
        <v>0</v>
      </c>
      <c r="F38" s="126">
        <f>'Inputs and eligible population'!H51-'Inputs and eligible population'!H60</f>
        <v>0</v>
      </c>
      <c r="G38" s="126">
        <f>'Inputs and eligible population'!I51-'Inputs and eligible population'!I60</f>
        <v>0</v>
      </c>
      <c r="H38" s="126">
        <f>'Inputs and eligible population'!J51-'Inputs and eligible population'!J60</f>
        <v>0</v>
      </c>
      <c r="I38" s="126">
        <f>'Inputs and eligible population'!K51-'Inputs and eligible population'!K60</f>
        <v>0</v>
      </c>
      <c r="J38" s="515"/>
      <c r="K38" s="521">
        <f>'Unit costs'!C39</f>
        <v>0</v>
      </c>
      <c r="L38" s="284">
        <f>D38*$K38/1000</f>
        <v>0</v>
      </c>
      <c r="M38" s="284">
        <f t="shared" ref="M38" si="18">E38*$K38/1000</f>
        <v>0</v>
      </c>
      <c r="N38" s="284">
        <f t="shared" si="14"/>
        <v>0</v>
      </c>
      <c r="O38" s="284">
        <f t="shared" si="15"/>
        <v>0</v>
      </c>
      <c r="P38" s="284">
        <f t="shared" si="16"/>
        <v>0</v>
      </c>
      <c r="Q38" s="284">
        <f t="shared" si="17"/>
        <v>0</v>
      </c>
      <c r="R38" s="131"/>
      <c r="S38" s="131"/>
      <c r="T38" s="131"/>
      <c r="U38" s="131"/>
      <c r="V38" s="131"/>
      <c r="W38" s="131"/>
      <c r="X38" s="131"/>
      <c r="Y38" s="131"/>
      <c r="Z38" s="131"/>
      <c r="AJ38" s="278"/>
      <c r="AK38" s="278"/>
      <c r="AL38" s="278"/>
      <c r="AM38" s="278"/>
      <c r="AN38" s="278"/>
    </row>
    <row r="39" spans="1:40" x14ac:dyDescent="0.25">
      <c r="A39" s="507"/>
      <c r="B39" s="480"/>
      <c r="C39" s="275"/>
      <c r="D39" s="182">
        <f t="shared" ref="D39:I39" si="19">SUM(D37:D38)</f>
        <v>0</v>
      </c>
      <c r="E39" s="182">
        <f t="shared" si="19"/>
        <v>0</v>
      </c>
      <c r="F39" s="182">
        <f t="shared" si="19"/>
        <v>0</v>
      </c>
      <c r="G39" s="182">
        <f t="shared" si="19"/>
        <v>0</v>
      </c>
      <c r="H39" s="182">
        <f t="shared" si="19"/>
        <v>0</v>
      </c>
      <c r="I39" s="182">
        <f t="shared" si="19"/>
        <v>0</v>
      </c>
      <c r="J39" s="515"/>
      <c r="K39" s="878"/>
      <c r="L39" s="285">
        <f t="shared" ref="L39:Q39" si="20">SUM(L38:L38)</f>
        <v>0</v>
      </c>
      <c r="M39" s="285">
        <f t="shared" si="20"/>
        <v>0</v>
      </c>
      <c r="N39" s="285">
        <f t="shared" si="20"/>
        <v>0</v>
      </c>
      <c r="O39" s="285">
        <f t="shared" si="20"/>
        <v>0</v>
      </c>
      <c r="P39" s="285">
        <f t="shared" si="20"/>
        <v>0</v>
      </c>
      <c r="Q39" s="285">
        <f t="shared" si="20"/>
        <v>0</v>
      </c>
      <c r="R39" s="131"/>
      <c r="S39" s="131"/>
      <c r="T39" s="131"/>
      <c r="U39" s="131"/>
      <c r="V39" s="131"/>
      <c r="W39" s="131"/>
      <c r="X39" s="131"/>
      <c r="Y39" s="131"/>
      <c r="Z39" s="131"/>
      <c r="AJ39" s="278"/>
      <c r="AK39" s="278"/>
      <c r="AL39" s="278"/>
      <c r="AM39" s="278"/>
      <c r="AN39" s="278"/>
    </row>
    <row r="40" spans="1:40" x14ac:dyDescent="0.25">
      <c r="A40" s="507"/>
      <c r="B40" s="251"/>
      <c r="C40" s="251"/>
      <c r="D40" s="277" t="s">
        <v>803</v>
      </c>
      <c r="E40" s="182">
        <f>E39-$D39</f>
        <v>0</v>
      </c>
      <c r="F40" s="182">
        <f>F39-$D39</f>
        <v>0</v>
      </c>
      <c r="G40" s="182">
        <f>G39-$D39</f>
        <v>0</v>
      </c>
      <c r="H40" s="182">
        <f>H39-$D39</f>
        <v>0</v>
      </c>
      <c r="I40" s="182">
        <f>I39-$D39</f>
        <v>0</v>
      </c>
      <c r="J40" s="515"/>
      <c r="K40" s="280"/>
      <c r="L40" s="968"/>
      <c r="M40" s="285">
        <f>M39-$L39</f>
        <v>0</v>
      </c>
      <c r="N40" s="285">
        <f>N39-$L39</f>
        <v>0</v>
      </c>
      <c r="O40" s="285">
        <f>O39-$L39</f>
        <v>0</v>
      </c>
      <c r="P40" s="285">
        <f>P39-$L39</f>
        <v>0</v>
      </c>
      <c r="Q40" s="285">
        <f>Q39-$L39</f>
        <v>0</v>
      </c>
      <c r="R40" s="131"/>
      <c r="S40" s="131"/>
      <c r="T40" s="131"/>
      <c r="U40" s="131"/>
      <c r="V40" s="131"/>
      <c r="W40" s="131"/>
      <c r="X40" s="131"/>
      <c r="Y40" s="131"/>
      <c r="Z40" s="131"/>
      <c r="AJ40" s="278"/>
      <c r="AK40" s="278"/>
      <c r="AL40" s="278"/>
      <c r="AM40" s="278"/>
      <c r="AN40" s="278"/>
    </row>
    <row r="41" spans="1:40" x14ac:dyDescent="0.25">
      <c r="A41" s="280"/>
      <c r="B41" s="508"/>
      <c r="C41" s="509"/>
      <c r="D41" s="510"/>
      <c r="E41" s="511"/>
      <c r="F41" s="280"/>
      <c r="G41" s="280"/>
      <c r="H41" s="280"/>
      <c r="I41" s="292"/>
      <c r="J41" s="212"/>
      <c r="K41" s="212"/>
      <c r="L41" s="212"/>
      <c r="M41" s="880"/>
      <c r="N41" s="880"/>
      <c r="O41" s="880"/>
      <c r="P41" s="880"/>
      <c r="Q41" s="880"/>
      <c r="R41" s="131"/>
      <c r="S41" s="131"/>
      <c r="T41" s="131"/>
      <c r="U41" s="131"/>
      <c r="V41" s="131"/>
      <c r="W41" s="131"/>
      <c r="X41" s="131"/>
      <c r="Y41" s="131"/>
      <c r="Z41" s="131"/>
      <c r="AJ41" s="278"/>
      <c r="AK41" s="278"/>
      <c r="AL41" s="278"/>
      <c r="AM41" s="278"/>
      <c r="AN41" s="278"/>
    </row>
  </sheetData>
  <sheetProtection algorithmName="SHA-512" hashValue="0hzvZFsLVfk20FooVHoaWl+OADTP1e4SphhXbNxDpmJGodmADyj2U3TGVQ2KsmM9HVhNcrKCtHJHHuSBrD82Qw==" saltValue="AbMl0WwWzDBBUxBL2YxHP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703125" defaultRowHeight="15" x14ac:dyDescent="0.25"/>
  <cols>
    <col min="1" max="1" width="13.5703125" customWidth="1"/>
    <col min="2" max="2" width="32.5703125" customWidth="1"/>
    <col min="3" max="4" width="12.7109375" customWidth="1"/>
    <col min="5" max="6" width="11.85546875" customWidth="1"/>
    <col min="7" max="7" width="10.42578125" style="442"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28515625" bestFit="1" customWidth="1"/>
    <col min="23" max="23" width="10" customWidth="1"/>
  </cols>
  <sheetData>
    <row r="1" spans="1:24" ht="21" customHeight="1" x14ac:dyDescent="0.25">
      <c r="A1" s="604" t="s">
        <v>812</v>
      </c>
      <c r="B1" s="604"/>
      <c r="C1" s="604"/>
      <c r="D1" s="604"/>
      <c r="E1" s="604"/>
      <c r="F1" s="604"/>
      <c r="G1" s="604"/>
      <c r="H1" s="604"/>
      <c r="I1" s="604"/>
      <c r="J1" s="604"/>
      <c r="K1" s="604"/>
      <c r="L1" s="604"/>
      <c r="M1" s="604"/>
    </row>
    <row r="2" spans="1:24" ht="14.45" customHeight="1" thickBot="1" x14ac:dyDescent="0.3">
      <c r="A2" s="127"/>
      <c r="B2" s="127"/>
      <c r="C2" s="127"/>
      <c r="D2" s="127"/>
      <c r="E2" s="127"/>
      <c r="F2" s="127"/>
      <c r="G2" s="127"/>
      <c r="H2" s="127"/>
      <c r="I2" s="127"/>
      <c r="J2" s="127"/>
      <c r="K2" s="127"/>
      <c r="L2" s="127"/>
      <c r="M2" s="127"/>
    </row>
    <row r="3" spans="1:24" ht="14.45" customHeight="1" x14ac:dyDescent="0.25">
      <c r="A3" s="127"/>
      <c r="B3" s="605" t="s">
        <v>40</v>
      </c>
      <c r="C3" s="606"/>
      <c r="D3" s="127"/>
      <c r="E3" s="127"/>
      <c r="F3" s="127"/>
      <c r="G3" s="127"/>
      <c r="H3" s="127"/>
      <c r="I3" s="127"/>
      <c r="J3" s="127"/>
      <c r="K3" s="127"/>
      <c r="L3" s="127"/>
      <c r="M3" s="127"/>
    </row>
    <row r="4" spans="1:24" ht="14.45" customHeight="1" x14ac:dyDescent="0.25">
      <c r="A4" s="127"/>
      <c r="B4" s="607" t="s">
        <v>813</v>
      </c>
      <c r="C4" s="1001" t="s">
        <v>814</v>
      </c>
      <c r="D4" s="608" t="s">
        <v>815</v>
      </c>
      <c r="E4" s="127"/>
      <c r="F4" s="127"/>
      <c r="G4" s="127"/>
      <c r="H4" s="127"/>
      <c r="I4" s="127"/>
      <c r="J4" s="127"/>
      <c r="K4" s="127"/>
      <c r="L4" s="127"/>
      <c r="M4" s="127"/>
    </row>
    <row r="5" spans="1:24" ht="14.45" customHeight="1" x14ac:dyDescent="0.25">
      <c r="A5" s="127"/>
      <c r="B5" s="607" t="s">
        <v>816</v>
      </c>
      <c r="C5" s="1002">
        <v>5000</v>
      </c>
      <c r="D5" s="127"/>
      <c r="E5" s="127"/>
      <c r="F5" s="127"/>
      <c r="G5" s="127"/>
      <c r="H5" s="127"/>
      <c r="I5" s="127"/>
      <c r="J5" s="127"/>
      <c r="K5" s="127"/>
      <c r="L5" s="127"/>
      <c r="M5" s="127"/>
    </row>
    <row r="6" spans="1:24" ht="14.45" customHeight="1" x14ac:dyDescent="0.25">
      <c r="A6" s="127"/>
      <c r="B6" s="607" t="s">
        <v>817</v>
      </c>
      <c r="C6" s="1003">
        <v>0.15</v>
      </c>
      <c r="D6" s="127"/>
      <c r="E6" s="127"/>
      <c r="F6" s="127"/>
      <c r="G6" s="127"/>
      <c r="H6" s="127"/>
      <c r="I6" s="127"/>
      <c r="J6" s="127"/>
      <c r="K6" s="127"/>
      <c r="L6" s="127"/>
      <c r="M6" s="127"/>
    </row>
    <row r="7" spans="1:24" ht="14.45" customHeight="1" x14ac:dyDescent="0.25">
      <c r="A7" s="127"/>
      <c r="B7" s="607" t="s">
        <v>818</v>
      </c>
      <c r="C7" s="1003">
        <v>0.23780000000000001</v>
      </c>
      <c r="D7" s="127"/>
      <c r="E7" s="127"/>
      <c r="F7" s="127"/>
      <c r="G7" s="127"/>
      <c r="H7" s="127"/>
      <c r="I7" s="127"/>
      <c r="J7" s="127"/>
      <c r="K7" s="127"/>
      <c r="L7" s="127"/>
      <c r="M7" s="127"/>
    </row>
    <row r="8" spans="1:24" ht="14.45" customHeight="1" x14ac:dyDescent="0.25">
      <c r="A8" s="127"/>
      <c r="B8" s="607" t="s">
        <v>819</v>
      </c>
      <c r="C8" s="1003">
        <v>5.0000000000000001E-3</v>
      </c>
      <c r="D8" s="127"/>
      <c r="E8" s="127"/>
      <c r="F8" s="127"/>
      <c r="G8" s="127"/>
      <c r="H8" s="127"/>
      <c r="I8" s="127"/>
      <c r="J8" s="127"/>
      <c r="K8" s="127"/>
      <c r="L8" s="127"/>
      <c r="M8" s="127"/>
    </row>
    <row r="9" spans="1:24" ht="14.45" customHeight="1" thickBot="1" x14ac:dyDescent="0.3">
      <c r="A9" s="127"/>
      <c r="B9" s="609" t="s">
        <v>820</v>
      </c>
      <c r="C9" s="1004">
        <v>0</v>
      </c>
      <c r="D9" s="127"/>
      <c r="E9" s="127"/>
      <c r="F9" s="127"/>
      <c r="G9" s="127"/>
      <c r="H9" s="127"/>
      <c r="I9" s="127"/>
      <c r="J9" s="127"/>
      <c r="K9" s="127"/>
      <c r="L9" s="127"/>
      <c r="M9" s="127"/>
      <c r="R9" s="610"/>
    </row>
    <row r="10" spans="1:24" ht="15.75" thickBot="1" x14ac:dyDescent="0.3">
      <c r="P10" s="611"/>
      <c r="R10" s="611"/>
    </row>
    <row r="11" spans="1:24" ht="109.5" customHeight="1" thickBot="1" x14ac:dyDescent="0.3">
      <c r="A11" s="612" t="s">
        <v>821</v>
      </c>
      <c r="B11" s="613" t="s">
        <v>822</v>
      </c>
      <c r="C11" s="614" t="s">
        <v>823</v>
      </c>
      <c r="D11" s="614" t="s">
        <v>824</v>
      </c>
      <c r="E11" s="614" t="s">
        <v>825</v>
      </c>
      <c r="F11" s="614" t="s">
        <v>826</v>
      </c>
      <c r="G11" s="615" t="s">
        <v>827</v>
      </c>
      <c r="H11" s="614" t="s">
        <v>828</v>
      </c>
      <c r="I11" s="616" t="s">
        <v>829</v>
      </c>
      <c r="J11" s="617" t="s">
        <v>830</v>
      </c>
      <c r="K11" s="618" t="s">
        <v>802</v>
      </c>
      <c r="L11" s="619" t="s">
        <v>831</v>
      </c>
      <c r="M11" s="620" t="s">
        <v>832</v>
      </c>
      <c r="O11" t="s">
        <v>814</v>
      </c>
      <c r="P11" t="s">
        <v>833</v>
      </c>
      <c r="Q11" t="s">
        <v>834</v>
      </c>
      <c r="R11" t="s">
        <v>835</v>
      </c>
    </row>
    <row r="12" spans="1:24" x14ac:dyDescent="0.25">
      <c r="A12" s="621">
        <v>2</v>
      </c>
      <c r="B12" s="622" t="s">
        <v>836</v>
      </c>
      <c r="C12" s="1005">
        <f>HLOOKUP($C$4,$O$11:$R$41,2,FALSE)</f>
        <v>23615</v>
      </c>
      <c r="D12" s="623">
        <f>C12*$C$9</f>
        <v>0</v>
      </c>
      <c r="E12" s="623">
        <f>C12*(100%+$C$9)</f>
        <v>23615</v>
      </c>
      <c r="F12" s="623">
        <f>(E12-$C$5)*$C$6</f>
        <v>2792.25</v>
      </c>
      <c r="G12" s="624">
        <f>E12*$C$8</f>
        <v>118.075</v>
      </c>
      <c r="H12" s="623">
        <f>E12*$C$7</f>
        <v>5615.6469999999999</v>
      </c>
      <c r="I12" s="625">
        <f>SUM(E12:H12)</f>
        <v>32140.972000000002</v>
      </c>
      <c r="J12" s="1009">
        <v>1560</v>
      </c>
      <c r="K12" s="626">
        <f>ROUND(I12/J12,2)</f>
        <v>20.6</v>
      </c>
      <c r="L12" s="627">
        <v>0.41</v>
      </c>
      <c r="M12" s="628">
        <v>0.83</v>
      </c>
      <c r="O12" s="610">
        <v>23615</v>
      </c>
      <c r="P12" s="278">
        <v>29029</v>
      </c>
      <c r="Q12">
        <v>28166</v>
      </c>
      <c r="R12">
        <v>24873</v>
      </c>
      <c r="V12" s="169"/>
      <c r="W12" s="309"/>
      <c r="X12" s="154"/>
    </row>
    <row r="13" spans="1:24" x14ac:dyDescent="0.25">
      <c r="A13" s="455">
        <v>2</v>
      </c>
      <c r="B13" s="446" t="s">
        <v>837</v>
      </c>
      <c r="C13" s="1006">
        <f>HLOOKUP($C$4,$O$11:$R$41,3,FALSE)</f>
        <v>23615</v>
      </c>
      <c r="D13" s="443">
        <f t="shared" ref="D13:D47" si="0">C13*$C$9</f>
        <v>0</v>
      </c>
      <c r="E13" s="443">
        <f t="shared" ref="E13:E47" si="1">C13*(100%+$C$9)</f>
        <v>23615</v>
      </c>
      <c r="F13" s="443">
        <f t="shared" ref="F13:F47" si="2">(E13-$C$5)*$C$6</f>
        <v>2792.25</v>
      </c>
      <c r="G13" s="447">
        <f t="shared" ref="G13:G47" si="3">E13*$C$8</f>
        <v>118.075</v>
      </c>
      <c r="H13" s="443">
        <f t="shared" ref="H13:H47" si="4">E13*$C$7</f>
        <v>5615.6469999999999</v>
      </c>
      <c r="I13" s="625">
        <f t="shared" ref="I13:I47" si="5">SUM(E13:H13)</f>
        <v>32140.972000000002</v>
      </c>
      <c r="J13" s="582">
        <v>1560</v>
      </c>
      <c r="K13" s="626">
        <f t="shared" ref="K13:K47" si="6">ROUND(I13/J13,2)</f>
        <v>20.6</v>
      </c>
      <c r="L13" s="444">
        <v>0.41</v>
      </c>
      <c r="M13" s="599">
        <v>0.83</v>
      </c>
      <c r="O13" s="610">
        <v>23615</v>
      </c>
      <c r="P13" s="278">
        <v>29029</v>
      </c>
      <c r="Q13">
        <v>28166</v>
      </c>
      <c r="R13">
        <v>24873</v>
      </c>
      <c r="V13" s="500" t="s">
        <v>838</v>
      </c>
      <c r="X13" s="156"/>
    </row>
    <row r="14" spans="1:24" x14ac:dyDescent="0.25">
      <c r="A14" s="455">
        <v>3</v>
      </c>
      <c r="B14" s="446" t="s">
        <v>839</v>
      </c>
      <c r="C14" s="1006">
        <f>HLOOKUP($C$4,$O$11:$R$41,4,FALSE)</f>
        <v>24071</v>
      </c>
      <c r="D14" s="443">
        <f t="shared" si="0"/>
        <v>0</v>
      </c>
      <c r="E14" s="443">
        <f t="shared" si="1"/>
        <v>24071</v>
      </c>
      <c r="F14" s="443">
        <f t="shared" si="2"/>
        <v>2860.65</v>
      </c>
      <c r="G14" s="447">
        <f t="shared" si="3"/>
        <v>120.355</v>
      </c>
      <c r="H14" s="443">
        <f t="shared" si="4"/>
        <v>5724.0838000000003</v>
      </c>
      <c r="I14" s="625">
        <f t="shared" si="5"/>
        <v>32776.088799999998</v>
      </c>
      <c r="J14" s="582">
        <v>1560</v>
      </c>
      <c r="K14" s="626">
        <f t="shared" si="6"/>
        <v>21.01</v>
      </c>
      <c r="L14" s="444">
        <v>0.35</v>
      </c>
      <c r="M14" s="599">
        <v>0.69</v>
      </c>
      <c r="O14" s="610">
        <v>24071</v>
      </c>
      <c r="P14" s="278">
        <v>29485</v>
      </c>
      <c r="Q14">
        <v>28622</v>
      </c>
      <c r="R14">
        <v>25329</v>
      </c>
      <c r="S14" t="s">
        <v>814</v>
      </c>
      <c r="V14" s="501" t="s">
        <v>840</v>
      </c>
      <c r="W14" s="1011">
        <v>260</v>
      </c>
      <c r="X14" s="156"/>
    </row>
    <row r="15" spans="1:24" x14ac:dyDescent="0.25">
      <c r="A15" s="455">
        <v>3</v>
      </c>
      <c r="B15" s="446" t="s">
        <v>841</v>
      </c>
      <c r="C15" s="1006">
        <f>HLOOKUP($C$4,$O$11:$R$41,5,FALSE)</f>
        <v>25674</v>
      </c>
      <c r="D15" s="443">
        <f t="shared" si="0"/>
        <v>0</v>
      </c>
      <c r="E15" s="443">
        <f t="shared" si="1"/>
        <v>25674</v>
      </c>
      <c r="F15" s="443">
        <f t="shared" si="2"/>
        <v>3101.1</v>
      </c>
      <c r="G15" s="447">
        <f t="shared" si="3"/>
        <v>128.37</v>
      </c>
      <c r="H15" s="443">
        <f t="shared" si="4"/>
        <v>6105.2772000000004</v>
      </c>
      <c r="I15" s="625">
        <f t="shared" si="5"/>
        <v>35008.747199999998</v>
      </c>
      <c r="J15" s="582">
        <v>1560</v>
      </c>
      <c r="K15" s="626">
        <f t="shared" si="6"/>
        <v>22.44</v>
      </c>
      <c r="L15" s="444">
        <v>0.35</v>
      </c>
      <c r="M15" s="599">
        <v>0.69</v>
      </c>
      <c r="O15" s="610">
        <v>25674</v>
      </c>
      <c r="P15" s="278">
        <v>31088</v>
      </c>
      <c r="Q15">
        <v>30225</v>
      </c>
      <c r="R15">
        <v>26958</v>
      </c>
      <c r="S15" t="s">
        <v>842</v>
      </c>
      <c r="V15" s="501" t="s">
        <v>843</v>
      </c>
      <c r="W15" s="1011">
        <v>-40</v>
      </c>
      <c r="X15" s="156"/>
    </row>
    <row r="16" spans="1:24" x14ac:dyDescent="0.25">
      <c r="A16" s="455">
        <v>4</v>
      </c>
      <c r="B16" s="446" t="s">
        <v>844</v>
      </c>
      <c r="C16" s="1006">
        <f>HLOOKUP($C$4,$O$11:$R$41,6,FALSE)</f>
        <v>26530</v>
      </c>
      <c r="D16" s="443">
        <f t="shared" si="0"/>
        <v>0</v>
      </c>
      <c r="E16" s="443">
        <f t="shared" si="1"/>
        <v>26530</v>
      </c>
      <c r="F16" s="443">
        <f t="shared" si="2"/>
        <v>3229.5</v>
      </c>
      <c r="G16" s="447">
        <f t="shared" si="3"/>
        <v>132.65</v>
      </c>
      <c r="H16" s="443">
        <f t="shared" si="4"/>
        <v>6308.8340000000007</v>
      </c>
      <c r="I16" s="625">
        <f t="shared" si="5"/>
        <v>36200.984000000004</v>
      </c>
      <c r="J16" s="582">
        <v>1560</v>
      </c>
      <c r="K16" s="626">
        <f t="shared" si="6"/>
        <v>23.21</v>
      </c>
      <c r="L16" s="444">
        <v>0.3</v>
      </c>
      <c r="M16" s="599">
        <v>0.6</v>
      </c>
      <c r="O16" s="610">
        <v>26530</v>
      </c>
      <c r="P16" s="278">
        <v>31944</v>
      </c>
      <c r="Q16">
        <v>31081</v>
      </c>
      <c r="R16">
        <v>27857</v>
      </c>
      <c r="S16" t="s">
        <v>845</v>
      </c>
      <c r="V16" s="501" t="s">
        <v>846</v>
      </c>
      <c r="W16" s="1011">
        <v>-2</v>
      </c>
      <c r="X16" s="156"/>
    </row>
    <row r="17" spans="1:24" x14ac:dyDescent="0.25">
      <c r="A17" s="455">
        <v>4</v>
      </c>
      <c r="B17" s="446" t="s">
        <v>847</v>
      </c>
      <c r="C17" s="1006">
        <f>HLOOKUP($C$4,$O$11:$R$41,7,FALSE)</f>
        <v>29114</v>
      </c>
      <c r="D17" s="443">
        <f t="shared" si="0"/>
        <v>0</v>
      </c>
      <c r="E17" s="443">
        <f t="shared" si="1"/>
        <v>29114</v>
      </c>
      <c r="F17" s="443">
        <f t="shared" si="2"/>
        <v>3617.1</v>
      </c>
      <c r="G17" s="447">
        <f t="shared" si="3"/>
        <v>145.57</v>
      </c>
      <c r="H17" s="443">
        <f t="shared" si="4"/>
        <v>6923.3092000000006</v>
      </c>
      <c r="I17" s="625">
        <f t="shared" si="5"/>
        <v>39799.979200000002</v>
      </c>
      <c r="J17" s="582">
        <v>1560</v>
      </c>
      <c r="K17" s="626">
        <f t="shared" si="6"/>
        <v>25.51</v>
      </c>
      <c r="L17" s="444">
        <v>0.3</v>
      </c>
      <c r="M17" s="599">
        <v>0.6</v>
      </c>
      <c r="O17" s="610">
        <v>29114</v>
      </c>
      <c r="P17" s="278">
        <v>34937</v>
      </c>
      <c r="Q17">
        <v>33665</v>
      </c>
      <c r="R17">
        <v>30570</v>
      </c>
      <c r="S17" t="s">
        <v>848</v>
      </c>
      <c r="V17" s="501" t="s">
        <v>849</v>
      </c>
      <c r="W17" s="1011">
        <v>-10</v>
      </c>
      <c r="X17" s="156"/>
    </row>
    <row r="18" spans="1:24" x14ac:dyDescent="0.25">
      <c r="A18" s="455">
        <v>5</v>
      </c>
      <c r="B18" s="446" t="s">
        <v>850</v>
      </c>
      <c r="C18" s="1006">
        <f>HLOOKUP($C$4,$O$11:$R$41,8,FALSE)</f>
        <v>29970</v>
      </c>
      <c r="D18" s="443">
        <f t="shared" si="0"/>
        <v>0</v>
      </c>
      <c r="E18" s="443">
        <f t="shared" si="1"/>
        <v>29970</v>
      </c>
      <c r="F18" s="443">
        <f t="shared" si="2"/>
        <v>3745.5</v>
      </c>
      <c r="G18" s="447">
        <f t="shared" si="3"/>
        <v>149.85</v>
      </c>
      <c r="H18" s="443">
        <f t="shared" si="4"/>
        <v>7126.866</v>
      </c>
      <c r="I18" s="625">
        <f t="shared" si="5"/>
        <v>40992.216</v>
      </c>
      <c r="J18" s="582">
        <v>1560</v>
      </c>
      <c r="K18" s="626">
        <f t="shared" si="6"/>
        <v>26.28</v>
      </c>
      <c r="L18" s="444">
        <v>0.3</v>
      </c>
      <c r="M18" s="599">
        <v>0.6</v>
      </c>
      <c r="O18" s="610">
        <v>29970</v>
      </c>
      <c r="P18" s="278">
        <v>35964</v>
      </c>
      <c r="Q18">
        <v>34521</v>
      </c>
      <c r="R18">
        <v>31469</v>
      </c>
      <c r="V18" s="501"/>
      <c r="W18" s="1012">
        <v>208</v>
      </c>
      <c r="X18" s="156"/>
    </row>
    <row r="19" spans="1:24" x14ac:dyDescent="0.25">
      <c r="A19" s="455">
        <v>5</v>
      </c>
      <c r="B19" s="446" t="s">
        <v>851</v>
      </c>
      <c r="C19" s="1006">
        <f>HLOOKUP($C$4,$O$11:$R$41,9,FALSE)</f>
        <v>32324</v>
      </c>
      <c r="D19" s="443">
        <f t="shared" si="0"/>
        <v>0</v>
      </c>
      <c r="E19" s="443">
        <f t="shared" si="1"/>
        <v>32324</v>
      </c>
      <c r="F19" s="443">
        <f t="shared" si="2"/>
        <v>4098.5999999999995</v>
      </c>
      <c r="G19" s="447">
        <f t="shared" si="3"/>
        <v>161.62</v>
      </c>
      <c r="H19" s="443">
        <f t="shared" si="4"/>
        <v>7686.6472000000003</v>
      </c>
      <c r="I19" s="625">
        <f t="shared" si="5"/>
        <v>44270.867200000001</v>
      </c>
      <c r="J19" s="582">
        <v>1560</v>
      </c>
      <c r="K19" s="626">
        <f t="shared" si="6"/>
        <v>28.38</v>
      </c>
      <c r="L19" s="444">
        <v>0.3</v>
      </c>
      <c r="M19" s="599">
        <v>0.6</v>
      </c>
      <c r="O19" s="610">
        <v>32324</v>
      </c>
      <c r="P19" s="278">
        <v>38789</v>
      </c>
      <c r="Q19">
        <v>37173</v>
      </c>
      <c r="R19">
        <v>33941</v>
      </c>
      <c r="V19" s="501" t="s">
        <v>852</v>
      </c>
      <c r="W19" s="1013">
        <f>7.5*W18</f>
        <v>1560</v>
      </c>
      <c r="X19" s="156"/>
    </row>
    <row r="20" spans="1:24" x14ac:dyDescent="0.25">
      <c r="A20" s="455">
        <v>5</v>
      </c>
      <c r="B20" s="446" t="s">
        <v>853</v>
      </c>
      <c r="C20" s="1006">
        <f>HLOOKUP($C$4,$O$11:$R$41,10,FALSE)</f>
        <v>36483</v>
      </c>
      <c r="D20" s="443">
        <f t="shared" si="0"/>
        <v>0</v>
      </c>
      <c r="E20" s="443">
        <f t="shared" si="1"/>
        <v>36483</v>
      </c>
      <c r="F20" s="443">
        <f t="shared" si="2"/>
        <v>4722.45</v>
      </c>
      <c r="G20" s="447">
        <f t="shared" si="3"/>
        <v>182.41499999999999</v>
      </c>
      <c r="H20" s="443">
        <f t="shared" si="4"/>
        <v>8675.6574000000001</v>
      </c>
      <c r="I20" s="625">
        <f t="shared" si="5"/>
        <v>50063.522400000002</v>
      </c>
      <c r="J20" s="582">
        <v>1560</v>
      </c>
      <c r="K20" s="626">
        <f t="shared" si="6"/>
        <v>32.090000000000003</v>
      </c>
      <c r="L20" s="444">
        <v>0.3</v>
      </c>
      <c r="M20" s="599">
        <v>0.6</v>
      </c>
      <c r="O20" s="610">
        <v>36483</v>
      </c>
      <c r="P20" s="278">
        <v>43780</v>
      </c>
      <c r="Q20">
        <v>41956</v>
      </c>
      <c r="R20">
        <v>38308</v>
      </c>
      <c r="V20" s="157"/>
      <c r="W20" s="1014"/>
      <c r="X20" s="156"/>
    </row>
    <row r="21" spans="1:24" x14ac:dyDescent="0.25">
      <c r="A21" s="455">
        <v>6</v>
      </c>
      <c r="B21" s="446" t="s">
        <v>854</v>
      </c>
      <c r="C21" s="1006">
        <f>HLOOKUP($C$4,$O$11:$R$41,11,FALSE)</f>
        <v>37338</v>
      </c>
      <c r="D21" s="443">
        <f t="shared" si="0"/>
        <v>0</v>
      </c>
      <c r="E21" s="443">
        <f t="shared" si="1"/>
        <v>37338</v>
      </c>
      <c r="F21" s="443">
        <f t="shared" si="2"/>
        <v>4850.7</v>
      </c>
      <c r="G21" s="447">
        <f t="shared" si="3"/>
        <v>186.69</v>
      </c>
      <c r="H21" s="443">
        <f t="shared" si="4"/>
        <v>8878.9763999999996</v>
      </c>
      <c r="I21" s="625">
        <f t="shared" si="5"/>
        <v>51254.366399999999</v>
      </c>
      <c r="J21" s="582">
        <v>1560</v>
      </c>
      <c r="K21" s="626">
        <f t="shared" si="6"/>
        <v>32.86</v>
      </c>
      <c r="L21" s="444">
        <v>0.3</v>
      </c>
      <c r="M21" s="599">
        <v>0.6</v>
      </c>
      <c r="O21" s="610">
        <v>37338</v>
      </c>
      <c r="P21" s="278">
        <v>44806</v>
      </c>
      <c r="Q21">
        <v>42939</v>
      </c>
      <c r="R21">
        <v>39205</v>
      </c>
      <c r="V21" s="501"/>
      <c r="W21" s="1014"/>
      <c r="X21" s="156"/>
    </row>
    <row r="22" spans="1:24" x14ac:dyDescent="0.25">
      <c r="A22" s="455">
        <v>6</v>
      </c>
      <c r="B22" s="446" t="s">
        <v>711</v>
      </c>
      <c r="C22" s="1006">
        <f>HLOOKUP($C$4,$O$11:$R$41,12,FALSE)</f>
        <v>39405</v>
      </c>
      <c r="D22" s="443">
        <f t="shared" si="0"/>
        <v>0</v>
      </c>
      <c r="E22" s="443">
        <f t="shared" si="1"/>
        <v>39405</v>
      </c>
      <c r="F22" s="443">
        <f t="shared" si="2"/>
        <v>5160.75</v>
      </c>
      <c r="G22" s="447">
        <f t="shared" si="3"/>
        <v>197.02500000000001</v>
      </c>
      <c r="H22" s="443">
        <f t="shared" si="4"/>
        <v>9370.509</v>
      </c>
      <c r="I22" s="625">
        <f t="shared" si="5"/>
        <v>54133.284</v>
      </c>
      <c r="J22" s="582">
        <v>1560</v>
      </c>
      <c r="K22" s="626">
        <f t="shared" si="6"/>
        <v>34.700000000000003</v>
      </c>
      <c r="L22" s="444">
        <v>0.3</v>
      </c>
      <c r="M22" s="599">
        <v>0.6</v>
      </c>
      <c r="O22" s="610">
        <v>39405</v>
      </c>
      <c r="P22" s="278">
        <v>47286</v>
      </c>
      <c r="Q22">
        <v>45140</v>
      </c>
      <c r="R22">
        <v>41376</v>
      </c>
      <c r="V22" s="500" t="s">
        <v>855</v>
      </c>
      <c r="W22" s="1014"/>
      <c r="X22" s="156"/>
    </row>
    <row r="23" spans="1:24" x14ac:dyDescent="0.25">
      <c r="A23" s="455">
        <v>6</v>
      </c>
      <c r="B23" s="446" t="s">
        <v>856</v>
      </c>
      <c r="C23" s="1006">
        <f>HLOOKUP($C$4,$O$11:$R$41,13,FALSE)</f>
        <v>44962</v>
      </c>
      <c r="D23" s="443">
        <f t="shared" si="0"/>
        <v>0</v>
      </c>
      <c r="E23" s="443">
        <f t="shared" si="1"/>
        <v>44962</v>
      </c>
      <c r="F23" s="443">
        <f t="shared" si="2"/>
        <v>5994.3</v>
      </c>
      <c r="G23" s="447">
        <f t="shared" si="3"/>
        <v>224.81</v>
      </c>
      <c r="H23" s="443">
        <f t="shared" si="4"/>
        <v>10691.963600000001</v>
      </c>
      <c r="I23" s="625">
        <f t="shared" si="5"/>
        <v>61873.073600000003</v>
      </c>
      <c r="J23" s="582">
        <v>1560</v>
      </c>
      <c r="K23" s="626">
        <f t="shared" si="6"/>
        <v>39.659999999999997</v>
      </c>
      <c r="L23" s="444">
        <v>0.3</v>
      </c>
      <c r="M23" s="599">
        <v>0.6</v>
      </c>
      <c r="O23" s="610">
        <v>44962</v>
      </c>
      <c r="P23" s="278">
        <v>53134</v>
      </c>
      <c r="Q23">
        <v>50697</v>
      </c>
      <c r="R23">
        <v>47084</v>
      </c>
      <c r="V23" s="501" t="s">
        <v>857</v>
      </c>
      <c r="W23" s="1011">
        <v>43</v>
      </c>
      <c r="X23" s="156"/>
    </row>
    <row r="24" spans="1:24" x14ac:dyDescent="0.25">
      <c r="A24" s="455">
        <v>7</v>
      </c>
      <c r="B24" s="446" t="s">
        <v>858</v>
      </c>
      <c r="C24" s="1006">
        <f>HLOOKUP($C$4,$O$11:$R$41,14,FALSE)</f>
        <v>46148</v>
      </c>
      <c r="D24" s="443">
        <f t="shared" si="0"/>
        <v>0</v>
      </c>
      <c r="E24" s="443">
        <f t="shared" si="1"/>
        <v>46148</v>
      </c>
      <c r="F24" s="443">
        <f t="shared" si="2"/>
        <v>6172.2</v>
      </c>
      <c r="G24" s="447">
        <f t="shared" si="3"/>
        <v>230.74</v>
      </c>
      <c r="H24" s="443">
        <f t="shared" si="4"/>
        <v>10973.994400000001</v>
      </c>
      <c r="I24" s="625">
        <f t="shared" si="5"/>
        <v>63524.934399999998</v>
      </c>
      <c r="J24" s="582">
        <v>1560</v>
      </c>
      <c r="K24" s="626">
        <f t="shared" si="6"/>
        <v>40.72</v>
      </c>
      <c r="L24" s="444">
        <v>0.3</v>
      </c>
      <c r="M24" s="599">
        <v>0.6</v>
      </c>
      <c r="O24" s="610">
        <v>46148</v>
      </c>
      <c r="P24" s="278">
        <v>54320</v>
      </c>
      <c r="Q24">
        <v>51883</v>
      </c>
      <c r="R24">
        <v>48270</v>
      </c>
      <c r="V24" s="501"/>
      <c r="W24" s="1011"/>
      <c r="X24" s="156"/>
    </row>
    <row r="25" spans="1:24" x14ac:dyDescent="0.25">
      <c r="A25" s="455">
        <v>7</v>
      </c>
      <c r="B25" s="446" t="s">
        <v>706</v>
      </c>
      <c r="C25" s="1006">
        <f>HLOOKUP($C$4,$O$11:$R$41,15,FALSE)</f>
        <v>48526</v>
      </c>
      <c r="D25" s="443">
        <f t="shared" si="0"/>
        <v>0</v>
      </c>
      <c r="E25" s="443">
        <f t="shared" si="1"/>
        <v>48526</v>
      </c>
      <c r="F25" s="443">
        <f t="shared" si="2"/>
        <v>6528.9</v>
      </c>
      <c r="G25" s="447">
        <f t="shared" si="3"/>
        <v>242.63</v>
      </c>
      <c r="H25" s="443">
        <f t="shared" si="4"/>
        <v>11539.4828</v>
      </c>
      <c r="I25" s="625">
        <f t="shared" si="5"/>
        <v>66837.012799999997</v>
      </c>
      <c r="J25" s="582">
        <v>1560</v>
      </c>
      <c r="K25" s="626">
        <f t="shared" si="6"/>
        <v>42.84</v>
      </c>
      <c r="L25" s="444">
        <v>0.3</v>
      </c>
      <c r="M25" s="599">
        <v>0.6</v>
      </c>
      <c r="O25" s="610">
        <v>48526</v>
      </c>
      <c r="P25" s="278">
        <v>56698</v>
      </c>
      <c r="Q25">
        <v>54261</v>
      </c>
      <c r="R25">
        <v>50648</v>
      </c>
      <c r="V25" s="501" t="s">
        <v>859</v>
      </c>
      <c r="W25" s="1011">
        <v>10</v>
      </c>
      <c r="X25" s="156"/>
    </row>
    <row r="26" spans="1:24" x14ac:dyDescent="0.25">
      <c r="A26" s="455">
        <v>7</v>
      </c>
      <c r="B26" s="446" t="s">
        <v>860</v>
      </c>
      <c r="C26" s="1006">
        <f>HLOOKUP($C$4,$O$11:$R$41,16,FALSE)</f>
        <v>52809</v>
      </c>
      <c r="D26" s="443">
        <f t="shared" si="0"/>
        <v>0</v>
      </c>
      <c r="E26" s="443">
        <f t="shared" si="1"/>
        <v>52809</v>
      </c>
      <c r="F26" s="443">
        <f t="shared" si="2"/>
        <v>7171.3499999999995</v>
      </c>
      <c r="G26" s="447">
        <f t="shared" si="3"/>
        <v>264.04500000000002</v>
      </c>
      <c r="H26" s="443">
        <f t="shared" si="4"/>
        <v>12557.9802</v>
      </c>
      <c r="I26" s="625">
        <f t="shared" si="5"/>
        <v>72802.375199999995</v>
      </c>
      <c r="J26" s="582">
        <v>1560</v>
      </c>
      <c r="K26" s="626">
        <f t="shared" si="6"/>
        <v>46.67</v>
      </c>
      <c r="L26" s="444">
        <v>0.3</v>
      </c>
      <c r="M26" s="599">
        <v>0.6</v>
      </c>
      <c r="O26" s="610">
        <v>52809</v>
      </c>
      <c r="P26" s="278">
        <v>60981</v>
      </c>
      <c r="Q26">
        <v>58544</v>
      </c>
      <c r="R26">
        <v>54931</v>
      </c>
      <c r="V26" s="501" t="s">
        <v>861</v>
      </c>
      <c r="W26" s="1011">
        <v>-2</v>
      </c>
      <c r="X26" s="156"/>
    </row>
    <row r="27" spans="1:24" x14ac:dyDescent="0.25">
      <c r="A27" s="455" t="s">
        <v>862</v>
      </c>
      <c r="B27" s="446" t="s">
        <v>707</v>
      </c>
      <c r="C27" s="1006">
        <f>HLOOKUP($C$4,$O$11:$R$41,17,FALSE)</f>
        <v>53754.676500000001</v>
      </c>
      <c r="D27" s="443">
        <f t="shared" si="0"/>
        <v>0</v>
      </c>
      <c r="E27" s="443">
        <f t="shared" si="1"/>
        <v>53754.676500000001</v>
      </c>
      <c r="F27" s="443">
        <f t="shared" si="2"/>
        <v>7313.2014749999998</v>
      </c>
      <c r="G27" s="447">
        <f t="shared" si="3"/>
        <v>268.77338250000003</v>
      </c>
      <c r="H27" s="443">
        <f t="shared" si="4"/>
        <v>12782.862071700001</v>
      </c>
      <c r="I27" s="625">
        <f t="shared" si="5"/>
        <v>74119.513429200015</v>
      </c>
      <c r="J27" s="582">
        <v>1560</v>
      </c>
      <c r="K27" s="626">
        <f t="shared" si="6"/>
        <v>47.51</v>
      </c>
      <c r="L27" s="444">
        <v>0.3</v>
      </c>
      <c r="M27" s="599">
        <v>0.6</v>
      </c>
      <c r="O27" s="610">
        <v>53754.676500000001</v>
      </c>
      <c r="P27" s="278">
        <v>61927</v>
      </c>
      <c r="Q27">
        <v>59490</v>
      </c>
      <c r="R27">
        <v>55877</v>
      </c>
      <c r="V27" s="501"/>
      <c r="W27" s="1012">
        <v>8</v>
      </c>
      <c r="X27" s="156"/>
    </row>
    <row r="28" spans="1:24" x14ac:dyDescent="0.25">
      <c r="A28" s="455" t="s">
        <v>862</v>
      </c>
      <c r="B28" s="446" t="s">
        <v>712</v>
      </c>
      <c r="C28" s="1006">
        <f>HLOOKUP($C$4,$O$11:$R$41,18,FALSE)</f>
        <v>56454</v>
      </c>
      <c r="D28" s="443">
        <f t="shared" si="0"/>
        <v>0</v>
      </c>
      <c r="E28" s="443">
        <f t="shared" si="1"/>
        <v>56454</v>
      </c>
      <c r="F28" s="443">
        <f t="shared" si="2"/>
        <v>7718.0999999999995</v>
      </c>
      <c r="G28" s="447">
        <f t="shared" si="3"/>
        <v>282.27</v>
      </c>
      <c r="H28" s="443">
        <f t="shared" si="4"/>
        <v>13424.761200000001</v>
      </c>
      <c r="I28" s="625">
        <f t="shared" si="5"/>
        <v>77879.131200000003</v>
      </c>
      <c r="J28" s="582">
        <v>1560</v>
      </c>
      <c r="K28" s="626">
        <f t="shared" si="6"/>
        <v>49.92</v>
      </c>
      <c r="L28" s="444">
        <v>0.3</v>
      </c>
      <c r="M28" s="599">
        <v>0.6</v>
      </c>
      <c r="O28" s="610">
        <v>56454</v>
      </c>
      <c r="P28" s="278">
        <v>64626</v>
      </c>
      <c r="Q28">
        <v>62189</v>
      </c>
      <c r="R28">
        <v>58576</v>
      </c>
      <c r="V28" s="501" t="s">
        <v>863</v>
      </c>
      <c r="W28" s="1013">
        <f>W27*4*W23</f>
        <v>1376</v>
      </c>
      <c r="X28" s="156"/>
    </row>
    <row r="29" spans="1:24" x14ac:dyDescent="0.25">
      <c r="A29" s="455" t="s">
        <v>862</v>
      </c>
      <c r="B29" s="446" t="s">
        <v>864</v>
      </c>
      <c r="C29" s="1006">
        <f>HLOOKUP($C$4,$O$11:$R$41,19,FALSE)</f>
        <v>60504</v>
      </c>
      <c r="D29" s="443">
        <f t="shared" si="0"/>
        <v>0</v>
      </c>
      <c r="E29" s="443">
        <f t="shared" si="1"/>
        <v>60504</v>
      </c>
      <c r="F29" s="443">
        <f t="shared" si="2"/>
        <v>8325.6</v>
      </c>
      <c r="G29" s="447">
        <f t="shared" si="3"/>
        <v>302.52</v>
      </c>
      <c r="H29" s="443">
        <f t="shared" si="4"/>
        <v>14387.851200000001</v>
      </c>
      <c r="I29" s="625">
        <f t="shared" si="5"/>
        <v>83519.971200000015</v>
      </c>
      <c r="J29" s="582">
        <v>1560</v>
      </c>
      <c r="K29" s="626">
        <f t="shared" si="6"/>
        <v>53.54</v>
      </c>
      <c r="L29" s="444">
        <v>0.3</v>
      </c>
      <c r="M29" s="599">
        <v>0.6</v>
      </c>
      <c r="O29" s="610">
        <v>60504</v>
      </c>
      <c r="P29" s="278">
        <v>68676</v>
      </c>
      <c r="Q29">
        <v>66239</v>
      </c>
      <c r="R29">
        <v>62626</v>
      </c>
      <c r="V29" s="157"/>
      <c r="W29" s="1014"/>
      <c r="X29" s="156"/>
    </row>
    <row r="30" spans="1:24" x14ac:dyDescent="0.25">
      <c r="A30" s="455" t="s">
        <v>865</v>
      </c>
      <c r="B30" s="446" t="s">
        <v>866</v>
      </c>
      <c r="C30" s="1006">
        <f>HLOOKUP($C$4,$O$11:$R$41,20,FALSE)</f>
        <v>62215</v>
      </c>
      <c r="D30" s="443">
        <f t="shared" si="0"/>
        <v>0</v>
      </c>
      <c r="E30" s="443">
        <f t="shared" si="1"/>
        <v>62215</v>
      </c>
      <c r="F30" s="443">
        <f t="shared" si="2"/>
        <v>8582.25</v>
      </c>
      <c r="G30" s="447">
        <f t="shared" si="3"/>
        <v>311.07499999999999</v>
      </c>
      <c r="H30" s="443">
        <f t="shared" si="4"/>
        <v>14794.727000000001</v>
      </c>
      <c r="I30" s="625">
        <f t="shared" si="5"/>
        <v>85903.051999999996</v>
      </c>
      <c r="J30" s="582">
        <v>1560</v>
      </c>
      <c r="K30" s="626">
        <f t="shared" si="6"/>
        <v>55.07</v>
      </c>
      <c r="L30" s="444">
        <v>0.3</v>
      </c>
      <c r="M30" s="599">
        <v>0.6</v>
      </c>
      <c r="O30" s="610">
        <v>62215</v>
      </c>
      <c r="P30" s="278">
        <v>70387</v>
      </c>
      <c r="Q30">
        <v>67950</v>
      </c>
      <c r="R30">
        <v>64337</v>
      </c>
      <c r="V30" s="501"/>
      <c r="W30" s="1014"/>
      <c r="X30" s="156"/>
    </row>
    <row r="31" spans="1:24" x14ac:dyDescent="0.25">
      <c r="A31" s="455" t="s">
        <v>865</v>
      </c>
      <c r="B31" s="446" t="s">
        <v>867</v>
      </c>
      <c r="C31" s="1006">
        <f>HLOOKUP($C$4,$O$11:$R$41,21,FALSE)</f>
        <v>66246</v>
      </c>
      <c r="D31" s="443">
        <f t="shared" si="0"/>
        <v>0</v>
      </c>
      <c r="E31" s="443">
        <f t="shared" si="1"/>
        <v>66246</v>
      </c>
      <c r="F31" s="443">
        <f t="shared" si="2"/>
        <v>9186.9</v>
      </c>
      <c r="G31" s="447">
        <f t="shared" si="3"/>
        <v>331.23</v>
      </c>
      <c r="H31" s="443">
        <f t="shared" si="4"/>
        <v>15753.2988</v>
      </c>
      <c r="I31" s="625">
        <f t="shared" si="5"/>
        <v>91517.428799999994</v>
      </c>
      <c r="J31" s="582">
        <v>1560</v>
      </c>
      <c r="K31" s="626">
        <f t="shared" si="6"/>
        <v>58.67</v>
      </c>
      <c r="L31" s="444">
        <v>0.3</v>
      </c>
      <c r="M31" s="599">
        <v>0.6</v>
      </c>
      <c r="O31" s="610">
        <v>66246</v>
      </c>
      <c r="P31" s="278">
        <v>74418</v>
      </c>
      <c r="Q31">
        <v>71981</v>
      </c>
      <c r="R31">
        <v>68368</v>
      </c>
      <c r="V31" s="500" t="s">
        <v>868</v>
      </c>
      <c r="W31" s="1014"/>
      <c r="X31" s="156"/>
    </row>
    <row r="32" spans="1:24" x14ac:dyDescent="0.25">
      <c r="A32" s="455" t="s">
        <v>865</v>
      </c>
      <c r="B32" s="446" t="s">
        <v>869</v>
      </c>
      <c r="C32" s="1006">
        <f>HLOOKUP($C$4,$O$11:$R$41,22,FALSE)</f>
        <v>72293</v>
      </c>
      <c r="D32" s="443">
        <f t="shared" si="0"/>
        <v>0</v>
      </c>
      <c r="E32" s="443">
        <f t="shared" si="1"/>
        <v>72293</v>
      </c>
      <c r="F32" s="443">
        <f t="shared" si="2"/>
        <v>10093.949999999999</v>
      </c>
      <c r="G32" s="447">
        <f t="shared" si="3"/>
        <v>361.46500000000003</v>
      </c>
      <c r="H32" s="443">
        <f t="shared" si="4"/>
        <v>17191.275400000002</v>
      </c>
      <c r="I32" s="625">
        <f t="shared" si="5"/>
        <v>99939.690399999992</v>
      </c>
      <c r="J32" s="582">
        <v>1560</v>
      </c>
      <c r="K32" s="626">
        <f t="shared" si="6"/>
        <v>64.06</v>
      </c>
      <c r="L32" s="444">
        <v>0.3</v>
      </c>
      <c r="M32" s="599">
        <v>0.6</v>
      </c>
      <c r="O32" s="610">
        <v>72293</v>
      </c>
      <c r="P32" s="278">
        <v>80465</v>
      </c>
      <c r="Q32">
        <v>78028</v>
      </c>
      <c r="R32">
        <v>74415</v>
      </c>
      <c r="V32" s="501" t="s">
        <v>870</v>
      </c>
      <c r="W32" s="1011">
        <v>44.7</v>
      </c>
      <c r="X32" s="156"/>
    </row>
    <row r="33" spans="1:24" x14ac:dyDescent="0.25">
      <c r="A33" s="455" t="s">
        <v>871</v>
      </c>
      <c r="B33" s="446" t="s">
        <v>872</v>
      </c>
      <c r="C33" s="1006">
        <f>HLOOKUP($C$4,$O$11:$R$41,23,FALSE)</f>
        <v>74290</v>
      </c>
      <c r="D33" s="443">
        <f t="shared" si="0"/>
        <v>0</v>
      </c>
      <c r="E33" s="443">
        <f t="shared" si="1"/>
        <v>74290</v>
      </c>
      <c r="F33" s="443">
        <f t="shared" si="2"/>
        <v>10393.5</v>
      </c>
      <c r="G33" s="447">
        <f t="shared" si="3"/>
        <v>371.45</v>
      </c>
      <c r="H33" s="443">
        <f t="shared" si="4"/>
        <v>17666.162</v>
      </c>
      <c r="I33" s="625">
        <f t="shared" si="5"/>
        <v>102721.11199999999</v>
      </c>
      <c r="J33" s="582">
        <v>1560</v>
      </c>
      <c r="K33" s="626">
        <f t="shared" si="6"/>
        <v>65.849999999999994</v>
      </c>
      <c r="L33" s="444">
        <v>0.3</v>
      </c>
      <c r="M33" s="599">
        <v>0.6</v>
      </c>
      <c r="O33" s="610">
        <v>74290</v>
      </c>
      <c r="P33" s="278">
        <v>82462</v>
      </c>
      <c r="Q33">
        <v>80025</v>
      </c>
      <c r="R33">
        <v>76412</v>
      </c>
      <c r="V33" s="501" t="s">
        <v>873</v>
      </c>
      <c r="W33" s="1011">
        <v>48</v>
      </c>
      <c r="X33" s="156"/>
    </row>
    <row r="34" spans="1:24" x14ac:dyDescent="0.25">
      <c r="A34" s="455" t="s">
        <v>871</v>
      </c>
      <c r="B34" s="446" t="s">
        <v>874</v>
      </c>
      <c r="C34" s="1006">
        <f>HLOOKUP($C$4,$O$11:$R$41,24,FALSE)</f>
        <v>78814</v>
      </c>
      <c r="D34" s="443">
        <f t="shared" si="0"/>
        <v>0</v>
      </c>
      <c r="E34" s="443">
        <f t="shared" si="1"/>
        <v>78814</v>
      </c>
      <c r="F34" s="443">
        <f t="shared" si="2"/>
        <v>11072.1</v>
      </c>
      <c r="G34" s="447">
        <f t="shared" si="3"/>
        <v>394.07</v>
      </c>
      <c r="H34" s="443">
        <f t="shared" si="4"/>
        <v>18741.9692</v>
      </c>
      <c r="I34" s="625">
        <f t="shared" si="5"/>
        <v>109022.13920000001</v>
      </c>
      <c r="J34" s="582">
        <v>1560</v>
      </c>
      <c r="K34" s="626">
        <f t="shared" si="6"/>
        <v>69.89</v>
      </c>
      <c r="L34" s="444">
        <v>0.3</v>
      </c>
      <c r="M34" s="599">
        <v>0.6</v>
      </c>
      <c r="O34" s="610">
        <v>78814</v>
      </c>
      <c r="P34" s="278">
        <v>86986</v>
      </c>
      <c r="Q34">
        <v>84549</v>
      </c>
      <c r="R34">
        <v>80936</v>
      </c>
      <c r="V34" s="501" t="s">
        <v>875</v>
      </c>
      <c r="W34" s="1011">
        <v>2145.6</v>
      </c>
      <c r="X34" s="156"/>
    </row>
    <row r="35" spans="1:24" x14ac:dyDescent="0.25">
      <c r="A35" s="455" t="s">
        <v>871</v>
      </c>
      <c r="B35" s="446" t="s">
        <v>876</v>
      </c>
      <c r="C35" s="1006">
        <f>HLOOKUP($C$4,$O$11:$R$41,25,FALSE)</f>
        <v>85601</v>
      </c>
      <c r="D35" s="443">
        <f t="shared" si="0"/>
        <v>0</v>
      </c>
      <c r="E35" s="443">
        <f t="shared" si="1"/>
        <v>85601</v>
      </c>
      <c r="F35" s="443">
        <f t="shared" si="2"/>
        <v>12090.15</v>
      </c>
      <c r="G35" s="447">
        <f t="shared" si="3"/>
        <v>428.005</v>
      </c>
      <c r="H35" s="443">
        <f t="shared" si="4"/>
        <v>20355.917799999999</v>
      </c>
      <c r="I35" s="625">
        <f t="shared" si="5"/>
        <v>118475.07279999999</v>
      </c>
      <c r="J35" s="582">
        <v>1560</v>
      </c>
      <c r="K35" s="626">
        <f t="shared" si="6"/>
        <v>75.95</v>
      </c>
      <c r="L35" s="444">
        <v>0.3</v>
      </c>
      <c r="M35" s="599">
        <v>0.6</v>
      </c>
      <c r="O35" s="610">
        <v>85601</v>
      </c>
      <c r="P35" s="278">
        <v>93773</v>
      </c>
      <c r="Q35">
        <v>91336</v>
      </c>
      <c r="R35">
        <v>87723</v>
      </c>
      <c r="V35" s="501" t="s">
        <v>877</v>
      </c>
      <c r="W35" s="1015">
        <v>0.6</v>
      </c>
      <c r="X35" s="156"/>
    </row>
    <row r="36" spans="1:24" x14ac:dyDescent="0.25">
      <c r="A36" s="455" t="s">
        <v>878</v>
      </c>
      <c r="B36" s="446" t="s">
        <v>879</v>
      </c>
      <c r="C36" s="1006">
        <f>HLOOKUP($C$4,$O$11:$R$41,26,FALSE)</f>
        <v>88168</v>
      </c>
      <c r="D36" s="443">
        <f t="shared" si="0"/>
        <v>0</v>
      </c>
      <c r="E36" s="443">
        <f t="shared" si="1"/>
        <v>88168</v>
      </c>
      <c r="F36" s="443">
        <f t="shared" si="2"/>
        <v>12475.199999999999</v>
      </c>
      <c r="G36" s="447">
        <f t="shared" si="3"/>
        <v>440.84000000000003</v>
      </c>
      <c r="H36" s="443">
        <f t="shared" si="4"/>
        <v>20966.350399999999</v>
      </c>
      <c r="I36" s="625">
        <f t="shared" si="5"/>
        <v>122050.39039999999</v>
      </c>
      <c r="J36" s="582">
        <v>1560</v>
      </c>
      <c r="K36" s="626">
        <f t="shared" si="6"/>
        <v>78.239999999999995</v>
      </c>
      <c r="L36" s="444">
        <v>0.3</v>
      </c>
      <c r="M36" s="599">
        <v>0.6</v>
      </c>
      <c r="O36" s="610">
        <v>88168</v>
      </c>
      <c r="P36" s="278">
        <v>96340</v>
      </c>
      <c r="Q36">
        <v>93903</v>
      </c>
      <c r="R36">
        <v>90290</v>
      </c>
      <c r="V36" s="501" t="s">
        <v>880</v>
      </c>
      <c r="W36" s="1016">
        <f>ROUND(W35*W34,0)</f>
        <v>1287</v>
      </c>
      <c r="X36" s="156"/>
    </row>
    <row r="37" spans="1:24" x14ac:dyDescent="0.25">
      <c r="A37" s="455" t="s">
        <v>878</v>
      </c>
      <c r="B37" s="446" t="s">
        <v>881</v>
      </c>
      <c r="C37" s="1006">
        <f>HLOOKUP($C$4,$O$11:$R$41,27,FALSE)</f>
        <v>93572</v>
      </c>
      <c r="D37" s="443">
        <f t="shared" si="0"/>
        <v>0</v>
      </c>
      <c r="E37" s="443">
        <f t="shared" si="1"/>
        <v>93572</v>
      </c>
      <c r="F37" s="443">
        <f t="shared" si="2"/>
        <v>13285.8</v>
      </c>
      <c r="G37" s="447">
        <f t="shared" si="3"/>
        <v>467.86</v>
      </c>
      <c r="H37" s="443">
        <f t="shared" si="4"/>
        <v>22251.421600000001</v>
      </c>
      <c r="I37" s="625">
        <f t="shared" si="5"/>
        <v>129577.0816</v>
      </c>
      <c r="J37" s="582">
        <v>1560</v>
      </c>
      <c r="K37" s="626">
        <f t="shared" si="6"/>
        <v>83.06</v>
      </c>
      <c r="L37" s="444">
        <v>0.3</v>
      </c>
      <c r="M37" s="599">
        <v>0.6</v>
      </c>
      <c r="O37" s="610">
        <v>93572</v>
      </c>
      <c r="P37" s="278">
        <v>101744</v>
      </c>
      <c r="Q37">
        <v>99307</v>
      </c>
      <c r="R37">
        <v>95694</v>
      </c>
      <c r="V37" s="158"/>
      <c r="W37" s="159"/>
      <c r="X37" s="160"/>
    </row>
    <row r="38" spans="1:24" x14ac:dyDescent="0.25">
      <c r="A38" s="455" t="s">
        <v>878</v>
      </c>
      <c r="B38" s="446" t="s">
        <v>882</v>
      </c>
      <c r="C38" s="1006">
        <f>HLOOKUP($C$4,$O$11:$R$41,28,FALSE)</f>
        <v>101677</v>
      </c>
      <c r="D38" s="443">
        <f t="shared" si="0"/>
        <v>0</v>
      </c>
      <c r="E38" s="443">
        <f t="shared" si="1"/>
        <v>101677</v>
      </c>
      <c r="F38" s="443">
        <f t="shared" si="2"/>
        <v>14501.55</v>
      </c>
      <c r="G38" s="447">
        <f t="shared" si="3"/>
        <v>508.38499999999999</v>
      </c>
      <c r="H38" s="443">
        <f t="shared" si="4"/>
        <v>24178.7906</v>
      </c>
      <c r="I38" s="625">
        <f t="shared" si="5"/>
        <v>140865.72560000001</v>
      </c>
      <c r="J38" s="582">
        <v>1560</v>
      </c>
      <c r="K38" s="626">
        <f t="shared" si="6"/>
        <v>90.3</v>
      </c>
      <c r="L38" s="444">
        <v>0.3</v>
      </c>
      <c r="M38" s="599">
        <v>0.6</v>
      </c>
      <c r="O38" s="610">
        <v>101677</v>
      </c>
      <c r="P38" s="278">
        <v>109849</v>
      </c>
      <c r="Q38">
        <v>107412</v>
      </c>
      <c r="R38">
        <v>103799</v>
      </c>
    </row>
    <row r="39" spans="1:24" x14ac:dyDescent="0.25">
      <c r="A39" s="455">
        <v>9</v>
      </c>
      <c r="B39" s="446" t="s">
        <v>883</v>
      </c>
      <c r="C39" s="1006">
        <f>HLOOKUP($C$4,$O$11:$R$41,29,FALSE)</f>
        <v>105385</v>
      </c>
      <c r="D39" s="443">
        <f t="shared" si="0"/>
        <v>0</v>
      </c>
      <c r="E39" s="443">
        <f t="shared" si="1"/>
        <v>105385</v>
      </c>
      <c r="F39" s="443">
        <f t="shared" si="2"/>
        <v>15057.75</v>
      </c>
      <c r="G39" s="447">
        <f t="shared" si="3"/>
        <v>526.92499999999995</v>
      </c>
      <c r="H39" s="443">
        <f t="shared" si="4"/>
        <v>25060.553</v>
      </c>
      <c r="I39" s="625">
        <f t="shared" si="5"/>
        <v>146030.228</v>
      </c>
      <c r="J39" s="582">
        <v>1560</v>
      </c>
      <c r="K39" s="626">
        <f t="shared" si="6"/>
        <v>93.61</v>
      </c>
      <c r="L39" s="444">
        <v>0.3</v>
      </c>
      <c r="M39" s="599">
        <v>0.6</v>
      </c>
      <c r="O39" s="610">
        <v>105385</v>
      </c>
      <c r="P39" s="278">
        <v>113557</v>
      </c>
      <c r="Q39">
        <v>111120</v>
      </c>
      <c r="R39">
        <v>107507</v>
      </c>
    </row>
    <row r="40" spans="1:24" x14ac:dyDescent="0.25">
      <c r="A40" s="455">
        <v>9</v>
      </c>
      <c r="B40" s="446" t="s">
        <v>884</v>
      </c>
      <c r="C40" s="1006">
        <f>HLOOKUP($C$4,$O$11:$R$41,30,FALSE)</f>
        <v>111740</v>
      </c>
      <c r="D40" s="443">
        <f t="shared" si="0"/>
        <v>0</v>
      </c>
      <c r="E40" s="443">
        <f t="shared" si="1"/>
        <v>111740</v>
      </c>
      <c r="F40" s="443">
        <f t="shared" si="2"/>
        <v>16011</v>
      </c>
      <c r="G40" s="447">
        <f t="shared" si="3"/>
        <v>558.70000000000005</v>
      </c>
      <c r="H40" s="443">
        <f t="shared" si="4"/>
        <v>26571.772000000001</v>
      </c>
      <c r="I40" s="625">
        <f t="shared" si="5"/>
        <v>154881.47200000001</v>
      </c>
      <c r="J40" s="582">
        <v>1560</v>
      </c>
      <c r="K40" s="626">
        <f t="shared" si="6"/>
        <v>99.28</v>
      </c>
      <c r="L40" s="444">
        <v>0.3</v>
      </c>
      <c r="M40" s="599">
        <v>0.6</v>
      </c>
      <c r="O40" s="610">
        <v>111740</v>
      </c>
      <c r="P40" s="278">
        <v>119912</v>
      </c>
      <c r="Q40">
        <v>117475</v>
      </c>
      <c r="R40">
        <v>113862</v>
      </c>
    </row>
    <row r="41" spans="1:24" x14ac:dyDescent="0.25">
      <c r="A41" s="455">
        <v>9</v>
      </c>
      <c r="B41" s="446" t="s">
        <v>885</v>
      </c>
      <c r="C41" s="1006">
        <f>HLOOKUP($C$4,$O$11:$R$41,31,FALSE)</f>
        <v>121271</v>
      </c>
      <c r="D41" s="443">
        <f t="shared" si="0"/>
        <v>0</v>
      </c>
      <c r="E41" s="443">
        <f t="shared" si="1"/>
        <v>121271</v>
      </c>
      <c r="F41" s="443">
        <f t="shared" si="2"/>
        <v>17440.649999999998</v>
      </c>
      <c r="G41" s="447">
        <f t="shared" si="3"/>
        <v>606.35500000000002</v>
      </c>
      <c r="H41" s="443">
        <f t="shared" si="4"/>
        <v>28838.2438</v>
      </c>
      <c r="I41" s="625">
        <f t="shared" si="5"/>
        <v>168156.2488</v>
      </c>
      <c r="J41" s="582">
        <v>1560</v>
      </c>
      <c r="K41" s="626">
        <f t="shared" si="6"/>
        <v>107.79</v>
      </c>
      <c r="L41" s="444">
        <v>0.3</v>
      </c>
      <c r="M41" s="599">
        <v>0.6</v>
      </c>
      <c r="O41" s="610">
        <v>121271</v>
      </c>
      <c r="P41" s="278">
        <v>129443</v>
      </c>
      <c r="Q41">
        <v>127006</v>
      </c>
      <c r="R41">
        <v>123393</v>
      </c>
    </row>
    <row r="42" spans="1:24" x14ac:dyDescent="0.25">
      <c r="A42" s="455" t="s">
        <v>868</v>
      </c>
      <c r="B42" s="147" t="s">
        <v>886</v>
      </c>
      <c r="C42" s="1006">
        <v>73113</v>
      </c>
      <c r="D42" s="443">
        <f t="shared" si="0"/>
        <v>0</v>
      </c>
      <c r="E42" s="443">
        <f t="shared" si="1"/>
        <v>73113</v>
      </c>
      <c r="F42" s="443">
        <f t="shared" si="2"/>
        <v>10216.949999999999</v>
      </c>
      <c r="G42" s="447">
        <f t="shared" si="3"/>
        <v>365.565</v>
      </c>
      <c r="H42" s="443">
        <f>C42*0.2068</f>
        <v>15119.768400000001</v>
      </c>
      <c r="I42" s="625">
        <f t="shared" si="5"/>
        <v>98815.2834</v>
      </c>
      <c r="J42" s="582">
        <f>W36</f>
        <v>1287</v>
      </c>
      <c r="K42" s="626">
        <f t="shared" si="6"/>
        <v>76.78</v>
      </c>
      <c r="L42" s="445">
        <v>0</v>
      </c>
      <c r="M42" s="600">
        <v>0</v>
      </c>
    </row>
    <row r="43" spans="1:24" x14ac:dyDescent="0.25">
      <c r="A43" s="455" t="s">
        <v>868</v>
      </c>
      <c r="B43" s="147" t="s">
        <v>887</v>
      </c>
      <c r="C43" s="1006">
        <f>(C42+C44)/2</f>
        <v>91721.5</v>
      </c>
      <c r="D43" s="443">
        <f t="shared" si="0"/>
        <v>0</v>
      </c>
      <c r="E43" s="443">
        <f t="shared" si="1"/>
        <v>91721.5</v>
      </c>
      <c r="F43" s="443">
        <f t="shared" si="2"/>
        <v>13008.225</v>
      </c>
      <c r="G43" s="447">
        <f t="shared" si="3"/>
        <v>458.60750000000002</v>
      </c>
      <c r="H43" s="443">
        <f>C43*0.2068</f>
        <v>18968.0062</v>
      </c>
      <c r="I43" s="625">
        <f t="shared" si="5"/>
        <v>124156.33870000001</v>
      </c>
      <c r="J43" s="582">
        <f>W36</f>
        <v>1287</v>
      </c>
      <c r="K43" s="626">
        <f t="shared" si="6"/>
        <v>96.47</v>
      </c>
      <c r="L43" s="445">
        <v>0</v>
      </c>
      <c r="M43" s="600">
        <v>0</v>
      </c>
    </row>
    <row r="44" spans="1:24" x14ac:dyDescent="0.25">
      <c r="A44" s="629" t="s">
        <v>868</v>
      </c>
      <c r="B44" s="630" t="s">
        <v>887</v>
      </c>
      <c r="C44" s="1007">
        <v>110330</v>
      </c>
      <c r="D44" s="505">
        <f t="shared" si="0"/>
        <v>0</v>
      </c>
      <c r="E44" s="443">
        <f t="shared" si="1"/>
        <v>110330</v>
      </c>
      <c r="F44" s="443">
        <f t="shared" si="2"/>
        <v>15799.5</v>
      </c>
      <c r="G44" s="447">
        <f t="shared" si="3"/>
        <v>551.65</v>
      </c>
      <c r="H44" s="505">
        <f>C44*0.2068</f>
        <v>22816.244000000002</v>
      </c>
      <c r="I44" s="625">
        <f t="shared" si="5"/>
        <v>149497.394</v>
      </c>
      <c r="J44" s="582">
        <f>W36</f>
        <v>1287</v>
      </c>
      <c r="K44" s="626">
        <f t="shared" si="6"/>
        <v>116.16</v>
      </c>
      <c r="L44" s="445">
        <v>0</v>
      </c>
      <c r="M44" s="600">
        <v>0</v>
      </c>
    </row>
    <row r="45" spans="1:24" x14ac:dyDescent="0.25">
      <c r="A45" s="455" t="s">
        <v>855</v>
      </c>
      <c r="B45" s="147" t="s">
        <v>888</v>
      </c>
      <c r="C45" s="1006">
        <v>105504</v>
      </c>
      <c r="D45" s="443">
        <f t="shared" si="0"/>
        <v>0</v>
      </c>
      <c r="E45" s="443">
        <f t="shared" si="1"/>
        <v>105504</v>
      </c>
      <c r="F45" s="443">
        <f t="shared" si="2"/>
        <v>15075.599999999999</v>
      </c>
      <c r="G45" s="447">
        <f t="shared" si="3"/>
        <v>527.52</v>
      </c>
      <c r="H45" s="443">
        <f t="shared" si="4"/>
        <v>25088.851200000001</v>
      </c>
      <c r="I45" s="625">
        <f t="shared" si="5"/>
        <v>146195.9712</v>
      </c>
      <c r="J45" s="582">
        <v>1376</v>
      </c>
      <c r="K45" s="626">
        <f t="shared" si="6"/>
        <v>106.25</v>
      </c>
      <c r="L45" s="445">
        <v>0</v>
      </c>
      <c r="M45" s="600">
        <v>0</v>
      </c>
    </row>
    <row r="46" spans="1:24" x14ac:dyDescent="0.25">
      <c r="A46" s="455" t="s">
        <v>855</v>
      </c>
      <c r="B46" s="147" t="s">
        <v>705</v>
      </c>
      <c r="C46" s="1006">
        <f>(4*114894+6*126018)/10</f>
        <v>121568.4</v>
      </c>
      <c r="D46" s="443">
        <f t="shared" si="0"/>
        <v>0</v>
      </c>
      <c r="E46" s="443">
        <f t="shared" si="1"/>
        <v>121568.4</v>
      </c>
      <c r="F46" s="443">
        <f t="shared" si="2"/>
        <v>17485.259999999998</v>
      </c>
      <c r="G46" s="447">
        <f t="shared" si="3"/>
        <v>607.84199999999998</v>
      </c>
      <c r="H46" s="443">
        <f t="shared" si="4"/>
        <v>28908.965520000002</v>
      </c>
      <c r="I46" s="625">
        <f t="shared" si="5"/>
        <v>168570.46752000001</v>
      </c>
      <c r="J46" s="582">
        <v>1376</v>
      </c>
      <c r="K46" s="626">
        <f t="shared" si="6"/>
        <v>122.51</v>
      </c>
      <c r="L46" s="445">
        <v>0</v>
      </c>
      <c r="M46" s="600">
        <v>0</v>
      </c>
    </row>
    <row r="47" spans="1:24" ht="15.75" thickBot="1" x14ac:dyDescent="0.3">
      <c r="A47" s="456" t="s">
        <v>855</v>
      </c>
      <c r="B47" s="448" t="s">
        <v>889</v>
      </c>
      <c r="C47" s="1008">
        <v>139882</v>
      </c>
      <c r="D47" s="449">
        <f t="shared" si="0"/>
        <v>0</v>
      </c>
      <c r="E47" s="449">
        <f t="shared" si="1"/>
        <v>139882</v>
      </c>
      <c r="F47" s="449">
        <f t="shared" si="2"/>
        <v>20232.3</v>
      </c>
      <c r="G47" s="631">
        <f t="shared" si="3"/>
        <v>699.41</v>
      </c>
      <c r="H47" s="449">
        <f t="shared" si="4"/>
        <v>33263.939600000005</v>
      </c>
      <c r="I47" s="450">
        <f t="shared" si="5"/>
        <v>194077.6496</v>
      </c>
      <c r="J47" s="1010">
        <v>1376</v>
      </c>
      <c r="K47" s="601">
        <f t="shared" si="6"/>
        <v>141.04</v>
      </c>
      <c r="L47" s="602">
        <v>0</v>
      </c>
      <c r="M47" s="603">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u5JNn/mTwHTttQFJVRVq2GAYrYW9aUxeDfJt1KETFs074F19o2tcJ6XXzHUwm+vHP7E1qvL6PmsdpKfaxuQ/w==" saltValue="izdUj+f9cwriQBPOtVZZOg=="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140625" defaultRowHeight="15" x14ac:dyDescent="0.2"/>
  <cols>
    <col min="1" max="1" width="28.85546875" style="637" customWidth="1"/>
    <col min="2" max="2" width="7.140625" style="706" customWidth="1"/>
    <col min="3" max="3" width="8.140625" style="637" customWidth="1"/>
    <col min="4" max="5" width="8.140625" style="708" customWidth="1"/>
    <col min="6" max="8" width="8.140625" style="706" customWidth="1"/>
    <col min="9" max="13" width="8.140625" style="637" customWidth="1"/>
    <col min="14" max="14" width="8.85546875" style="637" customWidth="1"/>
    <col min="15" max="24" width="8.140625" style="637" customWidth="1"/>
    <col min="25" max="25" width="12.140625" style="637" customWidth="1"/>
    <col min="26" max="43" width="8.140625" style="637" customWidth="1"/>
    <col min="44" max="16384" width="9.140625" style="637"/>
  </cols>
  <sheetData>
    <row r="1" spans="1:51" ht="30.6" customHeight="1" x14ac:dyDescent="0.2">
      <c r="A1" s="632" t="s">
        <v>890</v>
      </c>
      <c r="B1" s="633"/>
      <c r="C1" s="633"/>
      <c r="D1" s="633"/>
      <c r="E1" s="633"/>
      <c r="F1" s="633"/>
      <c r="G1" s="633"/>
      <c r="H1" s="633"/>
      <c r="I1" s="633"/>
      <c r="J1" s="633"/>
      <c r="K1" s="633"/>
      <c r="L1" s="633"/>
      <c r="M1" s="633"/>
      <c r="N1" s="633"/>
      <c r="O1" s="634"/>
      <c r="P1" s="634"/>
      <c r="Q1" s="634"/>
      <c r="R1" s="634"/>
      <c r="S1" s="634"/>
      <c r="T1" s="634"/>
      <c r="U1" s="634"/>
      <c r="V1" s="634"/>
      <c r="W1" s="634"/>
      <c r="X1" s="634"/>
      <c r="Y1" s="634"/>
      <c r="Z1" s="634"/>
      <c r="AA1" s="634"/>
      <c r="AB1" s="634"/>
      <c r="AC1" s="634"/>
      <c r="AD1" s="634"/>
      <c r="AE1" s="634"/>
      <c r="AF1" s="634"/>
      <c r="AG1" s="635"/>
      <c r="AH1" s="635"/>
      <c r="AI1" s="635"/>
      <c r="AJ1" s="635"/>
      <c r="AK1" s="635"/>
      <c r="AL1" s="635"/>
      <c r="AM1" s="636"/>
      <c r="AN1" s="636"/>
      <c r="AO1" s="636"/>
      <c r="AP1" s="636"/>
      <c r="AQ1" s="636"/>
      <c r="AR1" s="636"/>
      <c r="AS1" s="636"/>
      <c r="AT1" s="636"/>
      <c r="AU1" s="636"/>
      <c r="AV1" s="636"/>
      <c r="AW1" s="636"/>
      <c r="AX1" s="636"/>
      <c r="AY1" s="636"/>
    </row>
    <row r="2" spans="1:51" ht="15.75" customHeight="1" x14ac:dyDescent="0.25">
      <c r="A2" s="638"/>
      <c r="B2" s="639"/>
      <c r="C2" s="558"/>
      <c r="D2" s="51"/>
      <c r="E2" s="1"/>
      <c r="F2" s="1"/>
      <c r="G2" s="1"/>
      <c r="H2" s="709" t="s">
        <v>35</v>
      </c>
      <c r="I2" s="710"/>
      <c r="J2" s="710"/>
      <c r="K2" s="710"/>
      <c r="L2" s="710"/>
      <c r="M2" s="640"/>
      <c r="N2" s="640"/>
      <c r="O2" s="640"/>
      <c r="P2" s="640"/>
      <c r="Q2" s="640"/>
      <c r="R2" s="640"/>
      <c r="S2" s="640"/>
      <c r="T2" s="640"/>
      <c r="U2" s="640"/>
      <c r="V2" s="640"/>
      <c r="W2" s="640"/>
      <c r="X2" s="640"/>
      <c r="Y2" s="640"/>
      <c r="Z2" s="640"/>
      <c r="AA2" s="640"/>
      <c r="AB2" s="640"/>
      <c r="AC2" s="635"/>
      <c r="AD2" s="635"/>
      <c r="AE2" s="635"/>
      <c r="AF2" s="635"/>
      <c r="AG2" s="635"/>
      <c r="AH2" s="635"/>
      <c r="AI2" s="635"/>
      <c r="AJ2" s="635"/>
      <c r="AK2" s="635"/>
      <c r="AL2" s="635"/>
      <c r="AM2" s="636"/>
      <c r="AN2" s="636"/>
      <c r="AO2" s="636"/>
      <c r="AP2" s="636"/>
      <c r="AQ2" s="636"/>
      <c r="AR2" s="636"/>
      <c r="AS2" s="636"/>
      <c r="AT2" s="636"/>
      <c r="AU2" s="636"/>
      <c r="AV2" s="636"/>
      <c r="AW2" s="636"/>
      <c r="AX2" s="636"/>
      <c r="AY2" s="636"/>
    </row>
    <row r="3" spans="1:51" ht="15.75" x14ac:dyDescent="0.25">
      <c r="A3" s="641"/>
      <c r="B3" s="639"/>
      <c r="C3" s="642" t="s">
        <v>891</v>
      </c>
      <c r="D3" s="642"/>
      <c r="E3" s="1"/>
      <c r="F3" s="1"/>
      <c r="G3" s="1"/>
      <c r="H3" s="640"/>
      <c r="I3" s="640"/>
      <c r="J3" s="640"/>
      <c r="K3" s="640"/>
      <c r="L3" s="640"/>
      <c r="M3" s="640"/>
      <c r="N3" s="640"/>
      <c r="O3" s="640"/>
      <c r="P3" s="640"/>
      <c r="Q3" s="643" t="s">
        <v>892</v>
      </c>
      <c r="R3" s="640"/>
      <c r="S3" s="1"/>
      <c r="T3" s="1"/>
      <c r="U3" s="1"/>
      <c r="V3" s="1"/>
      <c r="W3" s="640"/>
      <c r="X3" s="640"/>
      <c r="Y3" s="640"/>
      <c r="Z3" s="640"/>
      <c r="AA3" s="640"/>
      <c r="AB3" s="640"/>
      <c r="AC3" s="635"/>
      <c r="AD3" s="635"/>
      <c r="AE3" s="635"/>
      <c r="AF3" s="635"/>
      <c r="AG3" s="635"/>
      <c r="AH3" s="635"/>
      <c r="AI3" s="635"/>
      <c r="AJ3" s="635"/>
      <c r="AK3" s="635"/>
      <c r="AL3" s="635"/>
      <c r="AM3" s="636"/>
      <c r="AN3" s="636"/>
      <c r="AO3" s="636"/>
      <c r="AP3" s="636"/>
      <c r="AQ3" s="636"/>
      <c r="AR3" s="636"/>
      <c r="AS3" s="636"/>
      <c r="AT3" s="636"/>
      <c r="AU3" s="636"/>
      <c r="AV3" s="636"/>
      <c r="AW3" s="636"/>
      <c r="AX3" s="636"/>
      <c r="AY3" s="636"/>
    </row>
    <row r="4" spans="1:51" x14ac:dyDescent="0.2">
      <c r="A4" s="641"/>
      <c r="B4" s="639"/>
      <c r="C4" s="558" t="s">
        <v>893</v>
      </c>
      <c r="D4" s="51"/>
      <c r="E4" s="1"/>
      <c r="F4" s="1"/>
      <c r="G4" s="1"/>
      <c r="H4" s="640"/>
      <c r="I4" s="640"/>
      <c r="J4" s="640"/>
      <c r="K4" s="640"/>
      <c r="L4" s="640"/>
      <c r="M4" s="640"/>
      <c r="N4" s="640"/>
      <c r="O4" s="640"/>
      <c r="P4" s="640"/>
      <c r="Q4" s="644" t="s">
        <v>894</v>
      </c>
      <c r="R4" s="640"/>
      <c r="S4" s="640"/>
      <c r="T4" s="640"/>
      <c r="U4" s="640"/>
      <c r="V4" s="640"/>
      <c r="W4" s="640"/>
      <c r="X4" s="640"/>
      <c r="Y4" s="640"/>
      <c r="Z4" s="640"/>
      <c r="AA4" s="640"/>
      <c r="AB4" s="640"/>
      <c r="AC4" s="635"/>
      <c r="AD4" s="635"/>
      <c r="AE4" s="635"/>
      <c r="AF4" s="635"/>
      <c r="AG4" s="635"/>
      <c r="AH4" s="635"/>
      <c r="AI4" s="635"/>
      <c r="AJ4" s="635"/>
      <c r="AK4" s="635"/>
      <c r="AL4" s="635"/>
      <c r="AM4" s="636"/>
      <c r="AN4" s="635"/>
      <c r="AO4" s="635"/>
      <c r="AP4" s="636"/>
      <c r="AQ4" s="636"/>
      <c r="AR4" s="636"/>
      <c r="AS4" s="636"/>
      <c r="AT4" s="636"/>
      <c r="AU4" s="636"/>
      <c r="AV4" s="636"/>
      <c r="AW4" s="636"/>
      <c r="AX4" s="636"/>
      <c r="AY4" s="636"/>
    </row>
    <row r="5" spans="1:51" ht="15.75" thickBot="1" x14ac:dyDescent="0.25">
      <c r="A5" s="645"/>
      <c r="B5" s="646"/>
      <c r="C5" s="1"/>
      <c r="D5" s="1"/>
      <c r="E5" s="1"/>
      <c r="F5" s="1"/>
      <c r="G5" s="1"/>
      <c r="H5" s="640"/>
      <c r="I5" s="640"/>
      <c r="J5" s="640"/>
      <c r="K5" s="640"/>
      <c r="L5" s="640"/>
      <c r="M5" s="640"/>
      <c r="N5" s="640"/>
      <c r="O5" s="640"/>
      <c r="P5" s="640"/>
      <c r="Q5" s="644" t="s">
        <v>895</v>
      </c>
      <c r="R5" s="640"/>
      <c r="S5" s="640"/>
      <c r="T5" s="640"/>
      <c r="U5" s="640"/>
      <c r="V5" s="640"/>
      <c r="W5" s="640"/>
      <c r="X5" s="640"/>
      <c r="Y5" s="640"/>
      <c r="Z5" s="640"/>
      <c r="AA5" s="640"/>
      <c r="AB5" s="640"/>
      <c r="AC5" s="635"/>
      <c r="AD5" s="635"/>
      <c r="AE5" s="635"/>
      <c r="AF5" s="635"/>
      <c r="AG5" s="635"/>
      <c r="AH5" s="635"/>
      <c r="AI5" s="635"/>
      <c r="AJ5" s="635"/>
      <c r="AK5" s="635"/>
      <c r="AL5" s="635"/>
      <c r="AM5" s="636"/>
      <c r="AN5" s="636"/>
      <c r="AO5" s="636"/>
      <c r="AP5" s="636"/>
      <c r="AQ5" s="636"/>
      <c r="AR5" s="636"/>
      <c r="AS5" s="636"/>
      <c r="AT5" s="636"/>
      <c r="AU5" s="636"/>
      <c r="AV5" s="636"/>
      <c r="AW5" s="636"/>
      <c r="AX5" s="636"/>
      <c r="AY5" s="636"/>
    </row>
    <row r="6" spans="1:51" ht="15.75" x14ac:dyDescent="0.25">
      <c r="A6" s="645"/>
      <c r="B6" s="646"/>
      <c r="C6" s="647"/>
      <c r="D6" s="648"/>
      <c r="E6" s="648"/>
      <c r="F6" s="648"/>
      <c r="G6" s="648"/>
      <c r="H6" s="649" t="s">
        <v>896</v>
      </c>
      <c r="I6" s="648"/>
      <c r="J6" s="648"/>
      <c r="K6" s="648"/>
      <c r="L6" s="648"/>
      <c r="M6" s="648"/>
      <c r="N6" s="650"/>
      <c r="O6" s="640"/>
      <c r="P6" s="640"/>
      <c r="Q6" s="644" t="s">
        <v>922</v>
      </c>
      <c r="R6" s="640"/>
      <c r="S6" s="640"/>
      <c r="T6" s="640"/>
      <c r="U6" s="640"/>
      <c r="V6" s="640"/>
      <c r="W6" s="640"/>
      <c r="X6" s="640"/>
      <c r="Y6" s="640"/>
      <c r="Z6" s="640"/>
      <c r="AA6" s="640"/>
      <c r="AB6" s="640"/>
      <c r="AC6" s="635"/>
      <c r="AD6" s="635"/>
      <c r="AE6" s="635"/>
      <c r="AF6" s="635"/>
      <c r="AG6" s="635"/>
      <c r="AH6" s="635"/>
      <c r="AI6" s="635"/>
      <c r="AJ6" s="635"/>
      <c r="AK6" s="635"/>
      <c r="AL6" s="635"/>
      <c r="AM6" s="636"/>
      <c r="AN6" s="636"/>
      <c r="AO6" s="636"/>
      <c r="AP6" s="636"/>
      <c r="AQ6" s="636"/>
      <c r="AR6" s="636"/>
      <c r="AS6" s="636"/>
      <c r="AT6" s="636"/>
      <c r="AU6" s="636"/>
      <c r="AV6" s="636"/>
      <c r="AW6" s="636"/>
      <c r="AX6" s="636"/>
      <c r="AY6" s="636"/>
    </row>
    <row r="7" spans="1:51" s="656" customFormat="1" ht="29.25" thickBot="1" x14ac:dyDescent="0.25">
      <c r="A7" s="645"/>
      <c r="B7" s="646"/>
      <c r="C7" s="651" t="s">
        <v>897</v>
      </c>
      <c r="D7" s="652">
        <v>2</v>
      </c>
      <c r="E7" s="653">
        <v>3</v>
      </c>
      <c r="F7" s="654">
        <v>4</v>
      </c>
      <c r="G7" s="654">
        <v>5</v>
      </c>
      <c r="H7" s="653">
        <v>6</v>
      </c>
      <c r="I7" s="654">
        <v>7</v>
      </c>
      <c r="J7" s="654">
        <v>8</v>
      </c>
      <c r="K7" s="653">
        <v>9</v>
      </c>
      <c r="L7" s="654">
        <v>10</v>
      </c>
      <c r="M7" s="654">
        <v>11</v>
      </c>
      <c r="N7" s="655">
        <v>12</v>
      </c>
      <c r="O7" s="640"/>
      <c r="P7" s="640"/>
      <c r="Q7" s="640"/>
      <c r="R7" s="640" t="s">
        <v>898</v>
      </c>
      <c r="S7" s="1"/>
      <c r="T7" s="640"/>
      <c r="U7" s="640"/>
      <c r="V7" s="640"/>
      <c r="W7" s="640"/>
      <c r="X7" s="640"/>
      <c r="Y7" s="640"/>
      <c r="Z7" s="640"/>
      <c r="AA7" s="640"/>
      <c r="AB7" s="640"/>
      <c r="AC7" s="635"/>
      <c r="AD7" s="635"/>
      <c r="AE7" s="635"/>
      <c r="AF7" s="635"/>
      <c r="AG7" s="635"/>
      <c r="AH7" s="635"/>
      <c r="AI7" s="635"/>
      <c r="AJ7" s="635"/>
      <c r="AK7" s="635"/>
      <c r="AL7" s="635"/>
      <c r="AM7" s="636"/>
      <c r="AN7" s="636"/>
      <c r="AO7" s="636"/>
      <c r="AP7" s="636"/>
      <c r="AQ7" s="636"/>
      <c r="AR7" s="636"/>
      <c r="AS7" s="636"/>
      <c r="AT7" s="636"/>
      <c r="AU7" s="645"/>
      <c r="AV7" s="645"/>
      <c r="AW7" s="645"/>
      <c r="AX7" s="645"/>
      <c r="AY7" s="645"/>
    </row>
    <row r="8" spans="1:51" s="656" customFormat="1" ht="15.75" x14ac:dyDescent="0.25">
      <c r="A8" s="645"/>
      <c r="B8" s="646"/>
      <c r="C8" s="657"/>
      <c r="D8" s="658"/>
      <c r="E8" s="659"/>
      <c r="F8" s="657"/>
      <c r="G8" s="658"/>
      <c r="H8" s="659"/>
      <c r="I8" s="660"/>
      <c r="J8" s="661"/>
      <c r="K8" s="662"/>
      <c r="L8" s="660"/>
      <c r="M8" s="661"/>
      <c r="N8" s="663">
        <v>90</v>
      </c>
      <c r="O8" s="640"/>
      <c r="P8" s="640"/>
      <c r="Q8" s="640"/>
      <c r="R8" s="640" t="s">
        <v>899</v>
      </c>
      <c r="S8" s="1"/>
      <c r="T8" s="640"/>
      <c r="U8" s="640"/>
      <c r="V8" s="640"/>
      <c r="W8" s="640"/>
      <c r="X8" s="640"/>
      <c r="Y8" s="640"/>
      <c r="Z8" s="640"/>
      <c r="AA8" s="640"/>
      <c r="AB8" s="640"/>
      <c r="AC8" s="635"/>
      <c r="AD8" s="635"/>
      <c r="AE8" s="635"/>
      <c r="AF8" s="635"/>
      <c r="AG8" s="635"/>
      <c r="AH8" s="635"/>
      <c r="AI8" s="635"/>
      <c r="AJ8" s="635"/>
      <c r="AK8" s="635"/>
      <c r="AL8" s="635"/>
      <c r="AM8" s="636"/>
      <c r="AN8" s="636"/>
      <c r="AO8" s="636"/>
      <c r="AP8" s="636"/>
      <c r="AQ8" s="636"/>
      <c r="AR8" s="636"/>
      <c r="AS8" s="636"/>
      <c r="AT8" s="636"/>
      <c r="AU8" s="645"/>
      <c r="AV8" s="645"/>
      <c r="AW8" s="645"/>
      <c r="AX8" s="645"/>
      <c r="AY8" s="645"/>
    </row>
    <row r="9" spans="1:51" s="6" customFormat="1" ht="15.6" customHeight="1" x14ac:dyDescent="0.2">
      <c r="A9" s="645"/>
      <c r="B9" s="646"/>
      <c r="C9" s="664"/>
      <c r="D9" s="664"/>
      <c r="E9" s="664"/>
      <c r="F9" s="665"/>
      <c r="G9" s="665"/>
      <c r="H9" s="665"/>
      <c r="I9" s="666"/>
      <c r="J9" s="666"/>
      <c r="K9" s="666"/>
      <c r="L9" s="667"/>
      <c r="M9" s="668">
        <v>90</v>
      </c>
      <c r="N9" s="668">
        <v>90</v>
      </c>
      <c r="O9" s="640"/>
      <c r="P9" s="640"/>
      <c r="Q9" s="640"/>
      <c r="R9" s="640" t="s">
        <v>900</v>
      </c>
      <c r="S9" s="1"/>
      <c r="T9" s="640"/>
      <c r="U9" s="640"/>
      <c r="V9" s="640"/>
      <c r="W9" s="640"/>
      <c r="X9" s="640"/>
      <c r="Y9" s="640"/>
      <c r="Z9" s="640"/>
      <c r="AA9" s="640"/>
      <c r="AB9" s="640"/>
      <c r="AC9" s="635"/>
      <c r="AD9" s="635"/>
      <c r="AE9" s="635"/>
      <c r="AF9" s="635"/>
      <c r="AG9" s="635"/>
      <c r="AH9" s="635"/>
      <c r="AI9" s="635"/>
      <c r="AJ9" s="635"/>
      <c r="AK9" s="635"/>
      <c r="AL9" s="635"/>
      <c r="AM9" s="636"/>
      <c r="AN9" s="636"/>
      <c r="AO9" s="636"/>
      <c r="AP9" s="636"/>
      <c r="AQ9" s="636"/>
      <c r="AR9" s="636"/>
      <c r="AS9" s="636"/>
      <c r="AT9" s="636"/>
      <c r="AU9" s="1"/>
      <c r="AV9" s="1"/>
      <c r="AW9" s="1"/>
      <c r="AX9" s="1"/>
      <c r="AY9" s="1"/>
    </row>
    <row r="10" spans="1:51" s="6" customFormat="1" ht="15.6" customHeight="1" x14ac:dyDescent="0.2">
      <c r="A10" s="645"/>
      <c r="B10" s="646"/>
      <c r="C10" s="664"/>
      <c r="D10" s="664"/>
      <c r="E10" s="664"/>
      <c r="F10" s="665"/>
      <c r="G10" s="665"/>
      <c r="H10" s="665"/>
      <c r="I10" s="666"/>
      <c r="J10" s="666"/>
      <c r="K10" s="666"/>
      <c r="L10" s="668">
        <v>90</v>
      </c>
      <c r="M10" s="668">
        <v>90</v>
      </c>
      <c r="N10" s="668">
        <v>90</v>
      </c>
      <c r="O10" s="640"/>
      <c r="P10" s="640"/>
      <c r="Q10" s="644" t="s">
        <v>901</v>
      </c>
      <c r="R10" s="640"/>
      <c r="S10" s="640"/>
      <c r="T10" s="640"/>
      <c r="U10" s="640"/>
      <c r="V10" s="640"/>
      <c r="W10" s="640"/>
      <c r="X10" s="640"/>
      <c r="Y10" s="640"/>
      <c r="Z10" s="640"/>
      <c r="AA10" s="640"/>
      <c r="AB10" s="640"/>
      <c r="AC10" s="635"/>
      <c r="AD10" s="635"/>
      <c r="AE10" s="635"/>
      <c r="AF10" s="635"/>
      <c r="AG10" s="635"/>
      <c r="AH10" s="635"/>
      <c r="AI10" s="635"/>
      <c r="AJ10" s="635"/>
      <c r="AK10" s="635"/>
      <c r="AL10" s="635"/>
      <c r="AM10" s="636"/>
      <c r="AN10" s="636"/>
      <c r="AO10" s="636"/>
      <c r="AP10" s="636"/>
      <c r="AQ10" s="636"/>
      <c r="AR10" s="636"/>
      <c r="AS10" s="636"/>
      <c r="AT10" s="636"/>
      <c r="AU10" s="1"/>
      <c r="AV10" s="1"/>
      <c r="AW10" s="1"/>
      <c r="AX10" s="1"/>
      <c r="AY10" s="1"/>
    </row>
    <row r="11" spans="1:51" s="6" customFormat="1" ht="15.6" customHeight="1" x14ac:dyDescent="0.2">
      <c r="A11" s="645"/>
      <c r="B11" s="646"/>
      <c r="C11" s="664"/>
      <c r="D11" s="664"/>
      <c r="E11" s="664"/>
      <c r="F11" s="665"/>
      <c r="G11" s="665"/>
      <c r="H11" s="665"/>
      <c r="I11" s="666"/>
      <c r="J11" s="666"/>
      <c r="K11" s="668">
        <v>90</v>
      </c>
      <c r="L11" s="668">
        <v>90</v>
      </c>
      <c r="M11" s="668">
        <v>90</v>
      </c>
      <c r="N11" s="668">
        <v>90</v>
      </c>
      <c r="O11" s="640"/>
      <c r="P11" s="640"/>
      <c r="Q11" s="644" t="s">
        <v>902</v>
      </c>
      <c r="R11" s="640"/>
      <c r="S11" s="640"/>
      <c r="T11" s="640"/>
      <c r="U11" s="640"/>
      <c r="V11" s="640"/>
      <c r="W11" s="640"/>
      <c r="X11" s="640"/>
      <c r="Y11" s="640"/>
      <c r="Z11" s="640"/>
      <c r="AA11" s="640"/>
      <c r="AB11" s="640"/>
      <c r="AC11" s="635"/>
      <c r="AD11" s="635"/>
      <c r="AE11" s="635"/>
      <c r="AF11" s="635"/>
      <c r="AG11" s="635"/>
      <c r="AH11" s="635"/>
      <c r="AI11" s="635"/>
      <c r="AJ11" s="635"/>
      <c r="AK11" s="635"/>
      <c r="AL11" s="635"/>
      <c r="AM11" s="636"/>
      <c r="AN11" s="636"/>
      <c r="AO11" s="636"/>
      <c r="AP11" s="636"/>
      <c r="AQ11" s="636"/>
      <c r="AR11" s="636"/>
      <c r="AS11" s="636"/>
      <c r="AT11" s="636"/>
      <c r="AU11" s="1"/>
      <c r="AV11" s="1"/>
      <c r="AW11" s="1"/>
      <c r="AX11" s="1"/>
      <c r="AY11" s="1"/>
    </row>
    <row r="12" spans="1:51" s="6" customFormat="1" ht="15.6" customHeight="1" x14ac:dyDescent="0.25">
      <c r="A12" s="645"/>
      <c r="B12" s="646"/>
      <c r="C12" s="669"/>
      <c r="D12" s="669"/>
      <c r="E12" s="669"/>
      <c r="F12" s="670"/>
      <c r="G12" s="670"/>
      <c r="H12" s="670"/>
      <c r="I12" s="671"/>
      <c r="J12" s="668">
        <v>90</v>
      </c>
      <c r="K12" s="668">
        <v>90</v>
      </c>
      <c r="L12" s="668">
        <v>90</v>
      </c>
      <c r="M12" s="668">
        <v>90</v>
      </c>
      <c r="N12" s="668">
        <v>90</v>
      </c>
      <c r="O12" s="640"/>
      <c r="P12" s="640"/>
      <c r="Q12" s="644" t="s">
        <v>903</v>
      </c>
      <c r="R12" s="640"/>
      <c r="S12" s="640"/>
      <c r="T12" s="640"/>
      <c r="U12" s="640"/>
      <c r="V12" s="640"/>
      <c r="W12" s="640"/>
      <c r="X12" s="640"/>
      <c r="Y12" s="640"/>
      <c r="Z12" s="640"/>
      <c r="AA12" s="640"/>
      <c r="AB12" s="640"/>
      <c r="AC12" s="635"/>
      <c r="AD12" s="635"/>
      <c r="AE12" s="635"/>
      <c r="AF12" s="635"/>
      <c r="AG12" s="635"/>
      <c r="AH12" s="635"/>
      <c r="AI12" s="635"/>
      <c r="AJ12" s="635"/>
      <c r="AK12" s="635"/>
      <c r="AL12" s="635"/>
      <c r="AM12" s="636"/>
      <c r="AN12" s="636"/>
      <c r="AO12" s="636"/>
      <c r="AP12" s="636"/>
      <c r="AQ12" s="636"/>
      <c r="AR12" s="636"/>
      <c r="AS12" s="636"/>
      <c r="AT12" s="636"/>
      <c r="AU12" s="1"/>
      <c r="AV12" s="1"/>
      <c r="AW12" s="1"/>
      <c r="AX12" s="1"/>
      <c r="AY12" s="1"/>
    </row>
    <row r="13" spans="1:51" s="6" customFormat="1" ht="15.6" customHeight="1" x14ac:dyDescent="0.2">
      <c r="A13" s="645"/>
      <c r="B13" s="646"/>
      <c r="C13" s="672"/>
      <c r="D13" s="673"/>
      <c r="E13" s="674"/>
      <c r="F13" s="675"/>
      <c r="G13" s="673"/>
      <c r="H13" s="674"/>
      <c r="I13" s="668">
        <v>90</v>
      </c>
      <c r="J13" s="668">
        <v>90</v>
      </c>
      <c r="K13" s="668">
        <v>90</v>
      </c>
      <c r="L13" s="668">
        <v>90</v>
      </c>
      <c r="M13" s="668">
        <v>90</v>
      </c>
      <c r="N13" s="668">
        <v>90</v>
      </c>
      <c r="O13" s="640"/>
      <c r="P13" s="640"/>
      <c r="Q13" s="644" t="s">
        <v>904</v>
      </c>
      <c r="R13" s="640"/>
      <c r="S13" s="640"/>
      <c r="T13" s="640"/>
      <c r="U13" s="640"/>
      <c r="V13" s="640"/>
      <c r="W13" s="640"/>
      <c r="X13" s="640"/>
      <c r="Y13" s="640"/>
      <c r="Z13" s="640"/>
      <c r="AA13" s="640"/>
      <c r="AB13" s="640"/>
      <c r="AC13" s="635"/>
      <c r="AD13" s="635"/>
      <c r="AE13" s="635"/>
      <c r="AF13" s="635"/>
      <c r="AG13" s="635"/>
      <c r="AH13" s="635"/>
      <c r="AI13" s="635"/>
      <c r="AJ13" s="635"/>
      <c r="AK13" s="635"/>
      <c r="AL13" s="635"/>
      <c r="AM13" s="636"/>
      <c r="AN13" s="636"/>
      <c r="AO13" s="636"/>
      <c r="AP13" s="636"/>
      <c r="AQ13" s="636"/>
      <c r="AR13" s="636"/>
      <c r="AS13" s="636"/>
      <c r="AT13" s="636"/>
      <c r="AU13" s="1"/>
      <c r="AV13" s="1"/>
      <c r="AW13" s="1"/>
      <c r="AX13" s="1"/>
      <c r="AY13" s="1"/>
    </row>
    <row r="14" spans="1:51" s="6" customFormat="1" ht="15.6" customHeight="1" x14ac:dyDescent="0.2">
      <c r="A14" s="645"/>
      <c r="B14" s="646"/>
      <c r="C14" s="666"/>
      <c r="D14" s="666"/>
      <c r="E14" s="666"/>
      <c r="F14" s="667"/>
      <c r="G14" s="667"/>
      <c r="H14" s="668">
        <v>90</v>
      </c>
      <c r="I14" s="668">
        <v>90</v>
      </c>
      <c r="J14" s="668">
        <v>90</v>
      </c>
      <c r="K14" s="668">
        <v>90</v>
      </c>
      <c r="L14" s="668">
        <v>90</v>
      </c>
      <c r="M14" s="668">
        <v>90</v>
      </c>
      <c r="N14" s="668">
        <v>90</v>
      </c>
      <c r="O14" s="640"/>
      <c r="P14" s="640"/>
      <c r="Q14" s="644" t="s">
        <v>905</v>
      </c>
      <c r="R14" s="640"/>
      <c r="S14" s="640"/>
      <c r="T14" s="640"/>
      <c r="U14" s="640"/>
      <c r="V14" s="640"/>
      <c r="W14" s="640"/>
      <c r="X14" s="640"/>
      <c r="Y14" s="640"/>
      <c r="Z14" s="640"/>
      <c r="AA14" s="640"/>
      <c r="AB14" s="640"/>
      <c r="AC14" s="635"/>
      <c r="AD14" s="635"/>
      <c r="AE14" s="635"/>
      <c r="AF14" s="635"/>
      <c r="AG14" s="635"/>
      <c r="AH14" s="635"/>
      <c r="AI14" s="635"/>
      <c r="AJ14" s="635"/>
      <c r="AK14" s="635"/>
      <c r="AL14" s="635"/>
      <c r="AM14" s="636"/>
      <c r="AN14" s="636"/>
      <c r="AO14" s="636"/>
      <c r="AP14" s="636"/>
      <c r="AQ14" s="636"/>
      <c r="AR14" s="636"/>
      <c r="AS14" s="636"/>
      <c r="AT14" s="636"/>
      <c r="AU14" s="1"/>
      <c r="AV14" s="1"/>
      <c r="AW14" s="1"/>
      <c r="AX14" s="1"/>
      <c r="AY14" s="1"/>
    </row>
    <row r="15" spans="1:51" s="6" customFormat="1" ht="15.6" customHeight="1" x14ac:dyDescent="0.2">
      <c r="A15" s="645"/>
      <c r="B15" s="646"/>
      <c r="C15" s="666"/>
      <c r="D15" s="666"/>
      <c r="E15" s="666"/>
      <c r="F15" s="667"/>
      <c r="G15" s="668">
        <v>90</v>
      </c>
      <c r="H15" s="668">
        <v>90</v>
      </c>
      <c r="I15" s="668">
        <v>90</v>
      </c>
      <c r="J15" s="668">
        <v>90</v>
      </c>
      <c r="K15" s="668">
        <v>90</v>
      </c>
      <c r="L15" s="668">
        <v>90</v>
      </c>
      <c r="M15" s="668">
        <v>90</v>
      </c>
      <c r="N15" s="668">
        <v>90</v>
      </c>
      <c r="O15" s="640"/>
      <c r="P15" s="640"/>
      <c r="Q15" s="640"/>
      <c r="R15" s="640"/>
      <c r="S15" s="640"/>
      <c r="T15" s="640"/>
      <c r="U15" s="640"/>
      <c r="V15" s="640"/>
      <c r="W15" s="640"/>
      <c r="X15" s="640"/>
      <c r="Y15" s="640"/>
      <c r="Z15" s="640"/>
      <c r="AA15" s="640"/>
      <c r="AB15" s="640"/>
      <c r="AC15" s="635"/>
      <c r="AD15" s="635"/>
      <c r="AE15" s="635"/>
      <c r="AF15" s="635"/>
      <c r="AG15" s="635"/>
      <c r="AH15" s="635"/>
      <c r="AI15" s="635"/>
      <c r="AJ15" s="635"/>
      <c r="AK15" s="635"/>
      <c r="AL15" s="635"/>
      <c r="AM15" s="636"/>
      <c r="AN15" s="636"/>
      <c r="AO15" s="636"/>
      <c r="AP15" s="636"/>
      <c r="AQ15" s="636"/>
      <c r="AR15" s="636"/>
      <c r="AS15" s="636"/>
      <c r="AT15" s="636"/>
      <c r="AU15" s="1"/>
      <c r="AV15" s="1"/>
      <c r="AW15" s="1"/>
      <c r="AX15" s="1"/>
      <c r="AY15" s="1"/>
    </row>
    <row r="16" spans="1:51" s="6" customFormat="1" ht="15.6" customHeight="1" x14ac:dyDescent="0.25">
      <c r="A16" s="645"/>
      <c r="B16" s="646"/>
      <c r="C16" s="666"/>
      <c r="D16" s="666"/>
      <c r="E16" s="666"/>
      <c r="F16" s="668">
        <v>90</v>
      </c>
      <c r="G16" s="668">
        <v>90</v>
      </c>
      <c r="H16" s="668">
        <v>90</v>
      </c>
      <c r="I16" s="668">
        <v>90</v>
      </c>
      <c r="J16" s="668">
        <v>90</v>
      </c>
      <c r="K16" s="668">
        <v>90</v>
      </c>
      <c r="L16" s="668">
        <v>90</v>
      </c>
      <c r="M16" s="668">
        <v>90</v>
      </c>
      <c r="N16" s="668">
        <v>90</v>
      </c>
      <c r="O16" s="640"/>
      <c r="P16" s="640"/>
      <c r="Q16" s="640"/>
      <c r="R16" s="640"/>
      <c r="S16" s="640"/>
      <c r="T16" s="640"/>
      <c r="U16" s="640"/>
      <c r="V16" s="640"/>
      <c r="W16" s="643" t="s">
        <v>906</v>
      </c>
      <c r="X16" s="640"/>
      <c r="Y16" s="640"/>
      <c r="Z16" s="640"/>
      <c r="AA16" s="640"/>
      <c r="AB16" s="640"/>
      <c r="AC16" s="635"/>
      <c r="AD16" s="635"/>
      <c r="AE16" s="635"/>
      <c r="AF16" s="635"/>
      <c r="AG16" s="635"/>
      <c r="AH16" s="635"/>
      <c r="AI16" s="635"/>
      <c r="AJ16" s="635"/>
      <c r="AK16" s="635"/>
      <c r="AL16" s="635"/>
      <c r="AM16" s="636"/>
      <c r="AN16" s="636"/>
      <c r="AO16" s="636"/>
      <c r="AP16" s="636"/>
      <c r="AQ16" s="636"/>
      <c r="AR16" s="636"/>
      <c r="AS16" s="636"/>
      <c r="AT16" s="636"/>
      <c r="AU16" s="1"/>
      <c r="AV16" s="1"/>
      <c r="AW16" s="1"/>
      <c r="AX16" s="1"/>
      <c r="AY16" s="1"/>
    </row>
    <row r="17" spans="1:51" s="6" customFormat="1" ht="15.6" customHeight="1" x14ac:dyDescent="0.2">
      <c r="A17" s="645"/>
      <c r="B17" s="646"/>
      <c r="C17" s="666"/>
      <c r="D17" s="666"/>
      <c r="E17" s="668">
        <v>90</v>
      </c>
      <c r="F17" s="668">
        <v>90</v>
      </c>
      <c r="G17" s="668">
        <v>90</v>
      </c>
      <c r="H17" s="668">
        <v>90</v>
      </c>
      <c r="I17" s="668">
        <v>90</v>
      </c>
      <c r="J17" s="668">
        <v>90</v>
      </c>
      <c r="K17" s="668">
        <v>90</v>
      </c>
      <c r="L17" s="668">
        <v>90</v>
      </c>
      <c r="M17" s="668">
        <v>90</v>
      </c>
      <c r="N17" s="668">
        <v>90</v>
      </c>
      <c r="O17" s="640"/>
      <c r="P17" s="640"/>
      <c r="Q17" s="640"/>
      <c r="R17" s="640"/>
      <c r="S17" s="640"/>
      <c r="T17" s="640"/>
      <c r="U17" s="640"/>
      <c r="V17" s="640"/>
      <c r="W17" s="676" t="s">
        <v>907</v>
      </c>
      <c r="X17" s="676" t="s">
        <v>908</v>
      </c>
      <c r="Y17" s="676" t="s">
        <v>909</v>
      </c>
      <c r="Z17" s="640"/>
      <c r="AA17" s="640"/>
      <c r="AB17" s="640"/>
      <c r="AC17" s="635"/>
      <c r="AD17" s="635"/>
      <c r="AE17" s="635"/>
      <c r="AF17" s="635"/>
      <c r="AG17" s="635"/>
      <c r="AH17" s="635"/>
      <c r="AI17" s="635"/>
      <c r="AJ17" s="635"/>
      <c r="AK17" s="635"/>
      <c r="AL17" s="635"/>
      <c r="AM17" s="636"/>
      <c r="AN17" s="636"/>
      <c r="AO17" s="636"/>
      <c r="AP17" s="636"/>
      <c r="AQ17" s="636"/>
      <c r="AR17" s="636"/>
      <c r="AS17" s="636"/>
      <c r="AT17" s="636"/>
      <c r="AU17" s="1"/>
      <c r="AV17" s="1"/>
      <c r="AW17" s="1"/>
      <c r="AX17" s="1"/>
      <c r="AY17" s="1"/>
    </row>
    <row r="18" spans="1:51" s="656" customFormat="1" ht="15.6" customHeight="1" x14ac:dyDescent="0.2">
      <c r="A18" s="645"/>
      <c r="B18" s="646"/>
      <c r="C18" s="666"/>
      <c r="D18" s="668">
        <v>90</v>
      </c>
      <c r="E18" s="668">
        <v>90</v>
      </c>
      <c r="F18" s="668">
        <v>90</v>
      </c>
      <c r="G18" s="668">
        <v>90</v>
      </c>
      <c r="H18" s="668">
        <v>90</v>
      </c>
      <c r="I18" s="668">
        <v>90</v>
      </c>
      <c r="J18" s="668">
        <v>90</v>
      </c>
      <c r="K18" s="668">
        <v>90</v>
      </c>
      <c r="L18" s="668">
        <v>90</v>
      </c>
      <c r="M18" s="668">
        <v>90</v>
      </c>
      <c r="N18" s="668">
        <v>90</v>
      </c>
      <c r="O18" s="640"/>
      <c r="P18" s="640"/>
      <c r="Q18" s="640"/>
      <c r="R18" s="640"/>
      <c r="S18" s="640"/>
      <c r="T18" s="640"/>
      <c r="U18" s="640"/>
      <c r="V18" s="640"/>
      <c r="W18" s="677">
        <v>0.5</v>
      </c>
      <c r="X18" s="678">
        <v>9</v>
      </c>
      <c r="Y18" s="679">
        <f>X18/12*W18</f>
        <v>0.375</v>
      </c>
      <c r="Z18" s="640"/>
      <c r="AA18" s="640"/>
      <c r="AB18" s="640"/>
      <c r="AC18" s="635"/>
      <c r="AD18" s="635"/>
      <c r="AE18" s="635"/>
      <c r="AF18" s="635"/>
      <c r="AG18" s="635"/>
      <c r="AH18" s="635"/>
      <c r="AI18" s="635"/>
      <c r="AJ18" s="635"/>
      <c r="AK18" s="635"/>
      <c r="AL18" s="635"/>
      <c r="AM18" s="636"/>
      <c r="AN18" s="636"/>
      <c r="AO18" s="636"/>
      <c r="AP18" s="636"/>
      <c r="AQ18" s="636"/>
      <c r="AR18" s="636"/>
      <c r="AS18" s="636"/>
      <c r="AT18" s="636"/>
      <c r="AU18" s="645"/>
      <c r="AV18" s="645"/>
      <c r="AW18" s="645"/>
      <c r="AX18" s="645"/>
      <c r="AY18" s="645"/>
    </row>
    <row r="19" spans="1:51" s="680" customFormat="1" ht="15.6" customHeight="1" x14ac:dyDescent="0.25">
      <c r="A19" s="645"/>
      <c r="B19" s="646"/>
      <c r="C19" s="668">
        <v>90</v>
      </c>
      <c r="D19" s="668">
        <v>90</v>
      </c>
      <c r="E19" s="668">
        <v>90</v>
      </c>
      <c r="F19" s="668">
        <v>90</v>
      </c>
      <c r="G19" s="668">
        <v>90</v>
      </c>
      <c r="H19" s="668">
        <v>90</v>
      </c>
      <c r="I19" s="668">
        <v>90</v>
      </c>
      <c r="J19" s="668">
        <v>90</v>
      </c>
      <c r="K19" s="668">
        <v>90</v>
      </c>
      <c r="L19" s="668">
        <v>90</v>
      </c>
      <c r="M19" s="668">
        <v>90</v>
      </c>
      <c r="N19" s="668">
        <v>90</v>
      </c>
      <c r="O19" s="640"/>
      <c r="P19" s="640"/>
      <c r="Q19" s="640"/>
      <c r="R19" s="640"/>
      <c r="S19" s="640"/>
      <c r="T19" s="640"/>
      <c r="U19" s="640"/>
      <c r="V19" s="640"/>
      <c r="W19" s="677">
        <v>0.9</v>
      </c>
      <c r="X19" s="678">
        <v>3</v>
      </c>
      <c r="Y19" s="679">
        <f>X19/12*W19</f>
        <v>0.22500000000000001</v>
      </c>
      <c r="Z19" s="640"/>
      <c r="AA19" s="640"/>
      <c r="AB19" s="640"/>
      <c r="AC19" s="635"/>
      <c r="AD19" s="635"/>
      <c r="AE19" s="635"/>
      <c r="AF19" s="635"/>
      <c r="AG19" s="635"/>
      <c r="AH19" s="635"/>
      <c r="AI19" s="635"/>
      <c r="AJ19" s="635"/>
      <c r="AK19" s="635"/>
      <c r="AL19" s="635"/>
      <c r="AM19" s="636"/>
      <c r="AN19" s="636"/>
      <c r="AO19" s="636"/>
      <c r="AP19" s="636"/>
      <c r="AQ19" s="636"/>
      <c r="AR19" s="636"/>
      <c r="AS19" s="636"/>
      <c r="AT19" s="636"/>
      <c r="AU19" s="8"/>
      <c r="AV19" s="8"/>
      <c r="AW19" s="8"/>
      <c r="AX19" s="8"/>
      <c r="AY19" s="8"/>
    </row>
    <row r="20" spans="1:51" s="680" customFormat="1" ht="15.75" x14ac:dyDescent="0.25">
      <c r="A20" s="645"/>
      <c r="B20" s="646"/>
      <c r="C20" s="646"/>
      <c r="D20" s="646"/>
      <c r="E20" s="646"/>
      <c r="F20" s="646"/>
      <c r="G20" s="646"/>
      <c r="H20" s="646"/>
      <c r="I20" s="646"/>
      <c r="J20" s="646"/>
      <c r="K20" s="646"/>
      <c r="L20" s="646"/>
      <c r="M20" s="646"/>
      <c r="N20" s="646"/>
      <c r="O20" s="646"/>
      <c r="P20" s="646"/>
      <c r="Q20" s="646"/>
      <c r="R20" s="640"/>
      <c r="S20" s="640"/>
      <c r="T20" s="640"/>
      <c r="U20" s="640"/>
      <c r="V20" s="640"/>
      <c r="W20" s="640"/>
      <c r="X20" s="640"/>
      <c r="Y20" s="681">
        <f>SUM(Y18:Y19)</f>
        <v>0.6</v>
      </c>
      <c r="Z20" s="640"/>
      <c r="AA20" s="640"/>
      <c r="AB20" s="640"/>
      <c r="AC20" s="635"/>
      <c r="AD20" s="635"/>
      <c r="AE20" s="635"/>
      <c r="AF20" s="635"/>
      <c r="AG20" s="635"/>
      <c r="AH20" s="635"/>
      <c r="AI20" s="635"/>
      <c r="AJ20" s="635"/>
      <c r="AK20" s="635"/>
      <c r="AL20" s="635"/>
      <c r="AM20" s="636"/>
      <c r="AN20" s="636"/>
      <c r="AO20" s="636"/>
      <c r="AP20" s="636"/>
      <c r="AQ20" s="636"/>
      <c r="AR20" s="636"/>
      <c r="AS20" s="636"/>
      <c r="AT20" s="636"/>
      <c r="AU20" s="8"/>
      <c r="AV20" s="8"/>
      <c r="AW20" s="8"/>
      <c r="AX20" s="8"/>
      <c r="AY20" s="8"/>
    </row>
    <row r="21" spans="1:51" s="680" customFormat="1" ht="15.75" x14ac:dyDescent="0.25">
      <c r="A21" s="645" t="s">
        <v>910</v>
      </c>
      <c r="B21" s="682">
        <v>1200</v>
      </c>
      <c r="C21" s="683">
        <f>$B$21/12</f>
        <v>100</v>
      </c>
      <c r="D21" s="683">
        <f t="shared" ref="D21:M21" si="0">$B$21/12</f>
        <v>100</v>
      </c>
      <c r="E21" s="683">
        <f t="shared" si="0"/>
        <v>100</v>
      </c>
      <c r="F21" s="683">
        <f t="shared" si="0"/>
        <v>100</v>
      </c>
      <c r="G21" s="683">
        <f t="shared" si="0"/>
        <v>100</v>
      </c>
      <c r="H21" s="683">
        <f t="shared" si="0"/>
        <v>100</v>
      </c>
      <c r="I21" s="683">
        <f t="shared" si="0"/>
        <v>100</v>
      </c>
      <c r="J21" s="683">
        <f t="shared" si="0"/>
        <v>100</v>
      </c>
      <c r="K21" s="683">
        <f t="shared" si="0"/>
        <v>100</v>
      </c>
      <c r="L21" s="683">
        <f t="shared" si="0"/>
        <v>100</v>
      </c>
      <c r="M21" s="683">
        <f t="shared" si="0"/>
        <v>100</v>
      </c>
      <c r="N21" s="683">
        <f>$B$21/12</f>
        <v>100</v>
      </c>
      <c r="O21" s="640"/>
      <c r="P21" s="640"/>
      <c r="Q21" s="640"/>
      <c r="R21" s="640"/>
      <c r="S21" s="640"/>
      <c r="T21" s="640"/>
      <c r="U21" s="640"/>
      <c r="V21" s="640"/>
      <c r="W21" s="640"/>
      <c r="X21" s="640"/>
      <c r="Y21" s="640"/>
      <c r="Z21" s="640"/>
      <c r="AA21" s="640"/>
      <c r="AB21" s="640"/>
      <c r="AC21" s="635"/>
      <c r="AD21" s="635"/>
      <c r="AE21" s="635"/>
      <c r="AF21" s="635"/>
      <c r="AG21" s="635"/>
      <c r="AH21" s="635"/>
      <c r="AI21" s="635"/>
      <c r="AJ21" s="635"/>
      <c r="AK21" s="635"/>
      <c r="AL21" s="635"/>
      <c r="AM21" s="636"/>
      <c r="AN21" s="636"/>
      <c r="AO21" s="636"/>
      <c r="AP21" s="636"/>
      <c r="AQ21" s="636"/>
      <c r="AR21" s="636"/>
      <c r="AS21" s="636"/>
      <c r="AT21" s="636"/>
      <c r="AU21" s="8"/>
      <c r="AV21" s="8"/>
      <c r="AW21" s="8"/>
      <c r="AX21" s="8"/>
      <c r="AY21" s="8"/>
    </row>
    <row r="22" spans="1:51" s="680" customFormat="1" ht="15.75" x14ac:dyDescent="0.25">
      <c r="A22" s="645" t="s">
        <v>911</v>
      </c>
      <c r="B22" s="684">
        <v>0.9</v>
      </c>
      <c r="C22" s="685"/>
      <c r="D22" s="685"/>
      <c r="E22" s="685"/>
      <c r="F22" s="685"/>
      <c r="G22" s="685"/>
      <c r="H22" s="685"/>
      <c r="I22" s="685"/>
      <c r="J22" s="685"/>
      <c r="K22" s="685"/>
      <c r="L22" s="685"/>
      <c r="M22" s="685"/>
      <c r="N22" s="685"/>
      <c r="O22" s="640"/>
      <c r="P22" s="640"/>
      <c r="Q22" s="640"/>
      <c r="R22" s="640"/>
      <c r="S22" s="640"/>
      <c r="T22" s="640"/>
      <c r="U22" s="640"/>
      <c r="V22" s="640"/>
      <c r="W22" s="640"/>
      <c r="X22" s="640"/>
      <c r="Y22" s="640"/>
      <c r="Z22" s="640"/>
      <c r="AA22" s="640"/>
      <c r="AB22" s="640"/>
      <c r="AC22" s="635"/>
      <c r="AD22" s="635"/>
      <c r="AE22" s="635"/>
      <c r="AF22" s="635"/>
      <c r="AG22" s="635"/>
      <c r="AH22" s="635"/>
      <c r="AI22" s="635"/>
      <c r="AJ22" s="635"/>
      <c r="AK22" s="635"/>
      <c r="AL22" s="635"/>
      <c r="AM22" s="636"/>
      <c r="AN22" s="636"/>
      <c r="AO22" s="636"/>
      <c r="AP22" s="636"/>
      <c r="AQ22" s="636"/>
      <c r="AR22" s="636"/>
      <c r="AS22" s="636"/>
      <c r="AT22" s="636"/>
      <c r="AU22" s="8"/>
      <c r="AV22" s="8"/>
      <c r="AW22" s="8"/>
      <c r="AX22" s="8"/>
      <c r="AY22" s="8"/>
    </row>
    <row r="23" spans="1:51" s="6" customFormat="1" x14ac:dyDescent="0.25">
      <c r="A23" s="645" t="s">
        <v>912</v>
      </c>
      <c r="B23" s="646"/>
      <c r="C23" s="686">
        <f>SUM(C8:C19)</f>
        <v>90</v>
      </c>
      <c r="D23" s="686">
        <f t="shared" ref="D23:N23" si="1">SUM(D8:D19)</f>
        <v>180</v>
      </c>
      <c r="E23" s="686">
        <f t="shared" si="1"/>
        <v>270</v>
      </c>
      <c r="F23" s="686">
        <f t="shared" si="1"/>
        <v>360</v>
      </c>
      <c r="G23" s="686">
        <f t="shared" si="1"/>
        <v>450</v>
      </c>
      <c r="H23" s="686">
        <f t="shared" si="1"/>
        <v>540</v>
      </c>
      <c r="I23" s="686">
        <f t="shared" si="1"/>
        <v>630</v>
      </c>
      <c r="J23" s="686">
        <f t="shared" si="1"/>
        <v>720</v>
      </c>
      <c r="K23" s="686">
        <f t="shared" si="1"/>
        <v>810</v>
      </c>
      <c r="L23" s="686">
        <f t="shared" si="1"/>
        <v>900</v>
      </c>
      <c r="M23" s="686">
        <f t="shared" si="1"/>
        <v>990</v>
      </c>
      <c r="N23" s="687">
        <f t="shared" si="1"/>
        <v>1080</v>
      </c>
      <c r="O23" s="688" t="s">
        <v>913</v>
      </c>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1"/>
      <c r="AR23" s="1"/>
      <c r="AS23" s="1"/>
      <c r="AT23" s="1"/>
      <c r="AU23" s="1"/>
      <c r="AV23" s="1"/>
      <c r="AW23" s="1"/>
      <c r="AX23" s="1"/>
      <c r="AY23" s="1"/>
    </row>
    <row r="24" spans="1:51" x14ac:dyDescent="0.2">
      <c r="A24" s="645" t="s">
        <v>914</v>
      </c>
      <c r="B24" s="646"/>
      <c r="C24" s="689">
        <f>C23/$B$21</f>
        <v>7.4999999999999997E-2</v>
      </c>
      <c r="D24" s="689">
        <f t="shared" ref="D24:N24" si="2">D23/$B$21</f>
        <v>0.15</v>
      </c>
      <c r="E24" s="689">
        <f t="shared" si="2"/>
        <v>0.22500000000000001</v>
      </c>
      <c r="F24" s="689">
        <f t="shared" si="2"/>
        <v>0.3</v>
      </c>
      <c r="G24" s="689">
        <f t="shared" si="2"/>
        <v>0.375</v>
      </c>
      <c r="H24" s="689">
        <f t="shared" si="2"/>
        <v>0.45</v>
      </c>
      <c r="I24" s="689">
        <f t="shared" si="2"/>
        <v>0.52500000000000002</v>
      </c>
      <c r="J24" s="689">
        <f t="shared" si="2"/>
        <v>0.6</v>
      </c>
      <c r="K24" s="689">
        <f t="shared" si="2"/>
        <v>0.67500000000000004</v>
      </c>
      <c r="L24" s="689">
        <f t="shared" si="2"/>
        <v>0.75</v>
      </c>
      <c r="M24" s="689">
        <f t="shared" si="2"/>
        <v>0.82499999999999996</v>
      </c>
      <c r="N24" s="689">
        <f t="shared" si="2"/>
        <v>0.9</v>
      </c>
      <c r="O24" s="688" t="s">
        <v>915</v>
      </c>
      <c r="P24" s="640"/>
      <c r="Q24" s="640"/>
      <c r="R24" s="640"/>
      <c r="S24" s="640"/>
      <c r="T24" s="640"/>
      <c r="U24" s="640"/>
      <c r="V24" s="640"/>
      <c r="W24" s="640"/>
      <c r="X24" s="640"/>
      <c r="Y24" s="640"/>
      <c r="Z24" s="640"/>
      <c r="AA24" s="640"/>
      <c r="AB24" s="690"/>
      <c r="AC24" s="691"/>
      <c r="AD24" s="691"/>
      <c r="AE24" s="691"/>
      <c r="AF24" s="691"/>
      <c r="AG24" s="691"/>
      <c r="AH24" s="691"/>
      <c r="AI24" s="691"/>
      <c r="AJ24" s="691"/>
      <c r="AK24" s="691"/>
      <c r="AL24" s="691"/>
      <c r="AM24" s="691"/>
      <c r="AN24" s="691"/>
      <c r="AO24" s="691"/>
      <c r="AP24" s="691"/>
      <c r="AQ24" s="636"/>
      <c r="AR24" s="636"/>
      <c r="AS24" s="636"/>
      <c r="AT24" s="636"/>
      <c r="AU24" s="636"/>
      <c r="AV24" s="636"/>
      <c r="AW24" s="636"/>
      <c r="AX24" s="636"/>
      <c r="AY24" s="636"/>
    </row>
    <row r="25" spans="1:51" x14ac:dyDescent="0.2">
      <c r="A25" s="692"/>
      <c r="B25" s="646"/>
      <c r="C25" s="640"/>
      <c r="D25" s="693"/>
      <c r="E25" s="693"/>
      <c r="F25" s="694"/>
      <c r="G25" s="694"/>
      <c r="H25" s="694"/>
      <c r="I25" s="640"/>
      <c r="J25" s="640"/>
      <c r="K25" s="640"/>
      <c r="L25" s="640"/>
      <c r="M25" s="640"/>
      <c r="N25" s="695" t="s">
        <v>916</v>
      </c>
      <c r="O25" s="1"/>
      <c r="P25" s="640"/>
      <c r="Q25" s="640"/>
      <c r="R25" s="640"/>
      <c r="S25" s="640"/>
      <c r="T25" s="640"/>
      <c r="U25" s="640"/>
      <c r="V25" s="640"/>
      <c r="W25" s="640"/>
      <c r="X25" s="640"/>
      <c r="Y25" s="640"/>
      <c r="Z25" s="640"/>
      <c r="AA25" s="640"/>
      <c r="AB25" s="640"/>
      <c r="AC25" s="635"/>
      <c r="AD25" s="696"/>
      <c r="AE25" s="635"/>
      <c r="AF25" s="635"/>
      <c r="AG25" s="635"/>
      <c r="AH25" s="635"/>
      <c r="AI25" s="635"/>
      <c r="AJ25" s="635"/>
      <c r="AK25" s="635"/>
      <c r="AL25" s="635"/>
      <c r="AM25" s="635"/>
      <c r="AN25" s="635"/>
      <c r="AO25" s="635"/>
      <c r="AP25" s="696"/>
      <c r="AQ25" s="636"/>
      <c r="AR25" s="636"/>
      <c r="AS25" s="636"/>
      <c r="AT25" s="636"/>
      <c r="AU25" s="636"/>
      <c r="AV25" s="636"/>
      <c r="AW25" s="636"/>
      <c r="AX25" s="636"/>
      <c r="AY25" s="636"/>
    </row>
    <row r="26" spans="1:51" x14ac:dyDescent="0.2">
      <c r="A26" s="692"/>
      <c r="B26" s="646"/>
      <c r="C26" s="640"/>
      <c r="D26" s="693"/>
      <c r="E26" s="693"/>
      <c r="F26" s="694"/>
      <c r="G26" s="694"/>
      <c r="H26" s="694"/>
      <c r="I26" s="640"/>
      <c r="J26" s="640"/>
      <c r="K26" s="640"/>
      <c r="L26" s="640"/>
      <c r="M26" s="640"/>
      <c r="N26" s="697"/>
      <c r="O26" s="640"/>
      <c r="P26" s="640"/>
      <c r="Q26" s="640"/>
      <c r="R26" s="640"/>
      <c r="S26" s="640"/>
      <c r="T26" s="640"/>
      <c r="U26" s="640"/>
      <c r="V26" s="640"/>
      <c r="W26" s="640"/>
      <c r="X26" s="640"/>
      <c r="Y26" s="640"/>
      <c r="Z26" s="640"/>
      <c r="AA26" s="640"/>
      <c r="AB26" s="640"/>
      <c r="AC26" s="635"/>
      <c r="AD26" s="698"/>
      <c r="AE26" s="635"/>
      <c r="AF26" s="635"/>
      <c r="AG26" s="635"/>
      <c r="AH26" s="635"/>
      <c r="AI26" s="635"/>
      <c r="AJ26" s="635"/>
      <c r="AK26" s="635"/>
      <c r="AL26" s="635"/>
      <c r="AM26" s="635"/>
      <c r="AN26" s="635"/>
      <c r="AO26" s="635"/>
      <c r="AP26" s="698"/>
      <c r="AQ26" s="636"/>
      <c r="AR26" s="636"/>
      <c r="AS26" s="636"/>
      <c r="AT26" s="636"/>
      <c r="AU26" s="636"/>
      <c r="AV26" s="636"/>
      <c r="AW26" s="636"/>
      <c r="AX26" s="636"/>
      <c r="AY26" s="636"/>
    </row>
    <row r="27" spans="1:51" ht="15.75" x14ac:dyDescent="0.25">
      <c r="A27" s="692"/>
      <c r="B27" s="694"/>
      <c r="C27" s="640"/>
      <c r="D27" s="693"/>
      <c r="E27" s="693"/>
      <c r="F27" s="694"/>
      <c r="G27" s="694"/>
      <c r="H27" s="694"/>
      <c r="I27" s="640"/>
      <c r="J27" s="640"/>
      <c r="K27" s="640"/>
      <c r="L27" s="640"/>
      <c r="M27" s="697" t="s">
        <v>917</v>
      </c>
      <c r="N27" s="699">
        <f>ROUNDUP((C23+D23+E23+F23+G23+H23+I23+J23+K23+L23+M23+N23)/(12*1200),1)</f>
        <v>0.5</v>
      </c>
      <c r="O27" s="643"/>
      <c r="P27" s="640"/>
      <c r="Q27" s="640"/>
      <c r="R27" s="640"/>
      <c r="S27" s="640"/>
      <c r="T27" s="640"/>
      <c r="U27" s="640"/>
      <c r="V27" s="640"/>
      <c r="W27" s="640"/>
      <c r="X27" s="640"/>
      <c r="Y27" s="640"/>
      <c r="Z27" s="640"/>
      <c r="AA27" s="640"/>
      <c r="AB27" s="640"/>
      <c r="AC27" s="635"/>
      <c r="AD27" s="700"/>
      <c r="AE27" s="635"/>
      <c r="AF27" s="635"/>
      <c r="AG27" s="635"/>
      <c r="AH27" s="635"/>
      <c r="AI27" s="635"/>
      <c r="AJ27" s="635"/>
      <c r="AK27" s="635"/>
      <c r="AL27" s="635"/>
      <c r="AM27" s="635"/>
      <c r="AN27" s="635"/>
      <c r="AO27" s="635"/>
      <c r="AP27" s="701"/>
      <c r="AQ27" s="636"/>
      <c r="AR27" s="636"/>
      <c r="AS27" s="636"/>
      <c r="AT27" s="636"/>
      <c r="AU27" s="636"/>
      <c r="AV27" s="636"/>
      <c r="AW27" s="636"/>
      <c r="AX27" s="636"/>
      <c r="AY27" s="636"/>
    </row>
    <row r="28" spans="1:51" ht="15.75" x14ac:dyDescent="0.25">
      <c r="A28" s="692"/>
      <c r="B28" s="694"/>
      <c r="C28" s="640"/>
      <c r="D28" s="693"/>
      <c r="E28" s="693"/>
      <c r="F28" s="694"/>
      <c r="G28" s="694"/>
      <c r="H28" s="694"/>
      <c r="I28" s="640"/>
      <c r="J28" s="640"/>
      <c r="K28" s="640"/>
      <c r="L28" s="640"/>
      <c r="M28" s="640"/>
      <c r="N28" s="697"/>
      <c r="O28" s="640"/>
      <c r="P28" s="640"/>
      <c r="Q28" s="640"/>
      <c r="R28" s="640"/>
      <c r="S28" s="640"/>
      <c r="T28" s="640"/>
      <c r="U28" s="640"/>
      <c r="V28" s="640"/>
      <c r="W28" s="640"/>
      <c r="X28" s="640"/>
      <c r="Y28" s="640"/>
      <c r="Z28" s="640"/>
      <c r="AA28" s="640"/>
      <c r="AB28" s="640"/>
      <c r="AC28" s="635"/>
      <c r="AD28" s="702"/>
      <c r="AE28" s="635"/>
      <c r="AF28" s="635"/>
      <c r="AG28" s="635"/>
      <c r="AH28" s="635"/>
      <c r="AI28" s="635"/>
      <c r="AJ28" s="635"/>
      <c r="AK28" s="635"/>
      <c r="AL28" s="635"/>
      <c r="AM28" s="635"/>
      <c r="AN28" s="635"/>
      <c r="AO28" s="635"/>
      <c r="AP28" s="702"/>
      <c r="AQ28" s="636"/>
      <c r="AR28" s="636"/>
      <c r="AS28" s="636"/>
      <c r="AT28" s="636"/>
      <c r="AU28" s="636"/>
      <c r="AV28" s="636"/>
      <c r="AW28" s="636"/>
      <c r="AX28" s="636"/>
      <c r="AY28" s="636"/>
    </row>
    <row r="29" spans="1:51" ht="15.75" x14ac:dyDescent="0.25">
      <c r="A29" s="692"/>
      <c r="B29" s="694"/>
      <c r="C29" s="640"/>
      <c r="D29" s="693"/>
      <c r="E29" s="693"/>
      <c r="F29" s="694"/>
      <c r="G29" s="694"/>
      <c r="H29" s="694"/>
      <c r="I29" s="640"/>
      <c r="J29" s="640"/>
      <c r="K29" s="640"/>
      <c r="L29" s="640"/>
      <c r="M29" s="640"/>
      <c r="N29" s="703" t="s">
        <v>918</v>
      </c>
      <c r="O29" s="640"/>
      <c r="P29" s="640"/>
      <c r="Q29" s="640"/>
      <c r="R29" s="640"/>
      <c r="S29" s="640"/>
      <c r="T29" s="640"/>
      <c r="U29" s="640"/>
      <c r="V29" s="640"/>
      <c r="W29" s="640"/>
      <c r="X29" s="640"/>
      <c r="Y29" s="640"/>
      <c r="Z29" s="640"/>
      <c r="AA29" s="640"/>
      <c r="AB29" s="640"/>
      <c r="AC29" s="635"/>
      <c r="AD29" s="702"/>
      <c r="AE29" s="635"/>
      <c r="AF29" s="635"/>
      <c r="AG29" s="635"/>
      <c r="AH29" s="635"/>
      <c r="AI29" s="635"/>
      <c r="AJ29" s="635"/>
      <c r="AK29" s="635"/>
      <c r="AL29" s="635"/>
      <c r="AM29" s="635"/>
      <c r="AN29" s="635"/>
      <c r="AO29" s="635"/>
      <c r="AP29" s="702"/>
      <c r="AQ29" s="636"/>
      <c r="AR29" s="636"/>
      <c r="AS29" s="636"/>
      <c r="AT29" s="636"/>
      <c r="AU29" s="636"/>
      <c r="AV29" s="636"/>
      <c r="AW29" s="636"/>
      <c r="AX29" s="636"/>
      <c r="AY29" s="636"/>
    </row>
    <row r="30" spans="1:51" ht="15.75" x14ac:dyDescent="0.25">
      <c r="A30" s="692"/>
      <c r="B30" s="694"/>
      <c r="C30" s="640"/>
      <c r="D30" s="693"/>
      <c r="E30" s="693"/>
      <c r="F30" s="694"/>
      <c r="G30" s="694"/>
      <c r="H30" s="694"/>
      <c r="I30" s="640"/>
      <c r="J30" s="640"/>
      <c r="K30" s="640"/>
      <c r="L30" s="640"/>
      <c r="M30" s="640"/>
      <c r="N30" s="697" t="s">
        <v>919</v>
      </c>
      <c r="O30" s="640"/>
      <c r="P30" s="640"/>
      <c r="Q30" s="640"/>
      <c r="R30" s="640"/>
      <c r="S30" s="640"/>
      <c r="T30" s="640"/>
      <c r="U30" s="640"/>
      <c r="V30" s="640"/>
      <c r="W30" s="640"/>
      <c r="X30" s="640"/>
      <c r="Y30" s="640"/>
      <c r="Z30" s="640"/>
      <c r="AA30" s="640"/>
      <c r="AB30" s="640"/>
      <c r="AC30" s="635"/>
      <c r="AD30" s="700"/>
      <c r="AE30" s="635"/>
      <c r="AF30" s="635"/>
      <c r="AG30" s="635"/>
      <c r="AH30" s="635"/>
      <c r="AI30" s="635"/>
      <c r="AJ30" s="635"/>
      <c r="AK30" s="635"/>
      <c r="AL30" s="635"/>
      <c r="AM30" s="635"/>
      <c r="AN30" s="635"/>
      <c r="AO30" s="635"/>
      <c r="AP30" s="701"/>
      <c r="AQ30" s="636"/>
      <c r="AR30" s="636"/>
      <c r="AS30" s="636"/>
      <c r="AT30" s="636"/>
      <c r="AU30" s="636"/>
      <c r="AV30" s="636"/>
      <c r="AW30" s="636"/>
      <c r="AX30" s="636"/>
      <c r="AY30" s="636"/>
    </row>
    <row r="31" spans="1:51" s="706" customFormat="1" x14ac:dyDescent="0.2">
      <c r="A31" s="704"/>
      <c r="B31" s="646"/>
      <c r="C31" s="1"/>
      <c r="D31" s="51"/>
      <c r="E31" s="51"/>
      <c r="F31" s="51"/>
      <c r="G31" s="51"/>
      <c r="H31" s="51"/>
      <c r="I31" s="51"/>
      <c r="J31" s="51"/>
      <c r="K31" s="51"/>
      <c r="L31" s="51"/>
      <c r="M31" s="51"/>
      <c r="N31" s="697" t="s">
        <v>920</v>
      </c>
      <c r="O31" s="646"/>
      <c r="P31" s="646"/>
      <c r="Q31" s="646"/>
      <c r="R31" s="646"/>
      <c r="S31" s="646"/>
      <c r="T31" s="646"/>
      <c r="U31" s="646"/>
      <c r="V31" s="646"/>
      <c r="W31" s="646"/>
      <c r="X31" s="646"/>
      <c r="Y31" s="646"/>
      <c r="Z31" s="646"/>
      <c r="AA31" s="646"/>
      <c r="AB31" s="646"/>
      <c r="AC31" s="705"/>
      <c r="AD31" s="705"/>
      <c r="AE31" s="705"/>
      <c r="AF31" s="705"/>
      <c r="AG31" s="705"/>
      <c r="AH31" s="705"/>
      <c r="AI31" s="705"/>
      <c r="AJ31" s="705"/>
      <c r="AK31" s="705"/>
      <c r="AL31" s="705"/>
      <c r="AM31" s="705"/>
      <c r="AN31" s="705"/>
      <c r="AO31" s="705"/>
      <c r="AP31" s="705"/>
      <c r="AQ31" s="705"/>
      <c r="AR31" s="705"/>
      <c r="AS31" s="705"/>
      <c r="AT31" s="705"/>
      <c r="AU31" s="705"/>
      <c r="AV31" s="705"/>
      <c r="AW31" s="705"/>
      <c r="AX31" s="705"/>
      <c r="AY31" s="705"/>
    </row>
    <row r="32" spans="1:51" s="706" customFormat="1" x14ac:dyDescent="0.2">
      <c r="A32" s="704"/>
      <c r="B32" s="646"/>
      <c r="C32" s="1"/>
      <c r="D32" s="51"/>
      <c r="E32" s="51"/>
      <c r="F32" s="51"/>
      <c r="G32" s="51"/>
      <c r="H32" s="51"/>
      <c r="I32" s="51"/>
      <c r="J32" s="51"/>
      <c r="K32" s="51"/>
      <c r="L32" s="51"/>
      <c r="M32" s="51"/>
      <c r="N32" s="697" t="s">
        <v>921</v>
      </c>
      <c r="O32" s="646"/>
      <c r="P32" s="646"/>
      <c r="Q32" s="646"/>
      <c r="R32" s="646"/>
      <c r="S32" s="646"/>
      <c r="T32" s="646"/>
      <c r="U32" s="646"/>
      <c r="V32" s="646"/>
      <c r="W32" s="646"/>
      <c r="X32" s="646"/>
      <c r="Y32" s="646"/>
      <c r="Z32" s="646"/>
      <c r="AA32" s="646"/>
      <c r="AB32" s="646"/>
      <c r="AC32" s="705"/>
      <c r="AD32" s="705"/>
      <c r="AE32" s="705"/>
      <c r="AF32" s="705"/>
      <c r="AG32" s="705"/>
      <c r="AH32" s="705"/>
      <c r="AI32" s="705"/>
      <c r="AJ32" s="705"/>
      <c r="AK32" s="705"/>
      <c r="AL32" s="705"/>
      <c r="AM32" s="705"/>
      <c r="AN32" s="705"/>
      <c r="AO32" s="705"/>
      <c r="AP32" s="705"/>
      <c r="AQ32" s="705"/>
      <c r="AR32" s="705"/>
      <c r="AS32" s="705"/>
      <c r="AT32" s="705"/>
      <c r="AU32" s="705"/>
      <c r="AV32" s="705"/>
      <c r="AW32" s="705"/>
      <c r="AX32" s="705"/>
      <c r="AY32" s="705"/>
    </row>
    <row r="33" spans="1:5" s="706" customFormat="1" ht="15.75" x14ac:dyDescent="0.2">
      <c r="A33" s="707"/>
      <c r="C33" s="637"/>
      <c r="D33" s="708"/>
      <c r="E33" s="708"/>
    </row>
    <row r="34" spans="1:5" s="706" customFormat="1" ht="15.75" x14ac:dyDescent="0.2">
      <c r="A34" s="707"/>
      <c r="C34" s="637"/>
      <c r="D34" s="708"/>
      <c r="E34" s="708"/>
    </row>
    <row r="35" spans="1:5" s="706" customFormat="1" ht="15.75" x14ac:dyDescent="0.2">
      <c r="A35" s="707"/>
      <c r="C35" s="637"/>
      <c r="D35" s="708"/>
      <c r="E35" s="708"/>
    </row>
    <row r="36" spans="1:5" s="706" customFormat="1" ht="15.75" x14ac:dyDescent="0.2">
      <c r="A36" s="707"/>
      <c r="C36" s="637"/>
      <c r="D36" s="708"/>
      <c r="E36" s="708"/>
    </row>
    <row r="37" spans="1:5" s="706" customFormat="1" ht="15.75" x14ac:dyDescent="0.2">
      <c r="A37" s="707"/>
      <c r="C37" s="637"/>
      <c r="D37" s="708"/>
      <c r="E37" s="708"/>
    </row>
    <row r="38" spans="1:5" s="706" customFormat="1" ht="15.75" x14ac:dyDescent="0.2">
      <c r="A38" s="707"/>
      <c r="C38" s="637"/>
      <c r="D38" s="708"/>
      <c r="E38" s="708"/>
    </row>
    <row r="39" spans="1:5" s="706" customFormat="1" ht="15.75" x14ac:dyDescent="0.2">
      <c r="A39" s="707"/>
      <c r="C39" s="637"/>
      <c r="D39" s="708"/>
      <c r="E39" s="708"/>
    </row>
    <row r="40" spans="1:5" s="706" customFormat="1" ht="15.75" x14ac:dyDescent="0.2">
      <c r="A40" s="707"/>
      <c r="C40" s="637"/>
      <c r="D40" s="708"/>
      <c r="E40" s="708"/>
    </row>
    <row r="41" spans="1:5" s="706" customFormat="1" ht="15.75" x14ac:dyDescent="0.2">
      <c r="A41" s="707"/>
      <c r="C41" s="637"/>
      <c r="D41" s="708"/>
      <c r="E41" s="708"/>
    </row>
    <row r="42" spans="1:5" s="706" customFormat="1" ht="15.75" x14ac:dyDescent="0.2">
      <c r="A42" s="707"/>
      <c r="C42" s="637"/>
      <c r="D42" s="708"/>
      <c r="E42" s="708"/>
    </row>
    <row r="43" spans="1:5" s="706" customFormat="1" ht="15.75" x14ac:dyDescent="0.2">
      <c r="A43" s="707"/>
      <c r="C43" s="637"/>
      <c r="D43" s="708"/>
      <c r="E43" s="708"/>
    </row>
    <row r="44" spans="1:5" s="706" customFormat="1" ht="15.75" x14ac:dyDescent="0.2">
      <c r="A44" s="707"/>
      <c r="C44" s="637"/>
      <c r="D44" s="708"/>
      <c r="E44" s="708"/>
    </row>
    <row r="45" spans="1:5" s="706" customFormat="1" ht="15.75" x14ac:dyDescent="0.2">
      <c r="A45" s="707"/>
      <c r="C45" s="637"/>
      <c r="D45" s="708"/>
      <c r="E45" s="708"/>
    </row>
    <row r="46" spans="1:5" s="706" customFormat="1" ht="15.75" x14ac:dyDescent="0.2">
      <c r="A46" s="707"/>
      <c r="C46" s="637"/>
      <c r="D46" s="708"/>
      <c r="E46" s="708"/>
    </row>
    <row r="47" spans="1:5" s="706" customFormat="1" ht="15.75" x14ac:dyDescent="0.2">
      <c r="A47" s="707"/>
      <c r="C47" s="637"/>
      <c r="D47" s="708"/>
      <c r="E47" s="708"/>
    </row>
    <row r="48" spans="1:5" s="706" customFormat="1" ht="15.75" x14ac:dyDescent="0.2">
      <c r="A48" s="707"/>
      <c r="C48" s="637"/>
      <c r="D48" s="708"/>
      <c r="E48" s="708"/>
    </row>
    <row r="49" spans="1:5" s="706" customFormat="1" ht="15.75" x14ac:dyDescent="0.2">
      <c r="A49" s="707"/>
      <c r="C49" s="637"/>
      <c r="D49" s="708"/>
      <c r="E49" s="708"/>
    </row>
    <row r="50" spans="1:5" s="706" customFormat="1" ht="15.75" x14ac:dyDescent="0.2">
      <c r="A50" s="707"/>
      <c r="C50" s="637"/>
      <c r="D50" s="708"/>
      <c r="E50" s="708"/>
    </row>
    <row r="51" spans="1:5" s="706" customFormat="1" ht="15.75" x14ac:dyDescent="0.2">
      <c r="A51" s="707"/>
      <c r="C51" s="637"/>
      <c r="D51" s="708"/>
      <c r="E51" s="708"/>
    </row>
    <row r="52" spans="1:5" s="706" customFormat="1" ht="15.75" x14ac:dyDescent="0.2">
      <c r="A52" s="707"/>
      <c r="C52" s="637"/>
      <c r="D52" s="708"/>
      <c r="E52" s="708"/>
    </row>
    <row r="53" spans="1:5" s="706" customFormat="1" ht="15.75" x14ac:dyDescent="0.2">
      <c r="A53" s="707"/>
      <c r="C53" s="637"/>
      <c r="D53" s="708"/>
      <c r="E53" s="708"/>
    </row>
    <row r="54" spans="1:5" s="706" customFormat="1" ht="15.75" x14ac:dyDescent="0.2">
      <c r="A54" s="707"/>
      <c r="C54" s="637"/>
      <c r="D54" s="708"/>
      <c r="E54" s="708"/>
    </row>
    <row r="55" spans="1:5" s="706" customFormat="1" ht="15.75" x14ac:dyDescent="0.2">
      <c r="A55" s="707"/>
      <c r="C55" s="637"/>
      <c r="D55" s="708"/>
      <c r="E55" s="708"/>
    </row>
    <row r="56" spans="1:5" s="706" customFormat="1" ht="15.75" x14ac:dyDescent="0.2">
      <c r="A56" s="707"/>
      <c r="C56" s="637"/>
      <c r="D56" s="708"/>
      <c r="E56" s="708"/>
    </row>
    <row r="57" spans="1:5" s="706" customFormat="1" ht="15.75" x14ac:dyDescent="0.2">
      <c r="A57" s="707"/>
      <c r="C57" s="637"/>
      <c r="D57" s="708"/>
      <c r="E57" s="708"/>
    </row>
    <row r="58" spans="1:5" s="706" customFormat="1" ht="15.75" x14ac:dyDescent="0.2">
      <c r="A58" s="707"/>
      <c r="C58" s="637"/>
      <c r="D58" s="708"/>
      <c r="E58" s="708"/>
    </row>
    <row r="59" spans="1:5" s="706" customFormat="1" ht="15.75" x14ac:dyDescent="0.2">
      <c r="A59" s="707"/>
      <c r="C59" s="637"/>
      <c r="D59" s="708"/>
      <c r="E59" s="708"/>
    </row>
    <row r="60" spans="1:5" s="706" customFormat="1" ht="15.75" x14ac:dyDescent="0.2">
      <c r="A60" s="707"/>
      <c r="C60" s="637"/>
      <c r="D60" s="708"/>
      <c r="E60" s="708"/>
    </row>
    <row r="61" spans="1:5" s="706" customFormat="1" ht="15.75" x14ac:dyDescent="0.2">
      <c r="A61" s="707"/>
      <c r="C61" s="637"/>
      <c r="D61" s="708"/>
      <c r="E61" s="708"/>
    </row>
    <row r="62" spans="1:5" s="706" customFormat="1" ht="15.75" x14ac:dyDescent="0.2">
      <c r="A62" s="707"/>
      <c r="C62" s="637"/>
      <c r="D62" s="708"/>
      <c r="E62" s="708"/>
    </row>
    <row r="63" spans="1:5" s="706" customFormat="1" ht="15.75" x14ac:dyDescent="0.2">
      <c r="A63" s="707"/>
      <c r="C63" s="637"/>
      <c r="D63" s="708"/>
      <c r="E63" s="708"/>
    </row>
    <row r="64" spans="1:5" s="706" customFormat="1" ht="15.75" x14ac:dyDescent="0.2">
      <c r="A64" s="707"/>
      <c r="C64" s="637"/>
      <c r="D64" s="708"/>
      <c r="E64" s="708"/>
    </row>
    <row r="65" spans="1:5" s="706" customFormat="1" ht="15.75" x14ac:dyDescent="0.2">
      <c r="A65" s="707"/>
      <c r="C65" s="637"/>
      <c r="D65" s="708"/>
      <c r="E65" s="708"/>
    </row>
    <row r="66" spans="1:5" s="706" customFormat="1" ht="15.75" x14ac:dyDescent="0.2">
      <c r="A66" s="707"/>
      <c r="C66" s="637"/>
      <c r="D66" s="708"/>
      <c r="E66" s="708"/>
    </row>
    <row r="67" spans="1:5" s="706" customFormat="1" ht="15.75" x14ac:dyDescent="0.2">
      <c r="A67" s="707"/>
      <c r="C67" s="637"/>
      <c r="D67" s="708"/>
      <c r="E67" s="708"/>
    </row>
    <row r="68" spans="1:5" s="706" customFormat="1" ht="15.75" x14ac:dyDescent="0.2">
      <c r="A68" s="707"/>
      <c r="C68" s="637"/>
      <c r="D68" s="708"/>
      <c r="E68" s="708"/>
    </row>
    <row r="69" spans="1:5" s="706" customFormat="1" ht="15.75" x14ac:dyDescent="0.2">
      <c r="A69" s="707"/>
      <c r="C69" s="637"/>
      <c r="D69" s="708"/>
      <c r="E69" s="708"/>
    </row>
    <row r="70" spans="1:5" s="706" customFormat="1" ht="15.75" x14ac:dyDescent="0.2">
      <c r="A70" s="707"/>
      <c r="C70" s="637"/>
      <c r="D70" s="708"/>
      <c r="E70" s="708"/>
    </row>
    <row r="71" spans="1:5" s="706" customFormat="1" ht="15.75" x14ac:dyDescent="0.2">
      <c r="A71" s="707"/>
      <c r="C71" s="637"/>
      <c r="D71" s="708"/>
      <c r="E71" s="708"/>
    </row>
    <row r="72" spans="1:5" s="706" customFormat="1" ht="15.75" x14ac:dyDescent="0.2">
      <c r="A72" s="707"/>
      <c r="C72" s="637"/>
      <c r="D72" s="708"/>
      <c r="E72" s="708"/>
    </row>
    <row r="73" spans="1:5" s="706" customFormat="1" ht="15.75" x14ac:dyDescent="0.2">
      <c r="A73" s="707"/>
      <c r="C73" s="637"/>
      <c r="D73" s="708"/>
      <c r="E73" s="708"/>
    </row>
    <row r="74" spans="1:5" s="706" customFormat="1" ht="15.75" x14ac:dyDescent="0.2">
      <c r="A74" s="707"/>
      <c r="C74" s="637"/>
      <c r="D74" s="708"/>
      <c r="E74" s="708"/>
    </row>
    <row r="75" spans="1:5" s="706" customFormat="1" ht="15.75" x14ac:dyDescent="0.2">
      <c r="A75" s="707"/>
      <c r="C75" s="637"/>
      <c r="D75" s="708"/>
      <c r="E75" s="708"/>
    </row>
    <row r="76" spans="1:5" s="706" customFormat="1" ht="15.75" x14ac:dyDescent="0.2">
      <c r="A76" s="707"/>
      <c r="C76" s="637"/>
      <c r="D76" s="708"/>
      <c r="E76" s="708"/>
    </row>
    <row r="77" spans="1:5" s="706" customFormat="1" ht="15.75" x14ac:dyDescent="0.2">
      <c r="A77" s="707"/>
      <c r="C77" s="637"/>
      <c r="D77" s="708"/>
      <c r="E77" s="708"/>
    </row>
    <row r="78" spans="1:5" s="706" customFormat="1" ht="15.75" x14ac:dyDescent="0.2">
      <c r="A78" s="707"/>
      <c r="C78" s="637"/>
      <c r="D78" s="708"/>
      <c r="E78" s="708"/>
    </row>
    <row r="79" spans="1:5" s="706" customFormat="1" ht="15.75" x14ac:dyDescent="0.2">
      <c r="A79" s="707"/>
      <c r="C79" s="637"/>
      <c r="D79" s="708"/>
      <c r="E79" s="708"/>
    </row>
    <row r="80" spans="1:5" s="706" customFormat="1" ht="15.75" x14ac:dyDescent="0.2">
      <c r="A80" s="707"/>
      <c r="C80" s="637"/>
      <c r="D80" s="708"/>
      <c r="E80" s="708"/>
    </row>
    <row r="81" spans="1:5" s="706" customFormat="1" ht="15.75" x14ac:dyDescent="0.2">
      <c r="A81" s="707"/>
      <c r="C81" s="637"/>
      <c r="D81" s="708"/>
      <c r="E81" s="708"/>
    </row>
    <row r="82" spans="1:5" s="706" customFormat="1" ht="15.75" x14ac:dyDescent="0.2">
      <c r="A82" s="707"/>
      <c r="C82" s="637"/>
      <c r="D82" s="708"/>
      <c r="E82" s="708"/>
    </row>
    <row r="83" spans="1:5" s="706" customFormat="1" ht="15.75" x14ac:dyDescent="0.2">
      <c r="A83" s="707"/>
      <c r="C83" s="637"/>
      <c r="D83" s="708"/>
      <c r="E83" s="708"/>
    </row>
    <row r="84" spans="1:5" s="706" customFormat="1" ht="15.75" x14ac:dyDescent="0.2">
      <c r="A84" s="707"/>
      <c r="C84" s="637"/>
      <c r="D84" s="708"/>
      <c r="E84" s="708"/>
    </row>
    <row r="85" spans="1:5" s="706" customFormat="1" ht="15.75" x14ac:dyDescent="0.2">
      <c r="A85" s="707"/>
      <c r="C85" s="637"/>
      <c r="D85" s="708"/>
      <c r="E85" s="708"/>
    </row>
    <row r="86" spans="1:5" s="706" customFormat="1" ht="15.75" x14ac:dyDescent="0.2">
      <c r="A86" s="707"/>
      <c r="C86" s="637"/>
      <c r="D86" s="708"/>
      <c r="E86" s="708"/>
    </row>
    <row r="87" spans="1:5" s="706" customFormat="1" ht="15.75" x14ac:dyDescent="0.2">
      <c r="A87" s="707"/>
      <c r="C87" s="637"/>
      <c r="D87" s="708"/>
      <c r="E87" s="708"/>
    </row>
    <row r="88" spans="1:5" s="706" customFormat="1" ht="15.75" x14ac:dyDescent="0.2">
      <c r="A88" s="707"/>
      <c r="C88" s="637"/>
      <c r="D88" s="708"/>
      <c r="E88" s="708"/>
    </row>
    <row r="89" spans="1:5" s="706" customFormat="1" ht="15.75" x14ac:dyDescent="0.2">
      <c r="A89" s="707"/>
      <c r="C89" s="637"/>
      <c r="D89" s="708"/>
      <c r="E89" s="708"/>
    </row>
    <row r="90" spans="1:5" s="706" customFormat="1" ht="15.75" x14ac:dyDescent="0.2">
      <c r="A90" s="707"/>
      <c r="C90" s="637"/>
      <c r="D90" s="708"/>
      <c r="E90" s="708"/>
    </row>
    <row r="91" spans="1:5" s="706" customFormat="1" ht="15.75" x14ac:dyDescent="0.2">
      <c r="A91" s="707"/>
      <c r="C91" s="637"/>
      <c r="D91" s="708"/>
      <c r="E91" s="708"/>
    </row>
    <row r="92" spans="1:5" s="706" customFormat="1" ht="15.75" x14ac:dyDescent="0.2">
      <c r="A92" s="707"/>
      <c r="C92" s="637"/>
      <c r="D92" s="708"/>
      <c r="E92" s="708"/>
    </row>
    <row r="93" spans="1:5" s="706" customFormat="1" ht="15.75" x14ac:dyDescent="0.2">
      <c r="A93" s="707"/>
      <c r="C93" s="637"/>
      <c r="D93" s="708"/>
      <c r="E93" s="708"/>
    </row>
    <row r="94" spans="1:5" s="706" customFormat="1" ht="15.75" x14ac:dyDescent="0.2">
      <c r="A94" s="707"/>
      <c r="C94" s="637"/>
      <c r="D94" s="708"/>
      <c r="E94" s="708"/>
    </row>
    <row r="95" spans="1:5" s="706" customFormat="1" ht="15.75" x14ac:dyDescent="0.2">
      <c r="A95" s="707"/>
      <c r="C95" s="637"/>
      <c r="D95" s="708"/>
      <c r="E95" s="708"/>
    </row>
    <row r="96" spans="1:5" s="706" customFormat="1" ht="15.75" x14ac:dyDescent="0.2">
      <c r="A96" s="707"/>
      <c r="C96" s="637"/>
      <c r="D96" s="708"/>
      <c r="E96" s="708"/>
    </row>
    <row r="97" spans="1:5" s="706" customFormat="1" ht="15.75" x14ac:dyDescent="0.2">
      <c r="A97" s="707"/>
      <c r="C97" s="637"/>
      <c r="D97" s="708"/>
      <c r="E97" s="708"/>
    </row>
    <row r="98" spans="1:5" s="706" customFormat="1" ht="15.75" x14ac:dyDescent="0.2">
      <c r="A98" s="707"/>
      <c r="C98" s="637"/>
      <c r="D98" s="708"/>
      <c r="E98" s="708"/>
    </row>
    <row r="99" spans="1:5" s="706" customFormat="1" ht="15.75" x14ac:dyDescent="0.2">
      <c r="A99" s="707"/>
      <c r="C99" s="637"/>
      <c r="D99" s="708"/>
      <c r="E99" s="708"/>
    </row>
    <row r="100" spans="1:5" s="706" customFormat="1" ht="15.75" x14ac:dyDescent="0.2">
      <c r="A100" s="707"/>
      <c r="C100" s="637"/>
      <c r="D100" s="708"/>
      <c r="E100" s="708"/>
    </row>
    <row r="101" spans="1:5" s="706" customFormat="1" ht="15.75" x14ac:dyDescent="0.2">
      <c r="A101" s="707"/>
      <c r="C101" s="637"/>
      <c r="D101" s="708"/>
      <c r="E101" s="708"/>
    </row>
    <row r="102" spans="1:5" s="706" customFormat="1" ht="15.75" x14ac:dyDescent="0.2">
      <c r="A102" s="707"/>
      <c r="C102" s="637"/>
      <c r="D102" s="708"/>
      <c r="E102" s="708"/>
    </row>
    <row r="103" spans="1:5" s="706" customFormat="1" ht="15.75" x14ac:dyDescent="0.2">
      <c r="A103" s="707"/>
      <c r="C103" s="637"/>
      <c r="D103" s="708"/>
      <c r="E103" s="708"/>
    </row>
    <row r="104" spans="1:5" s="706" customFormat="1" ht="15.75" x14ac:dyDescent="0.2">
      <c r="A104" s="707"/>
      <c r="C104" s="637"/>
      <c r="D104" s="708"/>
      <c r="E104" s="708"/>
    </row>
    <row r="105" spans="1:5" s="706" customFormat="1" ht="15.75" x14ac:dyDescent="0.2">
      <c r="A105" s="707"/>
      <c r="C105" s="637"/>
      <c r="D105" s="708"/>
      <c r="E105" s="708"/>
    </row>
    <row r="106" spans="1:5" s="706" customFormat="1" ht="15.75" x14ac:dyDescent="0.2">
      <c r="A106" s="707"/>
      <c r="C106" s="637"/>
      <c r="D106" s="708"/>
      <c r="E106" s="708"/>
    </row>
    <row r="107" spans="1:5" s="706" customFormat="1" ht="15.75" x14ac:dyDescent="0.2">
      <c r="A107" s="707"/>
      <c r="C107" s="637"/>
      <c r="D107" s="708"/>
      <c r="E107" s="708"/>
    </row>
    <row r="108" spans="1:5" s="706" customFormat="1" ht="15.75" x14ac:dyDescent="0.2">
      <c r="A108" s="707"/>
      <c r="C108" s="637"/>
      <c r="D108" s="708"/>
      <c r="E108" s="708"/>
    </row>
    <row r="109" spans="1:5" s="706" customFormat="1" ht="15.75" x14ac:dyDescent="0.2">
      <c r="A109" s="707"/>
      <c r="C109" s="637"/>
      <c r="D109" s="708"/>
      <c r="E109" s="708"/>
    </row>
    <row r="110" spans="1:5" s="706" customFormat="1" ht="15.75" x14ac:dyDescent="0.2">
      <c r="A110" s="707"/>
      <c r="C110" s="637"/>
      <c r="D110" s="708"/>
      <c r="E110" s="708"/>
    </row>
    <row r="111" spans="1:5" s="706" customFormat="1" ht="15.75" x14ac:dyDescent="0.2">
      <c r="A111" s="707"/>
      <c r="C111" s="637"/>
      <c r="D111" s="708"/>
      <c r="E111" s="708"/>
    </row>
    <row r="112" spans="1:5" s="706" customFormat="1" ht="15.75" x14ac:dyDescent="0.2">
      <c r="A112" s="707"/>
      <c r="C112" s="637"/>
      <c r="D112" s="708"/>
      <c r="E112" s="708"/>
    </row>
    <row r="113" spans="1:5" s="706" customFormat="1" ht="15.75" x14ac:dyDescent="0.2">
      <c r="A113" s="707"/>
      <c r="C113" s="637"/>
      <c r="D113" s="708"/>
      <c r="E113" s="708"/>
    </row>
    <row r="114" spans="1:5" s="706" customFormat="1" ht="15.75" x14ac:dyDescent="0.2">
      <c r="A114" s="707"/>
      <c r="C114" s="637"/>
      <c r="D114" s="708"/>
      <c r="E114" s="708"/>
    </row>
    <row r="115" spans="1:5" s="706" customFormat="1" ht="15.75" x14ac:dyDescent="0.2">
      <c r="A115" s="707"/>
      <c r="C115" s="637"/>
      <c r="D115" s="708"/>
      <c r="E115" s="708"/>
    </row>
    <row r="116" spans="1:5" s="706" customFormat="1" ht="15.75" x14ac:dyDescent="0.2">
      <c r="A116" s="707"/>
      <c r="C116" s="637"/>
      <c r="D116" s="708"/>
      <c r="E116" s="708"/>
    </row>
    <row r="117" spans="1:5" s="706" customFormat="1" ht="15.75" x14ac:dyDescent="0.2">
      <c r="A117" s="707"/>
      <c r="C117" s="637"/>
      <c r="D117" s="708"/>
      <c r="E117" s="708"/>
    </row>
    <row r="118" spans="1:5" s="706" customFormat="1" ht="15.75" x14ac:dyDescent="0.2">
      <c r="A118" s="707"/>
      <c r="C118" s="637"/>
      <c r="D118" s="708"/>
      <c r="E118" s="708"/>
    </row>
    <row r="119" spans="1:5" s="706" customFormat="1" ht="15.75" x14ac:dyDescent="0.2">
      <c r="A119" s="707"/>
      <c r="C119" s="637"/>
      <c r="D119" s="708"/>
      <c r="E119" s="708"/>
    </row>
    <row r="120" spans="1:5" s="706" customFormat="1" ht="15.75" x14ac:dyDescent="0.2">
      <c r="A120" s="707"/>
      <c r="C120" s="637"/>
      <c r="D120" s="708"/>
      <c r="E120" s="708"/>
    </row>
    <row r="121" spans="1:5" s="706" customFormat="1" ht="15.75" x14ac:dyDescent="0.2">
      <c r="A121" s="707"/>
      <c r="C121" s="637"/>
      <c r="D121" s="708"/>
      <c r="E121" s="708"/>
    </row>
    <row r="122" spans="1:5" s="706" customFormat="1" ht="15.75" x14ac:dyDescent="0.2">
      <c r="A122" s="707"/>
      <c r="C122" s="637"/>
      <c r="D122" s="708"/>
      <c r="E122" s="708"/>
    </row>
    <row r="123" spans="1:5" s="706" customFormat="1" ht="15.75" x14ac:dyDescent="0.2">
      <c r="A123" s="707"/>
      <c r="C123" s="637"/>
      <c r="D123" s="708"/>
      <c r="E123" s="708"/>
    </row>
    <row r="124" spans="1:5" s="706" customFormat="1" ht="15.75" x14ac:dyDescent="0.2">
      <c r="A124" s="707"/>
      <c r="C124" s="637"/>
      <c r="D124" s="708"/>
      <c r="E124" s="708"/>
    </row>
    <row r="125" spans="1:5" s="706" customFormat="1" ht="15.75" x14ac:dyDescent="0.2">
      <c r="A125" s="707"/>
      <c r="C125" s="637"/>
      <c r="D125" s="708"/>
      <c r="E125" s="708"/>
    </row>
    <row r="126" spans="1:5" s="706" customFormat="1" ht="15.75" x14ac:dyDescent="0.2">
      <c r="A126" s="707"/>
      <c r="C126" s="637"/>
      <c r="D126" s="708"/>
      <c r="E126" s="708"/>
    </row>
    <row r="127" spans="1:5" s="706" customFormat="1" ht="15.75" x14ac:dyDescent="0.2">
      <c r="A127" s="707"/>
      <c r="C127" s="637"/>
      <c r="D127" s="708"/>
      <c r="E127" s="708"/>
    </row>
    <row r="128" spans="1:5" s="706" customFormat="1" ht="15.75" x14ac:dyDescent="0.2">
      <c r="A128" s="707"/>
      <c r="C128" s="637"/>
      <c r="D128" s="708"/>
      <c r="E128" s="708"/>
    </row>
    <row r="129" spans="1:5" s="706" customFormat="1" ht="15.75" x14ac:dyDescent="0.2">
      <c r="A129" s="707"/>
      <c r="C129" s="637"/>
      <c r="D129" s="708"/>
      <c r="E129" s="708"/>
    </row>
    <row r="130" spans="1:5" s="706" customFormat="1" ht="15.75" x14ac:dyDescent="0.2">
      <c r="A130" s="707"/>
      <c r="C130" s="637"/>
      <c r="D130" s="708"/>
      <c r="E130" s="708"/>
    </row>
    <row r="131" spans="1:5" s="706" customFormat="1" ht="15.75" x14ac:dyDescent="0.2">
      <c r="A131" s="707"/>
      <c r="C131" s="637"/>
      <c r="D131" s="708"/>
      <c r="E131" s="708"/>
    </row>
    <row r="132" spans="1:5" s="706" customFormat="1" ht="15.75" x14ac:dyDescent="0.2">
      <c r="A132" s="707"/>
      <c r="C132" s="637"/>
      <c r="D132" s="708"/>
      <c r="E132" s="708"/>
    </row>
    <row r="133" spans="1:5" s="706" customFormat="1" ht="15.75" x14ac:dyDescent="0.2">
      <c r="A133" s="707"/>
      <c r="C133" s="637"/>
      <c r="D133" s="708"/>
      <c r="E133" s="708"/>
    </row>
    <row r="134" spans="1:5" s="706" customFormat="1" ht="15.75" x14ac:dyDescent="0.2">
      <c r="A134" s="707"/>
      <c r="C134" s="637"/>
      <c r="D134" s="708"/>
      <c r="E134" s="708"/>
    </row>
    <row r="135" spans="1:5" s="706" customFormat="1" ht="15.75" x14ac:dyDescent="0.2">
      <c r="A135" s="707"/>
      <c r="C135" s="637"/>
      <c r="D135" s="708"/>
      <c r="E135" s="708"/>
    </row>
    <row r="136" spans="1:5" s="706" customFormat="1" ht="15.75" x14ac:dyDescent="0.2">
      <c r="A136" s="707"/>
      <c r="C136" s="637"/>
      <c r="D136" s="708"/>
      <c r="E136" s="708"/>
    </row>
    <row r="137" spans="1:5" s="706" customFormat="1" ht="15.75" x14ac:dyDescent="0.2">
      <c r="A137" s="707"/>
      <c r="C137" s="637"/>
      <c r="D137" s="708"/>
      <c r="E137" s="708"/>
    </row>
    <row r="138" spans="1:5" s="706" customFormat="1" ht="15.75" x14ac:dyDescent="0.2">
      <c r="A138" s="707"/>
      <c r="C138" s="637"/>
      <c r="D138" s="708"/>
      <c r="E138" s="708"/>
    </row>
    <row r="139" spans="1:5" s="706" customFormat="1" ht="15.75" x14ac:dyDescent="0.2">
      <c r="A139" s="707"/>
      <c r="C139" s="637"/>
      <c r="D139" s="708"/>
      <c r="E139" s="708"/>
    </row>
    <row r="140" spans="1:5" s="706" customFormat="1" ht="15.75" x14ac:dyDescent="0.2">
      <c r="A140" s="707"/>
      <c r="C140" s="637"/>
      <c r="D140" s="708"/>
      <c r="E140" s="708"/>
    </row>
    <row r="141" spans="1:5" s="706" customFormat="1" ht="15.75" x14ac:dyDescent="0.2">
      <c r="A141" s="707"/>
      <c r="C141" s="637"/>
      <c r="D141" s="708"/>
      <c r="E141" s="708"/>
    </row>
    <row r="142" spans="1:5" s="706" customFormat="1" ht="15.75" x14ac:dyDescent="0.2">
      <c r="A142" s="707"/>
      <c r="C142" s="637"/>
      <c r="D142" s="708"/>
      <c r="E142" s="708"/>
    </row>
    <row r="143" spans="1:5" s="706" customFormat="1" ht="15.75" x14ac:dyDescent="0.2">
      <c r="A143" s="707"/>
      <c r="C143" s="637"/>
      <c r="D143" s="708"/>
      <c r="E143" s="708"/>
    </row>
    <row r="144" spans="1:5" s="706" customFormat="1" ht="15.75" x14ac:dyDescent="0.2">
      <c r="A144" s="707"/>
      <c r="C144" s="637"/>
      <c r="D144" s="708"/>
      <c r="E144" s="708"/>
    </row>
    <row r="145" spans="1:5" s="706" customFormat="1" ht="15.75" x14ac:dyDescent="0.2">
      <c r="A145" s="707"/>
      <c r="C145" s="637"/>
      <c r="D145" s="708"/>
      <c r="E145" s="708"/>
    </row>
    <row r="146" spans="1:5" s="706" customFormat="1" ht="15.75" x14ac:dyDescent="0.2">
      <c r="A146" s="707"/>
      <c r="C146" s="637"/>
      <c r="D146" s="708"/>
      <c r="E146" s="708"/>
    </row>
    <row r="147" spans="1:5" s="706" customFormat="1" ht="15.75" x14ac:dyDescent="0.2">
      <c r="A147" s="707"/>
      <c r="C147" s="637"/>
      <c r="D147" s="708"/>
      <c r="E147" s="708"/>
    </row>
    <row r="148" spans="1:5" s="706" customFormat="1" ht="15.75" x14ac:dyDescent="0.2">
      <c r="A148" s="707"/>
      <c r="C148" s="637"/>
      <c r="D148" s="708"/>
      <c r="E148" s="708"/>
    </row>
    <row r="149" spans="1:5" s="706" customFormat="1" ht="15.75" x14ac:dyDescent="0.2">
      <c r="A149" s="707"/>
      <c r="C149" s="637"/>
      <c r="D149" s="708"/>
      <c r="E149" s="708"/>
    </row>
    <row r="150" spans="1:5" s="706" customFormat="1" ht="15.75" x14ac:dyDescent="0.2">
      <c r="A150" s="707"/>
      <c r="C150" s="637"/>
      <c r="D150" s="708"/>
      <c r="E150" s="708"/>
    </row>
    <row r="151" spans="1:5" s="706" customFormat="1" ht="15.75" x14ac:dyDescent="0.2">
      <c r="A151" s="707"/>
      <c r="C151" s="637"/>
      <c r="D151" s="708"/>
      <c r="E151" s="708"/>
    </row>
    <row r="152" spans="1:5" s="706" customFormat="1" ht="15.75" x14ac:dyDescent="0.2">
      <c r="A152" s="707"/>
      <c r="C152" s="637"/>
      <c r="D152" s="708"/>
      <c r="E152" s="708"/>
    </row>
    <row r="153" spans="1:5" s="706" customFormat="1" ht="15.75" x14ac:dyDescent="0.2">
      <c r="A153" s="707"/>
      <c r="C153" s="637"/>
      <c r="D153" s="708"/>
      <c r="E153" s="708"/>
    </row>
    <row r="154" spans="1:5" s="706" customFormat="1" ht="15.75" x14ac:dyDescent="0.2">
      <c r="A154" s="707"/>
      <c r="C154" s="637"/>
      <c r="D154" s="708"/>
      <c r="E154" s="708"/>
    </row>
    <row r="155" spans="1:5" s="706" customFormat="1" ht="15.75" x14ac:dyDescent="0.2">
      <c r="A155" s="707"/>
      <c r="C155" s="637"/>
      <c r="D155" s="708"/>
      <c r="E155" s="708"/>
    </row>
    <row r="156" spans="1:5" s="706" customFormat="1" ht="15.75" x14ac:dyDescent="0.2">
      <c r="A156" s="707"/>
      <c r="C156" s="637"/>
      <c r="D156" s="708"/>
      <c r="E156" s="708"/>
    </row>
    <row r="157" spans="1:5" s="706" customFormat="1" ht="15.75" x14ac:dyDescent="0.2">
      <c r="A157" s="707"/>
      <c r="C157" s="637"/>
      <c r="D157" s="708"/>
      <c r="E157" s="708"/>
    </row>
    <row r="158" spans="1:5" s="706" customFormat="1" ht="15.75" x14ac:dyDescent="0.2">
      <c r="A158" s="707"/>
      <c r="C158" s="637"/>
      <c r="D158" s="708"/>
      <c r="E158" s="708"/>
    </row>
    <row r="159" spans="1:5" s="706" customFormat="1" ht="15.75" x14ac:dyDescent="0.2">
      <c r="A159" s="707"/>
      <c r="C159" s="637"/>
      <c r="D159" s="708"/>
      <c r="E159" s="708"/>
    </row>
    <row r="160" spans="1:5" s="706" customFormat="1" ht="15.75" x14ac:dyDescent="0.2">
      <c r="A160" s="707"/>
      <c r="C160" s="637"/>
      <c r="D160" s="708"/>
      <c r="E160" s="708"/>
    </row>
    <row r="161" spans="1:5" s="706" customFormat="1" ht="15.75" x14ac:dyDescent="0.2">
      <c r="A161" s="707"/>
      <c r="C161" s="637"/>
      <c r="D161" s="708"/>
      <c r="E161" s="708"/>
    </row>
    <row r="162" spans="1:5" s="706" customFormat="1" ht="15.75" x14ac:dyDescent="0.2">
      <c r="A162" s="707"/>
      <c r="C162" s="637"/>
      <c r="D162" s="708"/>
      <c r="E162" s="708"/>
    </row>
    <row r="163" spans="1:5" s="706" customFormat="1" ht="15.75" x14ac:dyDescent="0.2">
      <c r="A163" s="707"/>
      <c r="C163" s="637"/>
      <c r="D163" s="708"/>
      <c r="E163" s="708"/>
    </row>
    <row r="164" spans="1:5" s="706" customFormat="1" ht="15.75" x14ac:dyDescent="0.2">
      <c r="A164" s="707"/>
      <c r="C164" s="637"/>
      <c r="D164" s="708"/>
      <c r="E164" s="708"/>
    </row>
    <row r="165" spans="1:5" s="706" customFormat="1" ht="15.75" x14ac:dyDescent="0.2">
      <c r="A165" s="707"/>
      <c r="C165" s="637"/>
      <c r="D165" s="708"/>
      <c r="E165" s="708"/>
    </row>
    <row r="166" spans="1:5" s="706" customFormat="1" ht="15.75" x14ac:dyDescent="0.2">
      <c r="A166" s="707"/>
      <c r="C166" s="637"/>
      <c r="D166" s="708"/>
      <c r="E166" s="708"/>
    </row>
    <row r="167" spans="1:5" s="706" customFormat="1" ht="15.75" x14ac:dyDescent="0.2">
      <c r="A167" s="707"/>
      <c r="C167" s="637"/>
      <c r="D167" s="708"/>
      <c r="E167" s="708"/>
    </row>
    <row r="168" spans="1:5" s="706" customFormat="1" ht="15.75" x14ac:dyDescent="0.2">
      <c r="A168" s="707"/>
      <c r="C168" s="637"/>
      <c r="D168" s="708"/>
      <c r="E168" s="708"/>
    </row>
    <row r="169" spans="1:5" s="706" customFormat="1" ht="15.75" x14ac:dyDescent="0.2">
      <c r="A169" s="707"/>
      <c r="C169" s="637"/>
      <c r="D169" s="708"/>
      <c r="E169" s="708"/>
    </row>
    <row r="170" spans="1:5" s="706" customFormat="1" ht="15.75" x14ac:dyDescent="0.2">
      <c r="A170" s="707"/>
      <c r="C170" s="637"/>
      <c r="D170" s="708"/>
      <c r="E170" s="708"/>
    </row>
    <row r="171" spans="1:5" s="706" customFormat="1" ht="15.75" x14ac:dyDescent="0.2">
      <c r="A171" s="707"/>
      <c r="C171" s="637"/>
      <c r="D171" s="708"/>
      <c r="E171" s="708"/>
    </row>
    <row r="172" spans="1:5" s="706" customFormat="1" ht="15.75" x14ac:dyDescent="0.2">
      <c r="A172" s="707"/>
      <c r="C172" s="637"/>
      <c r="D172" s="708"/>
      <c r="E172" s="708"/>
    </row>
    <row r="173" spans="1:5" s="706" customFormat="1" ht="15.75" x14ac:dyDescent="0.2">
      <c r="A173" s="707"/>
      <c r="C173" s="637"/>
      <c r="D173" s="708"/>
      <c r="E173" s="708"/>
    </row>
    <row r="174" spans="1:5" s="706" customFormat="1" ht="15.75" x14ac:dyDescent="0.2">
      <c r="A174" s="707"/>
      <c r="C174" s="637"/>
      <c r="D174" s="708"/>
      <c r="E174" s="708"/>
    </row>
    <row r="175" spans="1:5" s="706" customFormat="1" ht="15.75" x14ac:dyDescent="0.2">
      <c r="A175" s="707"/>
      <c r="C175" s="637"/>
      <c r="D175" s="708"/>
      <c r="E175" s="708"/>
    </row>
    <row r="176" spans="1:5" s="706" customFormat="1" ht="15.75" x14ac:dyDescent="0.2">
      <c r="A176" s="707"/>
      <c r="C176" s="637"/>
      <c r="D176" s="708"/>
      <c r="E176" s="708"/>
    </row>
    <row r="177" spans="1:5" s="706" customFormat="1" ht="15.75" x14ac:dyDescent="0.2">
      <c r="A177" s="707"/>
      <c r="C177" s="637"/>
      <c r="D177" s="708"/>
      <c r="E177" s="708"/>
    </row>
    <row r="178" spans="1:5" s="706" customFormat="1" ht="15.75" x14ac:dyDescent="0.2">
      <c r="A178" s="707"/>
      <c r="C178" s="637"/>
      <c r="D178" s="708"/>
      <c r="E178" s="708"/>
    </row>
    <row r="179" spans="1:5" s="706" customFormat="1" ht="15.75" x14ac:dyDescent="0.2">
      <c r="A179" s="707"/>
      <c r="C179" s="637"/>
      <c r="D179" s="708"/>
      <c r="E179" s="708"/>
    </row>
    <row r="180" spans="1:5" s="706" customFormat="1" ht="15.75" x14ac:dyDescent="0.2">
      <c r="A180" s="707"/>
      <c r="C180" s="637"/>
      <c r="D180" s="708"/>
      <c r="E180" s="708"/>
    </row>
    <row r="181" spans="1:5" s="706" customFormat="1" ht="15.75" x14ac:dyDescent="0.2">
      <c r="A181" s="707"/>
      <c r="C181" s="637"/>
      <c r="D181" s="708"/>
      <c r="E181" s="708"/>
    </row>
    <row r="182" spans="1:5" s="706" customFormat="1" ht="15.75" x14ac:dyDescent="0.2">
      <c r="A182" s="707"/>
      <c r="C182" s="637"/>
      <c r="D182" s="708"/>
      <c r="E182" s="708"/>
    </row>
    <row r="183" spans="1:5" s="706" customFormat="1" ht="15.75" x14ac:dyDescent="0.2">
      <c r="A183" s="707"/>
      <c r="C183" s="637"/>
      <c r="D183" s="708"/>
      <c r="E183" s="708"/>
    </row>
    <row r="184" spans="1:5" s="706" customFormat="1" ht="15.75" x14ac:dyDescent="0.2">
      <c r="A184" s="707"/>
      <c r="C184" s="637"/>
      <c r="D184" s="708"/>
      <c r="E184" s="708"/>
    </row>
    <row r="185" spans="1:5" s="706" customFormat="1" ht="15.75" x14ac:dyDescent="0.2">
      <c r="A185" s="707"/>
      <c r="C185" s="637"/>
      <c r="D185" s="708"/>
      <c r="E185" s="708"/>
    </row>
    <row r="186" spans="1:5" s="706" customFormat="1" ht="15.75" x14ac:dyDescent="0.2">
      <c r="A186" s="707"/>
      <c r="C186" s="637"/>
      <c r="D186" s="708"/>
      <c r="E186" s="708"/>
    </row>
    <row r="187" spans="1:5" s="706" customFormat="1" ht="15.75" x14ac:dyDescent="0.2">
      <c r="A187" s="707"/>
      <c r="C187" s="637"/>
      <c r="D187" s="708"/>
      <c r="E187" s="708"/>
    </row>
    <row r="188" spans="1:5" s="706" customFormat="1" ht="15.75" x14ac:dyDescent="0.2">
      <c r="A188" s="707"/>
      <c r="C188" s="637"/>
      <c r="D188" s="708"/>
      <c r="E188" s="708"/>
    </row>
    <row r="189" spans="1:5" s="706" customFormat="1" ht="15.75" x14ac:dyDescent="0.2">
      <c r="A189" s="707"/>
      <c r="C189" s="637"/>
      <c r="D189" s="708"/>
      <c r="E189" s="708"/>
    </row>
    <row r="190" spans="1:5" s="706" customFormat="1" ht="15.75" x14ac:dyDescent="0.2">
      <c r="A190" s="707"/>
      <c r="C190" s="637"/>
      <c r="D190" s="708"/>
      <c r="E190" s="708"/>
    </row>
    <row r="191" spans="1:5" s="706" customFormat="1" ht="15.75" x14ac:dyDescent="0.2">
      <c r="A191" s="707"/>
      <c r="C191" s="637"/>
      <c r="D191" s="708"/>
      <c r="E191" s="708"/>
    </row>
    <row r="192" spans="1:5" s="706" customFormat="1" ht="15.75" x14ac:dyDescent="0.2">
      <c r="A192" s="707"/>
      <c r="C192" s="637"/>
      <c r="D192" s="708"/>
      <c r="E192" s="708"/>
    </row>
    <row r="193" spans="1:5" s="706" customFormat="1" ht="15.75" x14ac:dyDescent="0.2">
      <c r="A193" s="707"/>
      <c r="C193" s="637"/>
      <c r="D193" s="708"/>
      <c r="E193" s="708"/>
    </row>
    <row r="194" spans="1:5" s="706" customFormat="1" ht="15.75" x14ac:dyDescent="0.2">
      <c r="A194" s="707"/>
      <c r="C194" s="637"/>
      <c r="D194" s="708"/>
      <c r="E194" s="708"/>
    </row>
    <row r="195" spans="1:5" s="706" customFormat="1" ht="15.75" x14ac:dyDescent="0.2">
      <c r="A195" s="707"/>
      <c r="C195" s="637"/>
      <c r="D195" s="708"/>
      <c r="E195" s="708"/>
    </row>
    <row r="196" spans="1:5" s="706" customFormat="1" ht="15.75" x14ac:dyDescent="0.2">
      <c r="A196" s="707"/>
      <c r="C196" s="637"/>
      <c r="D196" s="708"/>
      <c r="E196" s="708"/>
    </row>
    <row r="197" spans="1:5" s="706" customFormat="1" ht="15.75" x14ac:dyDescent="0.2">
      <c r="A197" s="707"/>
      <c r="C197" s="637"/>
      <c r="D197" s="708"/>
      <c r="E197" s="708"/>
    </row>
    <row r="198" spans="1:5" s="706" customFormat="1" ht="15.75" x14ac:dyDescent="0.2">
      <c r="A198" s="707"/>
      <c r="C198" s="637"/>
      <c r="D198" s="708"/>
      <c r="E198" s="708"/>
    </row>
    <row r="199" spans="1:5" s="706" customFormat="1" ht="15.75" x14ac:dyDescent="0.2">
      <c r="A199" s="707"/>
      <c r="C199" s="637"/>
      <c r="D199" s="708"/>
      <c r="E199" s="708"/>
    </row>
    <row r="200" spans="1:5" s="706" customFormat="1" ht="15.75" x14ac:dyDescent="0.2">
      <c r="A200" s="707"/>
      <c r="C200" s="637"/>
      <c r="D200" s="708"/>
      <c r="E200" s="708"/>
    </row>
    <row r="201" spans="1:5" s="706" customFormat="1" ht="15.75" x14ac:dyDescent="0.2">
      <c r="A201" s="707"/>
      <c r="C201" s="637"/>
      <c r="D201" s="708"/>
      <c r="E201" s="708"/>
    </row>
    <row r="202" spans="1:5" s="706" customFormat="1" ht="15.75" x14ac:dyDescent="0.2">
      <c r="A202" s="707"/>
      <c r="C202" s="637"/>
      <c r="D202" s="708"/>
      <c r="E202" s="708"/>
    </row>
    <row r="203" spans="1:5" s="706" customFormat="1" ht="15.75" x14ac:dyDescent="0.2">
      <c r="A203" s="707"/>
      <c r="C203" s="637"/>
      <c r="D203" s="708"/>
      <c r="E203" s="708"/>
    </row>
    <row r="204" spans="1:5" s="706" customFormat="1" ht="15.75" x14ac:dyDescent="0.2">
      <c r="A204" s="707"/>
      <c r="C204" s="637"/>
      <c r="D204" s="708"/>
      <c r="E204" s="708"/>
    </row>
    <row r="205" spans="1:5" s="706" customFormat="1" ht="15.75" x14ac:dyDescent="0.2">
      <c r="A205" s="707"/>
      <c r="C205" s="637"/>
      <c r="D205" s="708"/>
      <c r="E205" s="708"/>
    </row>
    <row r="206" spans="1:5" s="706" customFormat="1" ht="15.75" x14ac:dyDescent="0.2">
      <c r="A206" s="707"/>
      <c r="C206" s="637"/>
      <c r="D206" s="708"/>
      <c r="E206" s="708"/>
    </row>
    <row r="207" spans="1:5" s="706" customFormat="1" ht="15.75" x14ac:dyDescent="0.2">
      <c r="A207" s="707"/>
      <c r="C207" s="637"/>
      <c r="D207" s="708"/>
      <c r="E207" s="708"/>
    </row>
    <row r="208" spans="1:5" s="706" customFormat="1" ht="15.75" x14ac:dyDescent="0.2">
      <c r="A208" s="707"/>
      <c r="C208" s="637"/>
      <c r="D208" s="708"/>
      <c r="E208" s="708"/>
    </row>
    <row r="209" spans="1:5" s="706" customFormat="1" ht="15.75" x14ac:dyDescent="0.2">
      <c r="A209" s="707"/>
      <c r="C209" s="637"/>
      <c r="D209" s="708"/>
      <c r="E209" s="708"/>
    </row>
    <row r="210" spans="1:5" s="706" customFormat="1" ht="15.75" x14ac:dyDescent="0.2">
      <c r="A210" s="707"/>
      <c r="C210" s="637"/>
      <c r="D210" s="708"/>
      <c r="E210" s="708"/>
    </row>
    <row r="211" spans="1:5" s="706" customFormat="1" ht="15.75" x14ac:dyDescent="0.2">
      <c r="A211" s="707"/>
      <c r="C211" s="637"/>
      <c r="D211" s="708"/>
      <c r="E211" s="708"/>
    </row>
    <row r="212" spans="1:5" s="706" customFormat="1" ht="15.75" x14ac:dyDescent="0.2">
      <c r="A212" s="707"/>
      <c r="C212" s="637"/>
      <c r="D212" s="708"/>
      <c r="E212" s="708"/>
    </row>
    <row r="213" spans="1:5" s="706" customFormat="1" ht="15.75" x14ac:dyDescent="0.2">
      <c r="A213" s="707"/>
      <c r="C213" s="637"/>
      <c r="D213" s="708"/>
      <c r="E213" s="708"/>
    </row>
    <row r="214" spans="1:5" s="706" customFormat="1" ht="15.75" x14ac:dyDescent="0.2">
      <c r="A214" s="707"/>
      <c r="C214" s="637"/>
      <c r="D214" s="708"/>
      <c r="E214" s="708"/>
    </row>
    <row r="215" spans="1:5" s="706" customFormat="1" ht="15.75" x14ac:dyDescent="0.2">
      <c r="A215" s="707"/>
      <c r="C215" s="637"/>
      <c r="D215" s="708"/>
      <c r="E215" s="708"/>
    </row>
    <row r="216" spans="1:5" s="706" customFormat="1" ht="15.75" x14ac:dyDescent="0.2">
      <c r="A216" s="707"/>
      <c r="C216" s="637"/>
      <c r="D216" s="708"/>
      <c r="E216" s="708"/>
    </row>
    <row r="217" spans="1:5" s="706" customFormat="1" ht="15.75" x14ac:dyDescent="0.2">
      <c r="A217" s="707"/>
      <c r="C217" s="637"/>
      <c r="D217" s="708"/>
      <c r="E217" s="708"/>
    </row>
    <row r="218" spans="1:5" s="706" customFormat="1" ht="15.75" x14ac:dyDescent="0.2">
      <c r="A218" s="707"/>
      <c r="C218" s="637"/>
      <c r="D218" s="708"/>
      <c r="E218" s="708"/>
    </row>
    <row r="219" spans="1:5" s="706" customFormat="1" ht="15.75" x14ac:dyDescent="0.2">
      <c r="A219" s="707"/>
      <c r="C219" s="637"/>
      <c r="D219" s="708"/>
      <c r="E219" s="708"/>
    </row>
    <row r="220" spans="1:5" s="706" customFormat="1" ht="15.75" x14ac:dyDescent="0.2">
      <c r="A220" s="707"/>
      <c r="C220" s="637"/>
      <c r="D220" s="708"/>
      <c r="E220" s="708"/>
    </row>
    <row r="221" spans="1:5" s="706" customFormat="1" ht="15.75" x14ac:dyDescent="0.2">
      <c r="A221" s="707"/>
      <c r="C221" s="637"/>
      <c r="D221" s="708"/>
      <c r="E221" s="708"/>
    </row>
    <row r="222" spans="1:5" s="706" customFormat="1" ht="15.75" x14ac:dyDescent="0.2">
      <c r="A222" s="707"/>
      <c r="C222" s="637"/>
      <c r="D222" s="708"/>
      <c r="E222" s="708"/>
    </row>
    <row r="223" spans="1:5" s="706" customFormat="1" ht="15.75" x14ac:dyDescent="0.2">
      <c r="A223" s="707"/>
      <c r="C223" s="637"/>
      <c r="D223" s="708"/>
      <c r="E223" s="708"/>
    </row>
    <row r="224" spans="1:5" s="706" customFormat="1" ht="15.75" x14ac:dyDescent="0.2">
      <c r="A224" s="707"/>
      <c r="C224" s="637"/>
      <c r="D224" s="708"/>
      <c r="E224" s="708"/>
    </row>
    <row r="225" spans="1:5" s="706" customFormat="1" ht="15.75" x14ac:dyDescent="0.2">
      <c r="A225" s="707"/>
      <c r="C225" s="637"/>
      <c r="D225" s="708"/>
      <c r="E225" s="708"/>
    </row>
    <row r="226" spans="1:5" s="706" customFormat="1" ht="15.75" x14ac:dyDescent="0.2">
      <c r="A226" s="707"/>
      <c r="C226" s="637"/>
      <c r="D226" s="708"/>
      <c r="E226" s="708"/>
    </row>
    <row r="227" spans="1:5" s="706" customFormat="1" ht="15.75" x14ac:dyDescent="0.2">
      <c r="A227" s="707"/>
      <c r="C227" s="637"/>
      <c r="D227" s="708"/>
      <c r="E227" s="708"/>
    </row>
    <row r="228" spans="1:5" s="706" customFormat="1" ht="15.75" x14ac:dyDescent="0.2">
      <c r="A228" s="707"/>
      <c r="C228" s="637"/>
      <c r="D228" s="708"/>
      <c r="E228" s="708"/>
    </row>
    <row r="229" spans="1:5" s="706" customFormat="1" ht="15.75" x14ac:dyDescent="0.2">
      <c r="A229" s="707"/>
      <c r="C229" s="637"/>
      <c r="D229" s="708"/>
      <c r="E229" s="708"/>
    </row>
    <row r="230" spans="1:5" s="706" customFormat="1" ht="15.75" x14ac:dyDescent="0.2">
      <c r="A230" s="707"/>
      <c r="C230" s="637"/>
      <c r="D230" s="708"/>
      <c r="E230" s="708"/>
    </row>
    <row r="231" spans="1:5" s="706" customFormat="1" ht="15.75" x14ac:dyDescent="0.2">
      <c r="A231" s="707"/>
      <c r="C231" s="637"/>
      <c r="D231" s="708"/>
      <c r="E231" s="708"/>
    </row>
    <row r="232" spans="1:5" s="706" customFormat="1" ht="15.75" x14ac:dyDescent="0.2">
      <c r="A232" s="707"/>
      <c r="C232" s="637"/>
      <c r="D232" s="708"/>
      <c r="E232" s="708"/>
    </row>
    <row r="233" spans="1:5" s="706" customFormat="1" ht="15.75" x14ac:dyDescent="0.2">
      <c r="A233" s="707"/>
      <c r="C233" s="637"/>
      <c r="D233" s="708"/>
      <c r="E233" s="708"/>
    </row>
    <row r="234" spans="1:5" s="706" customFormat="1" ht="15.75" x14ac:dyDescent="0.2">
      <c r="A234" s="707"/>
      <c r="C234" s="637"/>
      <c r="D234" s="708"/>
      <c r="E234" s="708"/>
    </row>
    <row r="235" spans="1:5" s="706" customFormat="1" ht="15.75" x14ac:dyDescent="0.2">
      <c r="A235" s="707"/>
      <c r="C235" s="637"/>
      <c r="D235" s="708"/>
      <c r="E235" s="708"/>
    </row>
    <row r="236" spans="1:5" s="706" customFormat="1" ht="15.75" x14ac:dyDescent="0.2">
      <c r="A236" s="707"/>
      <c r="C236" s="637"/>
      <c r="D236" s="708"/>
      <c r="E236" s="708"/>
    </row>
    <row r="237" spans="1:5" s="706" customFormat="1" ht="15.75" x14ac:dyDescent="0.2">
      <c r="A237" s="707"/>
      <c r="C237" s="637"/>
      <c r="D237" s="708"/>
      <c r="E237" s="708"/>
    </row>
    <row r="238" spans="1:5" s="706" customFormat="1" ht="15.75" x14ac:dyDescent="0.2">
      <c r="A238" s="707"/>
      <c r="C238" s="637"/>
      <c r="D238" s="708"/>
      <c r="E238" s="708"/>
    </row>
    <row r="239" spans="1:5" s="706" customFormat="1" ht="15.75" x14ac:dyDescent="0.2">
      <c r="A239" s="707"/>
      <c r="C239" s="637"/>
      <c r="D239" s="708"/>
      <c r="E239" s="708"/>
    </row>
    <row r="240" spans="1:5" s="706" customFormat="1" ht="15.75" x14ac:dyDescent="0.2">
      <c r="A240" s="707"/>
      <c r="C240" s="637"/>
      <c r="D240" s="708"/>
      <c r="E240" s="708"/>
    </row>
    <row r="241" spans="1:5" s="706" customFormat="1" ht="15.75" x14ac:dyDescent="0.2">
      <c r="A241" s="707"/>
      <c r="C241" s="637"/>
      <c r="D241" s="708"/>
      <c r="E241" s="708"/>
    </row>
    <row r="242" spans="1:5" s="706" customFormat="1" ht="15.75" x14ac:dyDescent="0.2">
      <c r="A242" s="707"/>
      <c r="C242" s="637"/>
      <c r="D242" s="708"/>
      <c r="E242" s="708"/>
    </row>
    <row r="243" spans="1:5" s="706" customFormat="1" ht="15.75" x14ac:dyDescent="0.2">
      <c r="A243" s="707"/>
      <c r="C243" s="637"/>
      <c r="D243" s="708"/>
      <c r="E243" s="708"/>
    </row>
    <row r="244" spans="1:5" s="706" customFormat="1" ht="15.75" x14ac:dyDescent="0.2">
      <c r="A244" s="707"/>
      <c r="C244" s="637"/>
      <c r="D244" s="708"/>
      <c r="E244" s="708"/>
    </row>
    <row r="245" spans="1:5" s="706" customFormat="1" ht="15.75" x14ac:dyDescent="0.2">
      <c r="A245" s="707"/>
      <c r="C245" s="637"/>
      <c r="D245" s="708"/>
      <c r="E245" s="708"/>
    </row>
    <row r="246" spans="1:5" s="706" customFormat="1" ht="15.75" x14ac:dyDescent="0.2">
      <c r="A246" s="707"/>
      <c r="C246" s="637"/>
      <c r="D246" s="708"/>
      <c r="E246" s="708"/>
    </row>
    <row r="247" spans="1:5" s="706" customFormat="1" ht="15.75" x14ac:dyDescent="0.2">
      <c r="A247" s="707"/>
      <c r="C247" s="637"/>
      <c r="D247" s="708"/>
      <c r="E247" s="708"/>
    </row>
    <row r="248" spans="1:5" s="706" customFormat="1" ht="15.75" x14ac:dyDescent="0.2">
      <c r="A248" s="707"/>
      <c r="C248" s="637"/>
      <c r="D248" s="708"/>
      <c r="E248" s="708"/>
    </row>
    <row r="249" spans="1:5" s="706" customFormat="1" ht="15.75" x14ac:dyDescent="0.2">
      <c r="A249" s="707"/>
      <c r="C249" s="637"/>
      <c r="D249" s="708"/>
      <c r="E249" s="708"/>
    </row>
    <row r="250" spans="1:5" s="706" customFormat="1" ht="15.75" x14ac:dyDescent="0.2">
      <c r="A250" s="707"/>
      <c r="C250" s="637"/>
      <c r="D250" s="708"/>
      <c r="E250" s="708"/>
    </row>
    <row r="251" spans="1:5" s="706" customFormat="1" ht="15.75" x14ac:dyDescent="0.2">
      <c r="A251" s="707"/>
      <c r="C251" s="637"/>
      <c r="D251" s="708"/>
      <c r="E251" s="708"/>
    </row>
    <row r="252" spans="1:5" s="706" customFormat="1" ht="15.75" x14ac:dyDescent="0.2">
      <c r="A252" s="707"/>
      <c r="C252" s="637"/>
      <c r="D252" s="708"/>
      <c r="E252" s="708"/>
    </row>
    <row r="253" spans="1:5" s="706" customFormat="1" ht="15.75" x14ac:dyDescent="0.2">
      <c r="A253" s="707"/>
      <c r="C253" s="637"/>
      <c r="D253" s="708"/>
      <c r="E253" s="708"/>
    </row>
    <row r="254" spans="1:5" s="706" customFormat="1" ht="15.75" x14ac:dyDescent="0.2">
      <c r="A254" s="707"/>
      <c r="C254" s="637"/>
      <c r="D254" s="708"/>
      <c r="E254" s="708"/>
    </row>
    <row r="255" spans="1:5" s="706" customFormat="1" ht="15.75" x14ac:dyDescent="0.2">
      <c r="A255" s="707"/>
      <c r="C255" s="637"/>
      <c r="D255" s="708"/>
      <c r="E255" s="708"/>
    </row>
    <row r="256" spans="1:5" s="706" customFormat="1" ht="15.75" x14ac:dyDescent="0.2">
      <c r="A256" s="707"/>
      <c r="C256" s="637"/>
      <c r="D256" s="708"/>
      <c r="E256" s="708"/>
    </row>
    <row r="257" spans="1:5" s="706" customFormat="1" ht="15.75" x14ac:dyDescent="0.2">
      <c r="A257" s="707"/>
      <c r="C257" s="637"/>
      <c r="D257" s="708"/>
      <c r="E257" s="708"/>
    </row>
    <row r="258" spans="1:5" s="706" customFormat="1" ht="15.75" x14ac:dyDescent="0.2">
      <c r="A258" s="707"/>
      <c r="C258" s="637"/>
      <c r="D258" s="708"/>
      <c r="E258" s="708"/>
    </row>
    <row r="259" spans="1:5" s="706" customFormat="1" ht="15.75" x14ac:dyDescent="0.2">
      <c r="A259" s="707"/>
      <c r="C259" s="637"/>
      <c r="D259" s="708"/>
      <c r="E259" s="708"/>
    </row>
    <row r="260" spans="1:5" s="706" customFormat="1" ht="15.75" x14ac:dyDescent="0.2">
      <c r="A260" s="707"/>
      <c r="C260" s="637"/>
      <c r="D260" s="708"/>
      <c r="E260" s="708"/>
    </row>
    <row r="261" spans="1:5" s="706" customFormat="1" ht="15.75" x14ac:dyDescent="0.2">
      <c r="A261" s="707"/>
      <c r="C261" s="637"/>
      <c r="D261" s="708"/>
      <c r="E261" s="708"/>
    </row>
    <row r="262" spans="1:5" s="706" customFormat="1" ht="15.75" x14ac:dyDescent="0.2">
      <c r="A262" s="707"/>
      <c r="C262" s="637"/>
      <c r="D262" s="708"/>
      <c r="E262" s="708"/>
    </row>
    <row r="263" spans="1:5" s="706" customFormat="1" ht="15.75" x14ac:dyDescent="0.2">
      <c r="A263" s="707"/>
      <c r="C263" s="637"/>
      <c r="D263" s="708"/>
      <c r="E263" s="708"/>
    </row>
    <row r="264" spans="1:5" s="706" customFormat="1" ht="15.75" x14ac:dyDescent="0.2">
      <c r="A264" s="707"/>
      <c r="C264" s="637"/>
      <c r="D264" s="708"/>
      <c r="E264" s="708"/>
    </row>
    <row r="265" spans="1:5" s="706" customFormat="1" ht="15.75" x14ac:dyDescent="0.2">
      <c r="A265" s="707"/>
      <c r="C265" s="637"/>
      <c r="D265" s="708"/>
      <c r="E265" s="708"/>
    </row>
    <row r="266" spans="1:5" s="706" customFormat="1" ht="15.75" x14ac:dyDescent="0.2">
      <c r="A266" s="707"/>
      <c r="C266" s="637"/>
      <c r="D266" s="708"/>
      <c r="E266" s="708"/>
    </row>
    <row r="267" spans="1:5" s="706" customFormat="1" ht="15.75" x14ac:dyDescent="0.2">
      <c r="A267" s="707"/>
      <c r="C267" s="637"/>
      <c r="D267" s="708"/>
      <c r="E267" s="708"/>
    </row>
    <row r="268" spans="1:5" s="706" customFormat="1" ht="15.75" x14ac:dyDescent="0.2">
      <c r="A268" s="707"/>
      <c r="C268" s="637"/>
      <c r="D268" s="708"/>
      <c r="E268" s="708"/>
    </row>
    <row r="269" spans="1:5" s="706" customFormat="1" ht="15.75" x14ac:dyDescent="0.2">
      <c r="A269" s="707"/>
      <c r="C269" s="637"/>
      <c r="D269" s="708"/>
      <c r="E269" s="708"/>
    </row>
    <row r="270" spans="1:5" s="706" customFormat="1" ht="15.75" x14ac:dyDescent="0.2">
      <c r="A270" s="707"/>
      <c r="C270" s="637"/>
      <c r="D270" s="708"/>
      <c r="E270" s="708"/>
    </row>
    <row r="271" spans="1:5" s="706" customFormat="1" ht="15.75" x14ac:dyDescent="0.2">
      <c r="A271" s="707"/>
      <c r="C271" s="637"/>
      <c r="D271" s="708"/>
      <c r="E271" s="708"/>
    </row>
    <row r="272" spans="1:5" s="706" customFormat="1" ht="15.75" x14ac:dyDescent="0.2">
      <c r="A272" s="707"/>
      <c r="C272" s="637"/>
      <c r="D272" s="708"/>
      <c r="E272" s="708"/>
    </row>
    <row r="273" spans="1:5" s="706" customFormat="1" ht="15.75" x14ac:dyDescent="0.2">
      <c r="A273" s="707"/>
      <c r="C273" s="637"/>
      <c r="D273" s="708"/>
      <c r="E273" s="708"/>
    </row>
    <row r="274" spans="1:5" s="706" customFormat="1" ht="15.75" x14ac:dyDescent="0.2">
      <c r="A274" s="707"/>
      <c r="C274" s="637"/>
      <c r="D274" s="708"/>
      <c r="E274" s="708"/>
    </row>
    <row r="275" spans="1:5" s="706" customFormat="1" ht="15.75" x14ac:dyDescent="0.2">
      <c r="A275" s="707"/>
      <c r="C275" s="637"/>
      <c r="D275" s="708"/>
      <c r="E275" s="708"/>
    </row>
    <row r="276" spans="1:5" s="706" customFormat="1" ht="15.75" x14ac:dyDescent="0.2">
      <c r="A276" s="707"/>
      <c r="C276" s="637"/>
      <c r="D276" s="708"/>
      <c r="E276" s="708"/>
    </row>
    <row r="277" spans="1:5" s="706" customFormat="1" ht="15.75" x14ac:dyDescent="0.2">
      <c r="A277" s="707"/>
      <c r="C277" s="637"/>
      <c r="D277" s="708"/>
      <c r="E277" s="708"/>
    </row>
    <row r="278" spans="1:5" s="706" customFormat="1" ht="15.75" x14ac:dyDescent="0.2">
      <c r="A278" s="707"/>
      <c r="C278" s="637"/>
      <c r="D278" s="708"/>
      <c r="E278" s="708"/>
    </row>
    <row r="279" spans="1:5" s="706" customFormat="1" ht="15.75" x14ac:dyDescent="0.2">
      <c r="A279" s="707"/>
      <c r="C279" s="637"/>
      <c r="D279" s="708"/>
      <c r="E279" s="708"/>
    </row>
    <row r="280" spans="1:5" s="706" customFormat="1" ht="15.75" x14ac:dyDescent="0.2">
      <c r="A280" s="707"/>
      <c r="C280" s="637"/>
      <c r="D280" s="708"/>
      <c r="E280" s="708"/>
    </row>
    <row r="281" spans="1:5" s="706" customFormat="1" ht="15.75" x14ac:dyDescent="0.2">
      <c r="A281" s="707"/>
      <c r="C281" s="637"/>
      <c r="D281" s="708"/>
      <c r="E281" s="708"/>
    </row>
    <row r="282" spans="1:5" s="706" customFormat="1" ht="15.75" x14ac:dyDescent="0.2">
      <c r="A282" s="707"/>
      <c r="C282" s="637"/>
      <c r="D282" s="708"/>
      <c r="E282" s="708"/>
    </row>
    <row r="283" spans="1:5" s="706" customFormat="1" ht="15.75" x14ac:dyDescent="0.2">
      <c r="A283" s="707"/>
      <c r="C283" s="637"/>
      <c r="D283" s="708"/>
      <c r="E283" s="708"/>
    </row>
    <row r="284" spans="1:5" s="706" customFormat="1" ht="15.75" x14ac:dyDescent="0.2">
      <c r="A284" s="707"/>
      <c r="C284" s="637"/>
      <c r="D284" s="708"/>
      <c r="E284" s="708"/>
    </row>
    <row r="285" spans="1:5" s="706" customFormat="1" ht="15.75" x14ac:dyDescent="0.2">
      <c r="A285" s="707"/>
      <c r="C285" s="637"/>
      <c r="D285" s="708"/>
      <c r="E285" s="708"/>
    </row>
    <row r="286" spans="1:5" s="706" customFormat="1" ht="15.75" x14ac:dyDescent="0.2">
      <c r="A286" s="707"/>
      <c r="C286" s="637"/>
      <c r="D286" s="708"/>
      <c r="E286" s="708"/>
    </row>
    <row r="287" spans="1:5" s="706" customFormat="1" ht="15.75" x14ac:dyDescent="0.2">
      <c r="A287" s="707"/>
      <c r="C287" s="637"/>
      <c r="D287" s="708"/>
      <c r="E287" s="708"/>
    </row>
    <row r="288" spans="1:5" s="706" customFormat="1" ht="15.75" x14ac:dyDescent="0.2">
      <c r="A288" s="707"/>
      <c r="C288" s="637"/>
      <c r="D288" s="708"/>
      <c r="E288" s="708"/>
    </row>
    <row r="289" spans="1:5" s="706" customFormat="1" ht="15.75" x14ac:dyDescent="0.2">
      <c r="A289" s="707"/>
      <c r="C289" s="637"/>
      <c r="D289" s="708"/>
      <c r="E289" s="708"/>
    </row>
    <row r="290" spans="1:5" s="706" customFormat="1" ht="15.75" x14ac:dyDescent="0.2">
      <c r="A290" s="707"/>
      <c r="C290" s="637"/>
      <c r="D290" s="708"/>
      <c r="E290" s="708"/>
    </row>
    <row r="291" spans="1:5" s="706" customFormat="1" ht="15.75" x14ac:dyDescent="0.2">
      <c r="A291" s="707"/>
      <c r="C291" s="637"/>
      <c r="D291" s="708"/>
      <c r="E291" s="708"/>
    </row>
    <row r="292" spans="1:5" s="706" customFormat="1" ht="15.75" x14ac:dyDescent="0.2">
      <c r="A292" s="707"/>
      <c r="C292" s="637"/>
      <c r="D292" s="708"/>
      <c r="E292" s="708"/>
    </row>
    <row r="293" spans="1:5" s="706" customFormat="1" ht="15.75" x14ac:dyDescent="0.2">
      <c r="A293" s="707"/>
      <c r="C293" s="637"/>
      <c r="D293" s="708"/>
      <c r="E293" s="708"/>
    </row>
    <row r="294" spans="1:5" s="706" customFormat="1" ht="15.75" x14ac:dyDescent="0.2">
      <c r="A294" s="707"/>
      <c r="C294" s="637"/>
      <c r="D294" s="708"/>
      <c r="E294" s="708"/>
    </row>
    <row r="295" spans="1:5" s="706" customFormat="1" ht="15.75" x14ac:dyDescent="0.2">
      <c r="A295" s="707"/>
      <c r="C295" s="637"/>
      <c r="D295" s="708"/>
      <c r="E295" s="708"/>
    </row>
    <row r="296" spans="1:5" s="706" customFormat="1" ht="15.75" x14ac:dyDescent="0.2">
      <c r="A296" s="707"/>
      <c r="C296" s="637"/>
      <c r="D296" s="708"/>
      <c r="E296" s="708"/>
    </row>
    <row r="297" spans="1:5" s="706" customFormat="1" ht="15.75" x14ac:dyDescent="0.2">
      <c r="A297" s="707"/>
      <c r="C297" s="637"/>
      <c r="D297" s="708"/>
      <c r="E297" s="708"/>
    </row>
    <row r="298" spans="1:5" s="706" customFormat="1" ht="15.75" x14ac:dyDescent="0.2">
      <c r="A298" s="707"/>
      <c r="C298" s="637"/>
      <c r="D298" s="708"/>
      <c r="E298" s="708"/>
    </row>
    <row r="299" spans="1:5" s="706" customFormat="1" ht="15.75" x14ac:dyDescent="0.2">
      <c r="A299" s="707"/>
      <c r="C299" s="637"/>
      <c r="D299" s="708"/>
      <c r="E299" s="708"/>
    </row>
    <row r="300" spans="1:5" s="706" customFormat="1" ht="15.75" x14ac:dyDescent="0.2">
      <c r="A300" s="707"/>
      <c r="C300" s="637"/>
      <c r="D300" s="708"/>
      <c r="E300" s="708"/>
    </row>
    <row r="301" spans="1:5" s="706" customFormat="1" ht="15.75" x14ac:dyDescent="0.2">
      <c r="A301" s="707"/>
      <c r="C301" s="637"/>
      <c r="D301" s="708"/>
      <c r="E301" s="708"/>
    </row>
    <row r="302" spans="1:5" s="706" customFormat="1" ht="15.75" x14ac:dyDescent="0.2">
      <c r="A302" s="707"/>
      <c r="C302" s="637"/>
      <c r="D302" s="708"/>
      <c r="E302" s="708"/>
    </row>
    <row r="303" spans="1:5" s="706" customFormat="1" ht="15.75" x14ac:dyDescent="0.2">
      <c r="A303" s="707"/>
      <c r="C303" s="637"/>
      <c r="D303" s="708"/>
      <c r="E303" s="708"/>
    </row>
    <row r="304" spans="1:5" s="706" customFormat="1" ht="15.75" x14ac:dyDescent="0.2">
      <c r="A304" s="707"/>
      <c r="C304" s="637"/>
      <c r="D304" s="708"/>
      <c r="E304" s="708"/>
    </row>
    <row r="305" spans="1:5" s="706" customFormat="1" ht="15.75" x14ac:dyDescent="0.2">
      <c r="A305" s="707"/>
      <c r="C305" s="637"/>
      <c r="D305" s="708"/>
      <c r="E305" s="708"/>
    </row>
    <row r="306" spans="1:5" s="706" customFormat="1" ht="15.75" x14ac:dyDescent="0.2">
      <c r="A306" s="707"/>
      <c r="C306" s="637"/>
      <c r="D306" s="708"/>
      <c r="E306" s="708"/>
    </row>
    <row r="307" spans="1:5" s="706" customFormat="1" ht="15.75" x14ac:dyDescent="0.2">
      <c r="A307" s="707"/>
      <c r="C307" s="637"/>
      <c r="D307" s="708"/>
      <c r="E307" s="708"/>
    </row>
    <row r="308" spans="1:5" s="706" customFormat="1" ht="15.75" x14ac:dyDescent="0.2">
      <c r="A308" s="707"/>
      <c r="C308" s="637"/>
      <c r="D308" s="708"/>
      <c r="E308" s="708"/>
    </row>
    <row r="309" spans="1:5" s="706" customFormat="1" ht="15.75" x14ac:dyDescent="0.2">
      <c r="A309" s="707"/>
      <c r="C309" s="637"/>
      <c r="D309" s="708"/>
      <c r="E309" s="708"/>
    </row>
    <row r="310" spans="1:5" s="706" customFormat="1" ht="15.75" x14ac:dyDescent="0.2">
      <c r="A310" s="707"/>
      <c r="C310" s="637"/>
      <c r="D310" s="708"/>
      <c r="E310" s="708"/>
    </row>
    <row r="311" spans="1:5" s="706" customFormat="1" ht="15.75" x14ac:dyDescent="0.2">
      <c r="A311" s="707"/>
      <c r="C311" s="637"/>
      <c r="D311" s="708"/>
      <c r="E311" s="708"/>
    </row>
    <row r="312" spans="1:5" s="706" customFormat="1" ht="15.75" x14ac:dyDescent="0.2">
      <c r="A312" s="707"/>
      <c r="C312" s="637"/>
      <c r="D312" s="708"/>
      <c r="E312" s="708"/>
    </row>
    <row r="313" spans="1:5" s="706" customFormat="1" ht="15.75" x14ac:dyDescent="0.2">
      <c r="A313" s="707"/>
      <c r="C313" s="637"/>
      <c r="D313" s="708"/>
      <c r="E313" s="708"/>
    </row>
    <row r="314" spans="1:5" s="706" customFormat="1" ht="15.75" x14ac:dyDescent="0.2">
      <c r="A314" s="707"/>
      <c r="C314" s="637"/>
      <c r="D314" s="708"/>
      <c r="E314" s="708"/>
    </row>
    <row r="315" spans="1:5" s="706" customFormat="1" ht="15.75" x14ac:dyDescent="0.2">
      <c r="A315" s="707"/>
      <c r="C315" s="637"/>
      <c r="D315" s="708"/>
      <c r="E315" s="708"/>
    </row>
    <row r="316" spans="1:5" s="706" customFormat="1" ht="15.75" x14ac:dyDescent="0.2">
      <c r="A316" s="707"/>
      <c r="C316" s="637"/>
      <c r="D316" s="708"/>
      <c r="E316" s="708"/>
    </row>
    <row r="317" spans="1:5" s="706" customFormat="1" ht="15.75" x14ac:dyDescent="0.2">
      <c r="A317" s="707"/>
      <c r="C317" s="637"/>
      <c r="D317" s="708"/>
      <c r="E317" s="708"/>
    </row>
    <row r="318" spans="1:5" s="706" customFormat="1" ht="15.75" x14ac:dyDescent="0.2">
      <c r="A318" s="707"/>
      <c r="C318" s="637"/>
      <c r="D318" s="708"/>
      <c r="E318" s="708"/>
    </row>
    <row r="319" spans="1:5" s="706" customFormat="1" ht="15.75" x14ac:dyDescent="0.2">
      <c r="A319" s="707"/>
      <c r="C319" s="637"/>
      <c r="D319" s="708"/>
      <c r="E319" s="708"/>
    </row>
    <row r="320" spans="1:5" s="706" customFormat="1" ht="15.75" x14ac:dyDescent="0.2">
      <c r="A320" s="707"/>
      <c r="C320" s="637"/>
      <c r="D320" s="708"/>
      <c r="E320" s="708"/>
    </row>
    <row r="321" spans="1:5" s="706" customFormat="1" ht="15.75" x14ac:dyDescent="0.2">
      <c r="A321" s="707"/>
      <c r="C321" s="637"/>
      <c r="D321" s="708"/>
      <c r="E321" s="708"/>
    </row>
    <row r="322" spans="1:5" s="706" customFormat="1" ht="15.75" x14ac:dyDescent="0.2">
      <c r="A322" s="707"/>
      <c r="C322" s="637"/>
      <c r="D322" s="708"/>
      <c r="E322" s="708"/>
    </row>
    <row r="323" spans="1:5" s="706" customFormat="1" ht="15.75" x14ac:dyDescent="0.2">
      <c r="A323" s="707"/>
      <c r="C323" s="637"/>
      <c r="D323" s="708"/>
      <c r="E323" s="708"/>
    </row>
    <row r="324" spans="1:5" s="706" customFormat="1" ht="15.75" x14ac:dyDescent="0.2">
      <c r="A324" s="707"/>
      <c r="C324" s="637"/>
      <c r="D324" s="708"/>
      <c r="E324" s="708"/>
    </row>
    <row r="325" spans="1:5" s="706" customFormat="1" ht="15.75" x14ac:dyDescent="0.2">
      <c r="A325" s="707"/>
      <c r="C325" s="637"/>
      <c r="D325" s="708"/>
      <c r="E325" s="708"/>
    </row>
    <row r="326" spans="1:5" s="706" customFormat="1" ht="15.75" x14ac:dyDescent="0.2">
      <c r="A326" s="707"/>
      <c r="C326" s="637"/>
      <c r="D326" s="708"/>
      <c r="E326" s="708"/>
    </row>
    <row r="327" spans="1:5" s="706" customFormat="1" ht="15.75" x14ac:dyDescent="0.2">
      <c r="A327" s="707"/>
      <c r="C327" s="637"/>
      <c r="D327" s="708"/>
      <c r="E327" s="708"/>
    </row>
    <row r="328" spans="1:5" s="706" customFormat="1" ht="15.75" x14ac:dyDescent="0.2">
      <c r="A328" s="707"/>
      <c r="C328" s="637"/>
      <c r="D328" s="708"/>
      <c r="E328" s="708"/>
    </row>
    <row r="329" spans="1:5" s="706" customFormat="1" ht="15.75" x14ac:dyDescent="0.2">
      <c r="A329" s="707"/>
      <c r="C329" s="637"/>
      <c r="D329" s="708"/>
      <c r="E329" s="708"/>
    </row>
    <row r="330" spans="1:5" s="706" customFormat="1" ht="15.75" x14ac:dyDescent="0.2">
      <c r="A330" s="707"/>
      <c r="C330" s="637"/>
      <c r="D330" s="708"/>
      <c r="E330" s="708"/>
    </row>
    <row r="331" spans="1:5" s="706" customFormat="1" ht="15.75" x14ac:dyDescent="0.2">
      <c r="A331" s="707"/>
      <c r="C331" s="637"/>
      <c r="D331" s="708"/>
      <c r="E331" s="708"/>
    </row>
    <row r="332" spans="1:5" s="706" customFormat="1" ht="15.75" x14ac:dyDescent="0.2">
      <c r="A332" s="707"/>
      <c r="C332" s="637"/>
      <c r="D332" s="708"/>
      <c r="E332" s="708"/>
    </row>
    <row r="333" spans="1:5" s="706" customFormat="1" ht="15.75" x14ac:dyDescent="0.2">
      <c r="A333" s="707"/>
      <c r="C333" s="637"/>
      <c r="D333" s="708"/>
      <c r="E333" s="708"/>
    </row>
    <row r="334" spans="1:5" s="706" customFormat="1" ht="15.75" x14ac:dyDescent="0.2">
      <c r="A334" s="707"/>
      <c r="C334" s="637"/>
      <c r="D334" s="708"/>
      <c r="E334" s="708"/>
    </row>
    <row r="335" spans="1:5" s="706" customFormat="1" ht="15.75" x14ac:dyDescent="0.2">
      <c r="A335" s="707"/>
      <c r="C335" s="637"/>
      <c r="D335" s="708"/>
      <c r="E335" s="708"/>
    </row>
    <row r="336" spans="1:5" s="706" customFormat="1" ht="15.75" x14ac:dyDescent="0.2">
      <c r="A336" s="707"/>
      <c r="C336" s="637"/>
      <c r="D336" s="708"/>
      <c r="E336" s="708"/>
    </row>
    <row r="337" spans="1:5" s="706" customFormat="1" ht="15.75" x14ac:dyDescent="0.2">
      <c r="A337" s="707"/>
      <c r="C337" s="637"/>
      <c r="D337" s="708"/>
      <c r="E337" s="708"/>
    </row>
    <row r="338" spans="1:5" s="706" customFormat="1" ht="15.75" x14ac:dyDescent="0.2">
      <c r="A338" s="707"/>
      <c r="C338" s="637"/>
      <c r="D338" s="708"/>
      <c r="E338" s="708"/>
    </row>
    <row r="339" spans="1:5" s="706" customFormat="1" ht="15.75" x14ac:dyDescent="0.2">
      <c r="A339" s="707"/>
      <c r="C339" s="637"/>
      <c r="D339" s="708"/>
      <c r="E339" s="708"/>
    </row>
    <row r="340" spans="1:5" s="706" customFormat="1" ht="15.75" x14ac:dyDescent="0.2">
      <c r="A340" s="707"/>
      <c r="C340" s="637"/>
      <c r="D340" s="708"/>
      <c r="E340" s="708"/>
    </row>
    <row r="341" spans="1:5" s="706" customFormat="1" ht="15.75" x14ac:dyDescent="0.2">
      <c r="A341" s="707"/>
      <c r="C341" s="637"/>
      <c r="D341" s="708"/>
      <c r="E341" s="708"/>
    </row>
    <row r="342" spans="1:5" s="706" customFormat="1" ht="15.75" x14ac:dyDescent="0.2">
      <c r="A342" s="707"/>
      <c r="C342" s="637"/>
      <c r="D342" s="708"/>
      <c r="E342" s="708"/>
    </row>
    <row r="343" spans="1:5" s="706" customFormat="1" ht="15.75" x14ac:dyDescent="0.2">
      <c r="A343" s="707"/>
      <c r="C343" s="637"/>
      <c r="D343" s="708"/>
      <c r="E343" s="708"/>
    </row>
    <row r="344" spans="1:5" s="706" customFormat="1" ht="15.75" x14ac:dyDescent="0.2">
      <c r="A344" s="707"/>
      <c r="C344" s="637"/>
      <c r="D344" s="708"/>
      <c r="E344" s="708"/>
    </row>
    <row r="345" spans="1:5" s="706" customFormat="1" ht="15.75" x14ac:dyDescent="0.2">
      <c r="A345" s="707"/>
      <c r="C345" s="637"/>
      <c r="D345" s="708"/>
      <c r="E345" s="708"/>
    </row>
    <row r="346" spans="1:5" s="706" customFormat="1" ht="15.75" x14ac:dyDescent="0.2">
      <c r="A346" s="707"/>
      <c r="C346" s="637"/>
      <c r="D346" s="708"/>
      <c r="E346" s="708"/>
    </row>
    <row r="347" spans="1:5" s="706" customFormat="1" ht="15.75" x14ac:dyDescent="0.2">
      <c r="A347" s="707"/>
      <c r="C347" s="637"/>
      <c r="D347" s="708"/>
      <c r="E347" s="708"/>
    </row>
    <row r="348" spans="1:5" s="706" customFormat="1" ht="15.75" x14ac:dyDescent="0.2">
      <c r="A348" s="707"/>
      <c r="C348" s="637"/>
      <c r="D348" s="708"/>
      <c r="E348" s="708"/>
    </row>
    <row r="349" spans="1:5" s="706" customFormat="1" ht="15.75" x14ac:dyDescent="0.2">
      <c r="A349" s="707"/>
      <c r="C349" s="637"/>
      <c r="D349" s="708"/>
      <c r="E349" s="708"/>
    </row>
    <row r="350" spans="1:5" s="706" customFormat="1" ht="15.75" x14ac:dyDescent="0.2">
      <c r="A350" s="707"/>
      <c r="C350" s="637"/>
      <c r="D350" s="708"/>
      <c r="E350" s="708"/>
    </row>
    <row r="351" spans="1:5" s="706" customFormat="1" ht="15.75" x14ac:dyDescent="0.2">
      <c r="A351" s="707"/>
      <c r="C351" s="637"/>
      <c r="D351" s="708"/>
      <c r="E351" s="708"/>
    </row>
    <row r="352" spans="1:5" s="706" customFormat="1" ht="15.75" x14ac:dyDescent="0.2">
      <c r="A352" s="707"/>
      <c r="C352" s="637"/>
      <c r="D352" s="708"/>
      <c r="E352" s="708"/>
    </row>
    <row r="353" spans="1:5" s="706" customFormat="1" ht="15.75" x14ac:dyDescent="0.2">
      <c r="A353" s="707"/>
      <c r="C353" s="637"/>
      <c r="D353" s="708"/>
      <c r="E353" s="708"/>
    </row>
    <row r="354" spans="1:5" s="706" customFormat="1" ht="15.75" x14ac:dyDescent="0.2">
      <c r="A354" s="707"/>
      <c r="C354" s="637"/>
      <c r="D354" s="708"/>
      <c r="E354" s="708"/>
    </row>
    <row r="355" spans="1:5" s="706" customFormat="1" ht="15.75" x14ac:dyDescent="0.2">
      <c r="A355" s="707"/>
      <c r="C355" s="637"/>
      <c r="D355" s="708"/>
      <c r="E355" s="708"/>
    </row>
    <row r="356" spans="1:5" s="706" customFormat="1" ht="15.75" x14ac:dyDescent="0.2">
      <c r="A356" s="707"/>
      <c r="C356" s="637"/>
      <c r="D356" s="708"/>
      <c r="E356" s="708"/>
    </row>
    <row r="357" spans="1:5" s="706" customFormat="1" ht="15.75" x14ac:dyDescent="0.2">
      <c r="A357" s="707"/>
      <c r="C357" s="637"/>
      <c r="D357" s="708"/>
      <c r="E357" s="708"/>
    </row>
    <row r="358" spans="1:5" s="706" customFormat="1" ht="15.75" x14ac:dyDescent="0.2">
      <c r="A358" s="707"/>
      <c r="C358" s="637"/>
      <c r="D358" s="708"/>
      <c r="E358" s="708"/>
    </row>
    <row r="359" spans="1:5" s="706" customFormat="1" ht="15.75" x14ac:dyDescent="0.2">
      <c r="A359" s="707"/>
      <c r="C359" s="637"/>
      <c r="D359" s="708"/>
      <c r="E359" s="708"/>
    </row>
    <row r="360" spans="1:5" s="706" customFormat="1" ht="15.75" x14ac:dyDescent="0.2">
      <c r="A360" s="707"/>
      <c r="C360" s="637"/>
      <c r="D360" s="708"/>
      <c r="E360" s="708"/>
    </row>
    <row r="361" spans="1:5" s="706" customFormat="1" ht="15.75" x14ac:dyDescent="0.2">
      <c r="A361" s="707"/>
      <c r="C361" s="637"/>
      <c r="D361" s="708"/>
      <c r="E361" s="708"/>
    </row>
    <row r="362" spans="1:5" s="706" customFormat="1" ht="15.75" x14ac:dyDescent="0.2">
      <c r="A362" s="707"/>
      <c r="C362" s="637"/>
      <c r="D362" s="708"/>
      <c r="E362" s="708"/>
    </row>
    <row r="363" spans="1:5" s="706" customFormat="1" ht="15.75" x14ac:dyDescent="0.2">
      <c r="A363" s="707"/>
      <c r="C363" s="637"/>
      <c r="D363" s="708"/>
      <c r="E363" s="708"/>
    </row>
    <row r="364" spans="1:5" s="706" customFormat="1" ht="15.75" x14ac:dyDescent="0.2">
      <c r="A364" s="707"/>
      <c r="C364" s="637"/>
      <c r="D364" s="708"/>
      <c r="E364" s="708"/>
    </row>
    <row r="365" spans="1:5" s="706" customFormat="1" ht="15.75" x14ac:dyDescent="0.2">
      <c r="A365" s="707"/>
      <c r="C365" s="637"/>
      <c r="D365" s="708"/>
      <c r="E365" s="708"/>
    </row>
    <row r="366" spans="1:5" s="706" customFormat="1" ht="15.75" x14ac:dyDescent="0.2">
      <c r="A366" s="707"/>
      <c r="C366" s="637"/>
      <c r="D366" s="708"/>
      <c r="E366" s="708"/>
    </row>
    <row r="367" spans="1:5" s="706" customFormat="1" ht="15.75" x14ac:dyDescent="0.2">
      <c r="A367" s="707"/>
      <c r="C367" s="637"/>
      <c r="D367" s="708"/>
      <c r="E367" s="708"/>
    </row>
    <row r="368" spans="1:5" s="706" customFormat="1" ht="15.75" x14ac:dyDescent="0.2">
      <c r="A368" s="707"/>
      <c r="C368" s="637"/>
      <c r="D368" s="708"/>
      <c r="E368" s="708"/>
    </row>
    <row r="369" spans="1:5" s="706" customFormat="1" ht="15.75" x14ac:dyDescent="0.2">
      <c r="A369" s="707"/>
      <c r="C369" s="637"/>
      <c r="D369" s="708"/>
      <c r="E369" s="708"/>
    </row>
    <row r="370" spans="1:5" s="706" customFormat="1" ht="15.75" x14ac:dyDescent="0.2">
      <c r="A370" s="707"/>
      <c r="C370" s="637"/>
      <c r="D370" s="708"/>
      <c r="E370" s="708"/>
    </row>
    <row r="371" spans="1:5" s="706" customFormat="1" ht="15.75" x14ac:dyDescent="0.2">
      <c r="A371" s="707"/>
      <c r="C371" s="637"/>
      <c r="D371" s="708"/>
      <c r="E371" s="708"/>
    </row>
    <row r="372" spans="1:5" s="706" customFormat="1" ht="15.75" x14ac:dyDescent="0.2">
      <c r="A372" s="707"/>
      <c r="C372" s="637"/>
      <c r="D372" s="708"/>
      <c r="E372" s="708"/>
    </row>
    <row r="373" spans="1:5" s="706" customFormat="1" ht="15.75" x14ac:dyDescent="0.2">
      <c r="A373" s="707"/>
      <c r="C373" s="637"/>
      <c r="D373" s="708"/>
      <c r="E373" s="708"/>
    </row>
    <row r="374" spans="1:5" s="706" customFormat="1" ht="15.75" x14ac:dyDescent="0.2">
      <c r="A374" s="707"/>
      <c r="C374" s="637"/>
      <c r="D374" s="708"/>
      <c r="E374" s="708"/>
    </row>
    <row r="375" spans="1:5" s="706" customFormat="1" ht="15.75" x14ac:dyDescent="0.2">
      <c r="A375" s="707"/>
      <c r="C375" s="637"/>
      <c r="D375" s="708"/>
      <c r="E375" s="708"/>
    </row>
    <row r="376" spans="1:5" s="706" customFormat="1" ht="15.75" x14ac:dyDescent="0.2">
      <c r="A376" s="707"/>
      <c r="C376" s="637"/>
      <c r="D376" s="708"/>
      <c r="E376" s="708"/>
    </row>
    <row r="377" spans="1:5" s="706" customFormat="1" ht="15.75" x14ac:dyDescent="0.2">
      <c r="A377" s="707"/>
      <c r="C377" s="637"/>
      <c r="D377" s="708"/>
      <c r="E377" s="708"/>
    </row>
    <row r="378" spans="1:5" s="706" customFormat="1" ht="15.75" x14ac:dyDescent="0.2">
      <c r="A378" s="707"/>
      <c r="C378" s="637"/>
      <c r="D378" s="708"/>
      <c r="E378" s="708"/>
    </row>
    <row r="379" spans="1:5" s="706" customFormat="1" ht="15.75" x14ac:dyDescent="0.2">
      <c r="A379" s="707"/>
      <c r="C379" s="637"/>
      <c r="D379" s="708"/>
      <c r="E379" s="708"/>
    </row>
    <row r="380" spans="1:5" s="706" customFormat="1" ht="15.75" x14ac:dyDescent="0.2">
      <c r="A380" s="707"/>
      <c r="C380" s="637"/>
      <c r="D380" s="708"/>
      <c r="E380" s="708"/>
    </row>
    <row r="381" spans="1:5" s="706" customFormat="1" ht="15.75" x14ac:dyDescent="0.2">
      <c r="A381" s="707"/>
      <c r="C381" s="637"/>
      <c r="D381" s="708"/>
      <c r="E381" s="708"/>
    </row>
    <row r="382" spans="1:5" s="706" customFormat="1" ht="15.75" x14ac:dyDescent="0.2">
      <c r="A382" s="707"/>
      <c r="C382" s="637"/>
      <c r="D382" s="708"/>
      <c r="E382" s="708"/>
    </row>
    <row r="383" spans="1:5" s="706" customFormat="1" ht="15.75" x14ac:dyDescent="0.2">
      <c r="A383" s="707"/>
      <c r="C383" s="637"/>
      <c r="D383" s="708"/>
      <c r="E383" s="708"/>
    </row>
    <row r="384" spans="1:5" s="706" customFormat="1" ht="15.75" x14ac:dyDescent="0.2">
      <c r="A384" s="707"/>
      <c r="C384" s="637"/>
      <c r="D384" s="708"/>
      <c r="E384" s="708"/>
    </row>
    <row r="385" spans="1:5" s="706" customFormat="1" ht="15.75" x14ac:dyDescent="0.2">
      <c r="A385" s="707"/>
      <c r="C385" s="637"/>
      <c r="D385" s="708"/>
      <c r="E385" s="708"/>
    </row>
    <row r="386" spans="1:5" s="706" customFormat="1" ht="15.75" x14ac:dyDescent="0.2">
      <c r="A386" s="707"/>
      <c r="C386" s="637"/>
      <c r="D386" s="708"/>
      <c r="E386" s="708"/>
    </row>
    <row r="387" spans="1:5" s="706" customFormat="1" ht="15.75" x14ac:dyDescent="0.2">
      <c r="A387" s="707"/>
      <c r="C387" s="637"/>
      <c r="D387" s="708"/>
      <c r="E387" s="708"/>
    </row>
    <row r="388" spans="1:5" s="706" customFormat="1" ht="15.75" x14ac:dyDescent="0.2">
      <c r="A388" s="707"/>
      <c r="C388" s="637"/>
      <c r="D388" s="708"/>
      <c r="E388" s="708"/>
    </row>
    <row r="389" spans="1:5" s="706" customFormat="1" ht="15.75" x14ac:dyDescent="0.2">
      <c r="A389" s="707"/>
      <c r="C389" s="637"/>
      <c r="D389" s="708"/>
      <c r="E389" s="708"/>
    </row>
    <row r="390" spans="1:5" s="706" customFormat="1" ht="15.75" x14ac:dyDescent="0.2">
      <c r="A390" s="707"/>
      <c r="C390" s="637"/>
      <c r="D390" s="708"/>
      <c r="E390" s="708"/>
    </row>
    <row r="391" spans="1:5" s="706" customFormat="1" ht="15.75" x14ac:dyDescent="0.2">
      <c r="A391" s="707"/>
      <c r="C391" s="637"/>
      <c r="D391" s="708"/>
      <c r="E391" s="708"/>
    </row>
    <row r="392" spans="1:5" s="706" customFormat="1" ht="15.75" x14ac:dyDescent="0.2">
      <c r="A392" s="707"/>
      <c r="C392" s="637"/>
      <c r="D392" s="708"/>
      <c r="E392" s="708"/>
    </row>
    <row r="393" spans="1:5" s="706" customFormat="1" ht="15.75" x14ac:dyDescent="0.2">
      <c r="A393" s="707"/>
      <c r="C393" s="637"/>
      <c r="D393" s="708"/>
      <c r="E393" s="708"/>
    </row>
    <row r="394" spans="1:5" s="706" customFormat="1" ht="15.75" x14ac:dyDescent="0.2">
      <c r="A394" s="707"/>
      <c r="C394" s="637"/>
      <c r="D394" s="708"/>
      <c r="E394" s="708"/>
    </row>
    <row r="395" spans="1:5" s="706" customFormat="1" ht="15.75" x14ac:dyDescent="0.2">
      <c r="A395" s="707"/>
      <c r="C395" s="637"/>
      <c r="D395" s="708"/>
      <c r="E395" s="708"/>
    </row>
    <row r="396" spans="1:5" s="706" customFormat="1" ht="15.75" x14ac:dyDescent="0.2">
      <c r="A396" s="707"/>
      <c r="C396" s="637"/>
      <c r="D396" s="708"/>
      <c r="E396" s="708"/>
    </row>
    <row r="397" spans="1:5" s="706" customFormat="1" ht="15.75" x14ac:dyDescent="0.2">
      <c r="A397" s="707"/>
      <c r="C397" s="637"/>
      <c r="D397" s="708"/>
      <c r="E397" s="708"/>
    </row>
    <row r="398" spans="1:5" s="706" customFormat="1" ht="15.75" x14ac:dyDescent="0.2">
      <c r="A398" s="707"/>
      <c r="C398" s="637"/>
      <c r="D398" s="708"/>
      <c r="E398" s="708"/>
    </row>
    <row r="399" spans="1:5" s="706" customFormat="1" ht="15.75" x14ac:dyDescent="0.2">
      <c r="A399" s="707"/>
      <c r="C399" s="637"/>
      <c r="D399" s="708"/>
      <c r="E399" s="708"/>
    </row>
    <row r="400" spans="1:5" s="706" customFormat="1" ht="15.75" x14ac:dyDescent="0.2">
      <c r="A400" s="707"/>
      <c r="C400" s="637"/>
      <c r="D400" s="708"/>
      <c r="E400" s="708"/>
    </row>
    <row r="401" spans="1:5" s="706" customFormat="1" ht="15.75" x14ac:dyDescent="0.2">
      <c r="A401" s="707"/>
      <c r="C401" s="637"/>
      <c r="D401" s="708"/>
      <c r="E401" s="708"/>
    </row>
    <row r="402" spans="1:5" s="706" customFormat="1" ht="15.75" x14ac:dyDescent="0.2">
      <c r="A402" s="707"/>
      <c r="C402" s="637"/>
      <c r="D402" s="708"/>
      <c r="E402" s="708"/>
    </row>
    <row r="403" spans="1:5" s="706" customFormat="1" ht="15.75" x14ac:dyDescent="0.2">
      <c r="A403" s="707"/>
      <c r="C403" s="637"/>
      <c r="D403" s="708"/>
      <c r="E403" s="708"/>
    </row>
    <row r="404" spans="1:5" s="706" customFormat="1" ht="15.75" x14ac:dyDescent="0.2">
      <c r="A404" s="707"/>
      <c r="C404" s="637"/>
      <c r="D404" s="708"/>
      <c r="E404" s="708"/>
    </row>
    <row r="405" spans="1:5" s="706" customFormat="1" ht="15.75" x14ac:dyDescent="0.2">
      <c r="A405" s="707"/>
      <c r="C405" s="637"/>
      <c r="D405" s="708"/>
      <c r="E405" s="708"/>
    </row>
    <row r="406" spans="1:5" s="706" customFormat="1" ht="15.75" x14ac:dyDescent="0.2">
      <c r="A406" s="707"/>
      <c r="C406" s="637"/>
      <c r="D406" s="708"/>
      <c r="E406" s="708"/>
    </row>
    <row r="407" spans="1:5" s="706" customFormat="1" ht="15.75" x14ac:dyDescent="0.2">
      <c r="A407" s="707"/>
      <c r="C407" s="637"/>
      <c r="D407" s="708"/>
      <c r="E407" s="708"/>
    </row>
    <row r="408" spans="1:5" s="706" customFormat="1" ht="15.75" x14ac:dyDescent="0.2">
      <c r="A408" s="707"/>
      <c r="C408" s="637"/>
      <c r="D408" s="708"/>
      <c r="E408" s="708"/>
    </row>
    <row r="409" spans="1:5" s="706" customFormat="1" ht="15.75" x14ac:dyDescent="0.2">
      <c r="A409" s="707"/>
      <c r="C409" s="637"/>
      <c r="D409" s="708"/>
      <c r="E409" s="708"/>
    </row>
    <row r="410" spans="1:5" s="706" customFormat="1" ht="15.75" x14ac:dyDescent="0.2">
      <c r="A410" s="707"/>
      <c r="C410" s="637"/>
      <c r="D410" s="708"/>
      <c r="E410" s="708"/>
    </row>
    <row r="411" spans="1:5" s="706" customFormat="1" ht="15.75" x14ac:dyDescent="0.2">
      <c r="A411" s="707"/>
      <c r="C411" s="637"/>
      <c r="D411" s="708"/>
      <c r="E411" s="708"/>
    </row>
    <row r="412" spans="1:5" s="706" customFormat="1" ht="15.75" x14ac:dyDescent="0.2">
      <c r="A412" s="707"/>
      <c r="C412" s="637"/>
      <c r="D412" s="708"/>
      <c r="E412" s="708"/>
    </row>
    <row r="413" spans="1:5" s="706" customFormat="1" ht="15.75" x14ac:dyDescent="0.2">
      <c r="A413" s="707"/>
      <c r="C413" s="637"/>
      <c r="D413" s="708"/>
      <c r="E413" s="708"/>
    </row>
    <row r="414" spans="1:5" s="706" customFormat="1" ht="15.75" x14ac:dyDescent="0.2">
      <c r="A414" s="707"/>
      <c r="C414" s="637"/>
      <c r="D414" s="708"/>
      <c r="E414" s="708"/>
    </row>
    <row r="415" spans="1:5" s="706" customFormat="1" ht="15.75" x14ac:dyDescent="0.2">
      <c r="A415" s="707"/>
      <c r="C415" s="637"/>
      <c r="D415" s="708"/>
      <c r="E415" s="708"/>
    </row>
    <row r="416" spans="1:5" s="706" customFormat="1" ht="15.75" x14ac:dyDescent="0.2">
      <c r="A416" s="707"/>
      <c r="C416" s="637"/>
      <c r="D416" s="708"/>
      <c r="E416" s="708"/>
    </row>
    <row r="417" spans="1:5" s="706" customFormat="1" ht="15.75" x14ac:dyDescent="0.2">
      <c r="A417" s="707"/>
      <c r="C417" s="637"/>
      <c r="D417" s="708"/>
      <c r="E417" s="708"/>
    </row>
    <row r="418" spans="1:5" s="706" customFormat="1" ht="15.75" x14ac:dyDescent="0.2">
      <c r="A418" s="707"/>
      <c r="C418" s="637"/>
      <c r="D418" s="708"/>
      <c r="E418" s="708"/>
    </row>
    <row r="419" spans="1:5" s="706" customFormat="1" ht="15.75" x14ac:dyDescent="0.2">
      <c r="A419" s="707"/>
      <c r="C419" s="637"/>
      <c r="D419" s="708"/>
      <c r="E419" s="708"/>
    </row>
    <row r="420" spans="1:5" s="706" customFormat="1" ht="15.75" x14ac:dyDescent="0.2">
      <c r="A420" s="707"/>
      <c r="C420" s="637"/>
      <c r="D420" s="708"/>
      <c r="E420" s="708"/>
    </row>
    <row r="421" spans="1:5" s="706" customFormat="1" ht="15.75" x14ac:dyDescent="0.2">
      <c r="A421" s="707"/>
      <c r="C421" s="637"/>
      <c r="D421" s="708"/>
      <c r="E421" s="708"/>
    </row>
    <row r="422" spans="1:5" s="706" customFormat="1" ht="15.75" x14ac:dyDescent="0.2">
      <c r="A422" s="707"/>
      <c r="C422" s="637"/>
      <c r="D422" s="708"/>
      <c r="E422" s="70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E29"/>
  <sheetViews>
    <sheetView showGridLines="0" tabSelected="1" zoomScale="80" zoomScaleNormal="80" zoomScaleSheetLayoutView="80" workbookViewId="0"/>
  </sheetViews>
  <sheetFormatPr defaultRowHeight="15" x14ac:dyDescent="0.25"/>
  <cols>
    <col min="1" max="1" width="1.42578125" customWidth="1"/>
    <col min="2" max="2" width="1.85546875" customWidth="1"/>
    <col min="3" max="3" width="29.28515625" customWidth="1"/>
    <col min="4" max="4" width="84.42578125" customWidth="1"/>
    <col min="5" max="5" width="6.85546875" customWidth="1"/>
    <col min="6" max="6" width="1.42578125" customWidth="1"/>
    <col min="11" max="11" width="31" customWidth="1"/>
  </cols>
  <sheetData>
    <row r="2" spans="2:5" x14ac:dyDescent="0.25">
      <c r="B2" s="169"/>
      <c r="C2" s="309"/>
      <c r="D2" s="309"/>
      <c r="E2" s="154"/>
    </row>
    <row r="3" spans="2:5" x14ac:dyDescent="0.25">
      <c r="B3" s="157"/>
      <c r="E3" s="156"/>
    </row>
    <row r="4" spans="2:5" x14ac:dyDescent="0.25">
      <c r="B4" s="157"/>
      <c r="E4" s="156"/>
    </row>
    <row r="5" spans="2:5" x14ac:dyDescent="0.25">
      <c r="B5" s="157"/>
      <c r="E5" s="156"/>
    </row>
    <row r="6" spans="2:5" x14ac:dyDescent="0.25">
      <c r="B6" s="157"/>
      <c r="C6" s="170"/>
      <c r="D6" s="170"/>
      <c r="E6" s="156"/>
    </row>
    <row r="7" spans="2:5" ht="31.5" x14ac:dyDescent="0.5">
      <c r="B7" s="157"/>
      <c r="C7" s="171" t="s">
        <v>0</v>
      </c>
      <c r="D7" s="170"/>
      <c r="E7" s="156"/>
    </row>
    <row r="8" spans="2:5" x14ac:dyDescent="0.25">
      <c r="B8" s="157"/>
      <c r="C8" s="170"/>
      <c r="D8" s="170"/>
      <c r="E8" s="156"/>
    </row>
    <row r="9" spans="2:5" x14ac:dyDescent="0.25">
      <c r="B9" s="157"/>
      <c r="E9" s="156"/>
    </row>
    <row r="10" spans="2:5" ht="31.5" x14ac:dyDescent="0.5">
      <c r="B10" s="157"/>
      <c r="C10" s="594" t="s">
        <v>1</v>
      </c>
      <c r="E10" s="156"/>
    </row>
    <row r="11" spans="2:5" ht="31.5" x14ac:dyDescent="0.25">
      <c r="B11" s="157"/>
      <c r="C11" s="326" t="s">
        <v>1205</v>
      </c>
      <c r="E11" s="156"/>
    </row>
    <row r="12" spans="2:5" ht="31.5" x14ac:dyDescent="0.25">
      <c r="B12" s="157"/>
      <c r="C12" s="326" t="s">
        <v>1206</v>
      </c>
      <c r="E12" s="156"/>
    </row>
    <row r="13" spans="2:5" ht="31.5" x14ac:dyDescent="0.25">
      <c r="B13" s="157"/>
      <c r="C13" s="326"/>
      <c r="E13" s="156"/>
    </row>
    <row r="14" spans="2:5" ht="26.25" x14ac:dyDescent="0.4">
      <c r="B14" s="157"/>
      <c r="C14" s="172" t="s">
        <v>1252</v>
      </c>
      <c r="E14" s="156"/>
    </row>
    <row r="15" spans="2:5" x14ac:dyDescent="0.25">
      <c r="B15" s="157"/>
      <c r="E15" s="156"/>
    </row>
    <row r="16" spans="2:5" ht="31.5" x14ac:dyDescent="0.25">
      <c r="B16" s="157"/>
      <c r="C16" s="326" t="s">
        <v>1253</v>
      </c>
      <c r="E16" s="156"/>
    </row>
    <row r="17" spans="2:5" ht="25.7" customHeight="1" x14ac:dyDescent="0.25">
      <c r="B17" s="157"/>
      <c r="E17" s="156"/>
    </row>
    <row r="18" spans="2:5" hidden="1" x14ac:dyDescent="0.25">
      <c r="B18" s="157"/>
      <c r="E18" s="156"/>
    </row>
    <row r="19" spans="2:5" hidden="1" x14ac:dyDescent="0.25">
      <c r="B19" s="157"/>
      <c r="E19" s="156"/>
    </row>
    <row r="20" spans="2:5" x14ac:dyDescent="0.25">
      <c r="B20" s="157"/>
      <c r="E20" s="156"/>
    </row>
    <row r="21" spans="2:5" x14ac:dyDescent="0.25">
      <c r="B21" s="157"/>
      <c r="C21" s="147" t="s">
        <v>2</v>
      </c>
      <c r="D21" s="997" t="s">
        <v>924</v>
      </c>
      <c r="E21" s="156"/>
    </row>
    <row r="22" spans="2:5" x14ac:dyDescent="0.25">
      <c r="B22" s="157"/>
      <c r="C22" s="630" t="s">
        <v>3</v>
      </c>
      <c r="D22" s="997" t="s">
        <v>1207</v>
      </c>
      <c r="E22" s="156"/>
    </row>
    <row r="23" spans="2:5" ht="45" x14ac:dyDescent="0.25">
      <c r="B23" s="157"/>
      <c r="C23" s="999" t="s">
        <v>4</v>
      </c>
      <c r="D23" s="997" t="s">
        <v>1263</v>
      </c>
      <c r="E23" s="156"/>
    </row>
    <row r="24" spans="2:5" x14ac:dyDescent="0.25">
      <c r="B24" s="157"/>
      <c r="C24" s="230" t="s">
        <v>5</v>
      </c>
      <c r="D24" s="997" t="s">
        <v>925</v>
      </c>
      <c r="E24" s="156"/>
    </row>
    <row r="25" spans="2:5" x14ac:dyDescent="0.25">
      <c r="B25" s="157"/>
      <c r="C25" s="158" t="s">
        <v>6</v>
      </c>
      <c r="D25" s="997" t="s">
        <v>1204</v>
      </c>
      <c r="E25" s="156"/>
    </row>
    <row r="26" spans="2:5" x14ac:dyDescent="0.25">
      <c r="B26" s="157"/>
      <c r="C26" s="147" t="s">
        <v>7</v>
      </c>
      <c r="D26" s="997" t="s">
        <v>926</v>
      </c>
      <c r="E26" s="156"/>
    </row>
    <row r="27" spans="2:5" x14ac:dyDescent="0.25">
      <c r="B27" s="157"/>
      <c r="C27" s="147" t="s">
        <v>8</v>
      </c>
      <c r="D27" s="997" t="s">
        <v>927</v>
      </c>
      <c r="E27" s="156"/>
    </row>
    <row r="28" spans="2:5" x14ac:dyDescent="0.25">
      <c r="B28" s="157"/>
      <c r="C28" s="147" t="s">
        <v>9</v>
      </c>
      <c r="D28" s="998" t="s">
        <v>928</v>
      </c>
      <c r="E28" s="156"/>
    </row>
    <row r="29" spans="2:5" x14ac:dyDescent="0.25">
      <c r="B29" s="158"/>
      <c r="C29" s="159"/>
      <c r="D29" s="159"/>
      <c r="E29" s="160"/>
    </row>
  </sheetData>
  <sheetProtection algorithmName="SHA-512" hashValue="7VRlC15fNUM5jzyp4klVHLUyj7tx7RHpVPbfn4WawglPsOOsefMcAeT4dZSAcRMw+VowigIODsyTUZz05PwFyw==" saltValue="2wX189npr0ZUoWJflWM/H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64" t="s">
        <v>10</v>
      </c>
      <c r="C2" s="362"/>
      <c r="D2" s="362"/>
      <c r="E2" s="362"/>
      <c r="F2" s="362"/>
      <c r="G2" s="362"/>
      <c r="H2" s="362"/>
      <c r="I2" s="362"/>
      <c r="J2" s="362"/>
      <c r="K2" s="362"/>
      <c r="L2" s="362"/>
      <c r="M2" s="362"/>
      <c r="N2" s="362"/>
      <c r="O2" s="362"/>
      <c r="P2" s="363"/>
    </row>
    <row r="5" spans="2:17" x14ac:dyDescent="0.25">
      <c r="B5" s="220" t="s">
        <v>11</v>
      </c>
      <c r="C5" s="381"/>
      <c r="D5" s="381"/>
      <c r="E5" s="381"/>
      <c r="F5" s="381"/>
      <c r="G5" s="381"/>
      <c r="H5" s="381"/>
      <c r="I5" s="381"/>
      <c r="J5" s="381"/>
      <c r="K5" s="381"/>
      <c r="L5" s="381"/>
      <c r="M5" s="381"/>
      <c r="N5" s="381"/>
      <c r="O5" s="381"/>
      <c r="P5" s="221"/>
    </row>
    <row r="6" spans="2:17" x14ac:dyDescent="0.25">
      <c r="B6" s="225" t="s">
        <v>12</v>
      </c>
      <c r="C6" s="218"/>
      <c r="D6" s="218"/>
      <c r="E6" s="218"/>
      <c r="F6" s="218"/>
      <c r="G6" s="218"/>
      <c r="H6" s="218"/>
      <c r="I6" s="218"/>
      <c r="J6" s="218"/>
      <c r="K6" s="218"/>
      <c r="L6" s="218"/>
      <c r="M6" s="218"/>
      <c r="N6" s="218"/>
      <c r="O6" s="218"/>
      <c r="P6" s="226"/>
    </row>
    <row r="7" spans="2:17" x14ac:dyDescent="0.25">
      <c r="B7" s="223" t="s">
        <v>13</v>
      </c>
      <c r="C7" s="222"/>
      <c r="D7" s="222"/>
      <c r="E7" s="222"/>
      <c r="F7" s="222"/>
      <c r="G7" s="222"/>
      <c r="H7" s="222"/>
      <c r="I7" s="222"/>
      <c r="J7" s="222"/>
      <c r="K7" s="222"/>
      <c r="L7" s="222"/>
      <c r="M7" s="222"/>
      <c r="N7" s="222"/>
      <c r="O7" s="222"/>
      <c r="P7" s="224"/>
    </row>
    <row r="9" spans="2:17" x14ac:dyDescent="0.25">
      <c r="N9" s="425"/>
      <c r="O9" s="425"/>
      <c r="P9" s="425"/>
    </row>
    <row r="10" spans="2:17" x14ac:dyDescent="0.25">
      <c r="B10" s="220"/>
      <c r="C10" s="381"/>
      <c r="D10" s="381"/>
      <c r="E10" s="381"/>
      <c r="F10" s="381"/>
      <c r="G10" s="381"/>
      <c r="H10" s="221"/>
      <c r="J10" s="220"/>
      <c r="K10" s="381"/>
      <c r="L10" s="381"/>
      <c r="M10" s="381"/>
      <c r="N10" s="218"/>
      <c r="O10" s="218"/>
      <c r="P10" s="218"/>
      <c r="Q10" s="157"/>
    </row>
    <row r="11" spans="2:17" ht="47.25" x14ac:dyDescent="0.25">
      <c r="B11" s="225"/>
      <c r="C11" s="349" t="s">
        <v>14</v>
      </c>
      <c r="D11" s="428"/>
      <c r="E11" s="349" t="s">
        <v>15</v>
      </c>
      <c r="F11" s="428"/>
      <c r="G11" s="424" t="s">
        <v>16</v>
      </c>
      <c r="H11" s="429"/>
      <c r="I11" s="350"/>
      <c r="J11" s="432"/>
      <c r="K11" s="351" t="s">
        <v>17</v>
      </c>
      <c r="L11" s="432"/>
      <c r="M11" s="351" t="s">
        <v>18</v>
      </c>
      <c r="N11" s="428"/>
      <c r="O11" s="351" t="s">
        <v>19</v>
      </c>
      <c r="P11" s="428"/>
      <c r="Q11" s="157"/>
    </row>
    <row r="12" spans="2:17" x14ac:dyDescent="0.25">
      <c r="B12" s="225"/>
      <c r="C12" s="218"/>
      <c r="D12" s="218"/>
      <c r="E12" s="218"/>
      <c r="F12" s="218"/>
      <c r="G12" s="218"/>
      <c r="H12" s="226"/>
      <c r="J12" s="225"/>
      <c r="K12" s="218"/>
      <c r="L12" s="218"/>
      <c r="M12" s="218"/>
      <c r="N12" s="218"/>
      <c r="O12" s="218"/>
      <c r="P12" s="218"/>
      <c r="Q12" s="157"/>
    </row>
    <row r="13" spans="2:17" ht="39.950000000000003" customHeight="1" x14ac:dyDescent="0.25">
      <c r="B13" s="225"/>
      <c r="C13" s="426"/>
      <c r="D13" s="191"/>
      <c r="E13" s="481" t="s">
        <v>20</v>
      </c>
      <c r="F13" s="191"/>
      <c r="G13" s="427"/>
      <c r="H13" s="226"/>
      <c r="J13" s="225"/>
      <c r="K13" s="426"/>
      <c r="L13" s="191"/>
      <c r="M13" s="482" t="s">
        <v>21</v>
      </c>
      <c r="N13" s="191"/>
      <c r="O13" s="427"/>
      <c r="P13" s="218"/>
      <c r="Q13" s="157"/>
    </row>
    <row r="14" spans="2:17" x14ac:dyDescent="0.25">
      <c r="B14" s="225"/>
      <c r="C14" s="218"/>
      <c r="D14" s="218"/>
      <c r="E14" s="218"/>
      <c r="F14" s="218"/>
      <c r="G14" s="218"/>
      <c r="H14" s="226"/>
      <c r="J14" s="225"/>
      <c r="K14" s="218"/>
      <c r="L14" s="218"/>
      <c r="M14" s="218"/>
      <c r="N14" s="218"/>
      <c r="O14" s="218"/>
      <c r="P14" s="218"/>
      <c r="Q14" s="157"/>
    </row>
    <row r="15" spans="2:17" ht="213.75" customHeight="1" x14ac:dyDescent="0.25">
      <c r="B15" s="225"/>
      <c r="C15" s="348" t="s">
        <v>22</v>
      </c>
      <c r="D15" s="430"/>
      <c r="E15" s="347" t="s">
        <v>23</v>
      </c>
      <c r="F15" s="430"/>
      <c r="G15" s="346" t="s">
        <v>24</v>
      </c>
      <c r="H15" s="431"/>
      <c r="I15" s="236"/>
      <c r="J15" s="433"/>
      <c r="K15" s="348" t="s">
        <v>25</v>
      </c>
      <c r="L15" s="433"/>
      <c r="M15" s="385" t="s">
        <v>26</v>
      </c>
      <c r="N15" s="430"/>
      <c r="O15" s="385" t="s">
        <v>27</v>
      </c>
      <c r="P15" s="430"/>
      <c r="Q15" s="157"/>
    </row>
    <row r="16" spans="2:17" x14ac:dyDescent="0.25">
      <c r="B16" s="223"/>
      <c r="C16" s="222"/>
      <c r="D16" s="222"/>
      <c r="E16" s="222"/>
      <c r="F16" s="222"/>
      <c r="G16" s="222"/>
      <c r="H16" s="224"/>
      <c r="J16" s="223"/>
      <c r="K16" s="222"/>
      <c r="L16" s="434"/>
      <c r="M16" s="434"/>
      <c r="N16" s="434"/>
      <c r="O16" s="434"/>
      <c r="P16" s="434"/>
      <c r="Q16" s="157"/>
    </row>
    <row r="19" spans="2:16" x14ac:dyDescent="0.25">
      <c r="B19" s="220"/>
      <c r="C19" s="381"/>
      <c r="D19" s="381"/>
      <c r="E19" s="381"/>
      <c r="F19" s="381"/>
      <c r="G19" s="381"/>
      <c r="H19" s="381"/>
      <c r="I19" s="381"/>
      <c r="J19" s="381"/>
      <c r="K19" s="381"/>
      <c r="L19" s="381"/>
      <c r="M19" s="381"/>
      <c r="N19" s="381"/>
      <c r="O19" s="381"/>
      <c r="P19" s="221"/>
    </row>
    <row r="20" spans="2:16" x14ac:dyDescent="0.25">
      <c r="B20" s="225" t="s">
        <v>28</v>
      </c>
      <c r="C20" s="218"/>
      <c r="D20" s="218"/>
      <c r="E20" s="218"/>
      <c r="F20" s="218"/>
      <c r="G20" s="218"/>
      <c r="H20" s="218"/>
      <c r="I20" s="218"/>
      <c r="J20" s="218"/>
      <c r="K20" s="218"/>
      <c r="L20" s="218"/>
      <c r="M20" s="218"/>
      <c r="N20" s="218"/>
      <c r="O20" s="218"/>
      <c r="P20" s="226"/>
    </row>
    <row r="21" spans="2:16" x14ac:dyDescent="0.25">
      <c r="B21" s="435" t="s">
        <v>29</v>
      </c>
      <c r="C21" s="218"/>
      <c r="D21" s="218"/>
      <c r="E21" s="218"/>
      <c r="F21" s="218"/>
      <c r="G21" s="218"/>
      <c r="H21" s="218"/>
      <c r="I21" s="218"/>
      <c r="J21" s="218"/>
      <c r="K21" s="218"/>
      <c r="L21" s="218"/>
      <c r="M21" s="218"/>
      <c r="N21" s="218"/>
      <c r="O21" s="218"/>
      <c r="P21" s="226"/>
    </row>
    <row r="22" spans="2:16" x14ac:dyDescent="0.25">
      <c r="B22" s="436" t="s">
        <v>30</v>
      </c>
      <c r="C22" s="218"/>
      <c r="D22" s="218"/>
      <c r="E22" s="218"/>
      <c r="F22" s="218"/>
      <c r="G22" s="218"/>
      <c r="H22" s="218"/>
      <c r="I22" s="218"/>
      <c r="J22" s="218"/>
      <c r="K22" s="218"/>
      <c r="L22" s="218"/>
      <c r="M22" s="218"/>
      <c r="N22" s="218"/>
      <c r="O22" s="218"/>
      <c r="P22" s="226"/>
    </row>
    <row r="23" spans="2:16" x14ac:dyDescent="0.25">
      <c r="B23" s="437" t="s">
        <v>31</v>
      </c>
      <c r="C23" s="218"/>
      <c r="D23" s="218"/>
      <c r="E23" s="218"/>
      <c r="F23" s="218"/>
      <c r="G23" s="218"/>
      <c r="H23" s="218"/>
      <c r="I23" s="218"/>
      <c r="J23" s="218"/>
      <c r="K23" s="218"/>
      <c r="L23" s="218"/>
      <c r="M23" s="218"/>
      <c r="N23" s="218"/>
      <c r="O23" s="218"/>
      <c r="P23" s="226"/>
    </row>
    <row r="24" spans="2:16" x14ac:dyDescent="0.25">
      <c r="B24" s="436" t="s">
        <v>32</v>
      </c>
      <c r="C24" s="218"/>
      <c r="D24" s="218"/>
      <c r="E24" s="218"/>
      <c r="F24" s="218"/>
      <c r="G24" s="218"/>
      <c r="H24" s="218"/>
      <c r="I24" s="218"/>
      <c r="J24" s="218"/>
      <c r="K24" s="218"/>
      <c r="L24" s="218"/>
      <c r="M24" s="218"/>
      <c r="N24" s="218"/>
      <c r="O24" s="218"/>
      <c r="P24" s="226"/>
    </row>
    <row r="25" spans="2:16" x14ac:dyDescent="0.25">
      <c r="B25" s="436" t="s">
        <v>33</v>
      </c>
      <c r="C25" s="218"/>
      <c r="D25" s="218"/>
      <c r="E25" s="218"/>
      <c r="F25" s="218"/>
      <c r="G25" s="218"/>
      <c r="H25" s="218"/>
      <c r="I25" s="218"/>
      <c r="J25" s="218"/>
      <c r="K25" s="218"/>
      <c r="L25" s="218"/>
      <c r="M25" s="218"/>
      <c r="N25" s="218"/>
      <c r="O25" s="218"/>
      <c r="P25" s="226"/>
    </row>
    <row r="26" spans="2:16" x14ac:dyDescent="0.25">
      <c r="B26" s="225"/>
      <c r="C26" s="218"/>
      <c r="D26" s="218"/>
      <c r="E26" s="218"/>
      <c r="F26" s="218"/>
      <c r="G26" s="218"/>
      <c r="H26" s="218"/>
      <c r="I26" s="218"/>
      <c r="J26" s="218"/>
      <c r="K26" s="218"/>
      <c r="L26" s="218"/>
      <c r="M26" s="218"/>
      <c r="N26" s="218"/>
      <c r="O26" s="218"/>
      <c r="P26" s="226"/>
    </row>
    <row r="27" spans="2:16" x14ac:dyDescent="0.25">
      <c r="B27" s="438" t="s">
        <v>923</v>
      </c>
      <c r="C27" s="218"/>
      <c r="D27" s="218"/>
      <c r="E27" s="218"/>
      <c r="F27" s="218"/>
      <c r="G27" s="218"/>
      <c r="H27" s="218"/>
      <c r="I27" s="218"/>
      <c r="J27" s="218"/>
      <c r="K27" s="218"/>
      <c r="L27" s="218"/>
      <c r="M27" s="218"/>
      <c r="N27" s="218"/>
      <c r="O27" s="218"/>
      <c r="P27" s="226"/>
    </row>
    <row r="28" spans="2:16" x14ac:dyDescent="0.25">
      <c r="B28" s="223"/>
      <c r="C28" s="222"/>
      <c r="D28" s="222"/>
      <c r="E28" s="222"/>
      <c r="F28" s="222"/>
      <c r="G28" s="222"/>
      <c r="H28" s="222"/>
      <c r="I28" s="222"/>
      <c r="J28" s="222"/>
      <c r="K28" s="222"/>
      <c r="L28" s="222"/>
      <c r="M28" s="222"/>
      <c r="N28" s="222"/>
      <c r="O28" s="222"/>
      <c r="P28" s="224"/>
    </row>
  </sheetData>
  <sheetProtection algorithmName="SHA-512" hashValue="j6EVgtvtoYLYe+KQ47YkW6PZoe0nPb/+Oi9RsLWwZl2OT6fIZq1GALy5RCKTPkjrFCUrLV/pHdoxtNta1NjSGQ==" saltValue="1R04O+ADwv6HwbN6TeFxFA=="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A1:EF178"/>
  <sheetViews>
    <sheetView showGridLines="0" zoomScale="80" zoomScaleNormal="80" workbookViewId="0"/>
  </sheetViews>
  <sheetFormatPr defaultRowHeight="15" x14ac:dyDescent="0.25"/>
  <cols>
    <col min="1" max="1" width="2.42578125" customWidth="1"/>
    <col min="2" max="2" width="5.85546875" customWidth="1"/>
    <col min="3" max="3" width="83.85546875" customWidth="1"/>
    <col min="4" max="4" width="21.140625" customWidth="1"/>
    <col min="5" max="5" width="18" customWidth="1"/>
    <col min="6" max="6" width="17.140625" customWidth="1"/>
    <col min="7" max="7" width="20.42578125" customWidth="1"/>
    <col min="8" max="8" width="18.7109375" customWidth="1"/>
    <col min="9" max="10" width="16.85546875" customWidth="1"/>
    <col min="11" max="11" width="25.5703125" customWidth="1"/>
    <col min="12" max="12" width="13.7109375" customWidth="1"/>
    <col min="13" max="13" width="11.28515625" customWidth="1"/>
    <col min="14" max="18" width="13.42578125" customWidth="1"/>
    <col min="19" max="19" width="3.42578125" customWidth="1"/>
    <col min="22" max="22" width="25.5703125" customWidth="1"/>
    <col min="24" max="24" width="20.85546875" customWidth="1"/>
  </cols>
  <sheetData>
    <row r="1" spans="2:24" ht="30" customHeight="1" x14ac:dyDescent="0.25">
      <c r="B1" s="326" t="s">
        <v>1227</v>
      </c>
    </row>
    <row r="2" spans="2:24" ht="30" customHeight="1" x14ac:dyDescent="0.25">
      <c r="B2" s="152" t="s">
        <v>653</v>
      </c>
      <c r="C2" s="152"/>
      <c r="D2" s="151"/>
      <c r="E2" s="168"/>
      <c r="F2" s="151"/>
      <c r="G2" s="151"/>
      <c r="H2" s="151"/>
      <c r="I2" s="151"/>
      <c r="J2" s="151"/>
      <c r="K2" s="151"/>
      <c r="L2" s="151"/>
      <c r="M2" s="151"/>
      <c r="N2" s="151"/>
      <c r="O2" s="151"/>
      <c r="P2" s="151"/>
      <c r="Q2" s="151"/>
      <c r="R2" s="151"/>
      <c r="S2" s="151"/>
      <c r="T2" s="151"/>
      <c r="U2" s="151"/>
      <c r="V2" s="151"/>
      <c r="W2" s="151"/>
      <c r="X2" s="151"/>
    </row>
    <row r="4" spans="2:24" x14ac:dyDescent="0.25">
      <c r="B4" s="153" t="s">
        <v>654</v>
      </c>
      <c r="C4" s="309"/>
      <c r="D4" s="309"/>
      <c r="E4" s="309"/>
      <c r="F4" s="309"/>
      <c r="G4" s="309"/>
      <c r="H4" s="309"/>
      <c r="I4" s="309"/>
      <c r="J4" s="309"/>
      <c r="K4" s="309"/>
      <c r="L4" s="309"/>
      <c r="M4" s="309"/>
      <c r="N4" s="309"/>
      <c r="O4" s="309"/>
      <c r="P4" s="309"/>
      <c r="Q4" s="309"/>
      <c r="R4" s="309"/>
      <c r="S4" s="154"/>
    </row>
    <row r="5" spans="2:24" x14ac:dyDescent="0.25">
      <c r="B5" s="157"/>
      <c r="C5" t="s">
        <v>655</v>
      </c>
      <c r="S5" s="156"/>
    </row>
    <row r="6" spans="2:24" x14ac:dyDescent="0.25">
      <c r="B6" s="157"/>
      <c r="C6" t="s">
        <v>656</v>
      </c>
      <c r="S6" s="156"/>
    </row>
    <row r="7" spans="2:24" x14ac:dyDescent="0.25">
      <c r="B7" s="157"/>
      <c r="C7" t="s">
        <v>657</v>
      </c>
      <c r="S7" s="156"/>
    </row>
    <row r="8" spans="2:24" x14ac:dyDescent="0.25">
      <c r="B8" s="158"/>
      <c r="C8" s="159"/>
      <c r="D8" s="159"/>
      <c r="E8" s="159"/>
      <c r="F8" s="159"/>
      <c r="G8" s="159"/>
      <c r="H8" s="159"/>
      <c r="I8" s="159"/>
      <c r="J8" s="159"/>
      <c r="K8" s="159"/>
      <c r="L8" s="159"/>
      <c r="M8" s="159"/>
      <c r="N8" s="159"/>
      <c r="O8" s="159"/>
      <c r="P8" s="159"/>
      <c r="Q8" s="159"/>
      <c r="R8" s="159"/>
      <c r="S8" s="156"/>
    </row>
    <row r="9" spans="2:24" x14ac:dyDescent="0.25">
      <c r="S9" s="191"/>
    </row>
    <row r="10" spans="2:24" x14ac:dyDescent="0.25">
      <c r="B10" s="153" t="s">
        <v>658</v>
      </c>
      <c r="C10" s="309"/>
      <c r="D10" s="309"/>
      <c r="E10" s="309"/>
      <c r="F10" s="309"/>
      <c r="G10" s="309"/>
      <c r="H10" s="309"/>
      <c r="I10" s="309"/>
      <c r="J10" s="309"/>
      <c r="K10" s="309"/>
      <c r="L10" s="309"/>
      <c r="M10" s="309"/>
      <c r="N10" s="309"/>
      <c r="O10" s="309"/>
      <c r="P10" s="309"/>
      <c r="Q10" s="309"/>
      <c r="R10" s="309"/>
      <c r="S10" s="156"/>
    </row>
    <row r="11" spans="2:24" x14ac:dyDescent="0.25">
      <c r="B11" s="155"/>
      <c r="C11" t="s">
        <v>659</v>
      </c>
      <c r="E11" s="148" t="s">
        <v>55</v>
      </c>
      <c r="S11" s="156"/>
    </row>
    <row r="12" spans="2:24" x14ac:dyDescent="0.25">
      <c r="B12" s="155"/>
      <c r="C12" t="s">
        <v>75</v>
      </c>
      <c r="E12" s="148" t="s">
        <v>94</v>
      </c>
      <c r="G12" s="126">
        <f>'Population selection'!F14</f>
        <v>49287976</v>
      </c>
      <c r="H12" t="str">
        <f>C25&amp;" population based on selection on left using mid-2022 ONS data"</f>
        <v>People aged 12 years and over  population based on selection on left using mid-2022 ONS data</v>
      </c>
      <c r="S12" s="156"/>
    </row>
    <row r="13" spans="2:24" x14ac:dyDescent="0.25">
      <c r="B13" s="155"/>
      <c r="E13" s="573"/>
      <c r="G13" s="579">
        <f>2.05533586601874%</f>
        <v>2.0553358660187402E-2</v>
      </c>
      <c r="H13" t="s">
        <v>660</v>
      </c>
      <c r="S13" s="156"/>
    </row>
    <row r="14" spans="2:24" x14ac:dyDescent="0.25">
      <c r="B14" s="155"/>
      <c r="C14" s="146"/>
      <c r="G14" s="126">
        <f>(100%+G13)*G12</f>
        <v>50301009.448362708</v>
      </c>
      <c r="H14" t="s">
        <v>661</v>
      </c>
      <c r="S14" s="156"/>
    </row>
    <row r="15" spans="2:24" x14ac:dyDescent="0.25">
      <c r="B15" s="157"/>
      <c r="C15" t="s">
        <v>662</v>
      </c>
      <c r="E15" s="580" t="s">
        <v>53</v>
      </c>
      <c r="F15" s="167" t="str">
        <f>IF(E15="yes","","If no, enter current locality population below")</f>
        <v/>
      </c>
      <c r="S15" s="156"/>
    </row>
    <row r="16" spans="2:24" x14ac:dyDescent="0.25">
      <c r="B16" s="157"/>
      <c r="F16" s="167" t="str">
        <f>IF(AND(NOT(ISBLANK(E17)),E15="yes"),"error - change cell above to 'no'","")</f>
        <v/>
      </c>
      <c r="S16" s="156"/>
    </row>
    <row r="17" spans="2:24" x14ac:dyDescent="0.25">
      <c r="B17" s="157"/>
      <c r="C17" t="str">
        <f>"Manually entered current locality population "&amp;IF(E15="no","","(n/a)")</f>
        <v>Manually entered current locality population (n/a)</v>
      </c>
      <c r="E17" s="581"/>
      <c r="F17" s="595" t="str">
        <f>IF(E15="yes","Leave blue cell on left blank if NICE estimate is used","")</f>
        <v>Leave blue cell on left blank if NICE estimate is used</v>
      </c>
      <c r="S17" s="156"/>
    </row>
    <row r="18" spans="2:24" x14ac:dyDescent="0.25">
      <c r="B18" s="157"/>
      <c r="F18" s="167" t="str">
        <f>IF(AND(ISBLANK(E17),E15="no"),"error - enter current locality population above","")</f>
        <v/>
      </c>
      <c r="S18" s="156"/>
    </row>
    <row r="19" spans="2:24" x14ac:dyDescent="0.25">
      <c r="B19" s="157"/>
      <c r="C19" t="s">
        <v>663</v>
      </c>
      <c r="D19" s="149"/>
      <c r="E19" s="579">
        <v>9.6418074639288403E-3</v>
      </c>
      <c r="F19" t="str">
        <f>IF(E19=0.00964180746392884,"Enter local value or delete the NICE assumption if required","Local value")</f>
        <v>Enter local value or delete the NICE assumption if required</v>
      </c>
      <c r="S19" s="156"/>
    </row>
    <row r="20" spans="2:24" x14ac:dyDescent="0.25">
      <c r="B20" s="157"/>
      <c r="C20" t="s">
        <v>664</v>
      </c>
      <c r="D20" s="520"/>
      <c r="E20" s="579">
        <v>0</v>
      </c>
      <c r="F20" t="str">
        <f>IF(E20=0,"Enter local value or delete the NICE assumption if required","Local value")</f>
        <v>Enter local value or delete the NICE assumption if required</v>
      </c>
      <c r="S20" s="156"/>
    </row>
    <row r="21" spans="2:24" x14ac:dyDescent="0.25">
      <c r="B21" s="158"/>
      <c r="C21" s="159"/>
      <c r="D21" s="159"/>
      <c r="E21" s="159"/>
      <c r="F21" s="159"/>
      <c r="G21" s="159"/>
      <c r="H21" s="159"/>
      <c r="I21" s="159"/>
      <c r="J21" s="159"/>
      <c r="K21" s="159"/>
      <c r="L21" s="159"/>
      <c r="M21" s="159"/>
      <c r="N21" s="159"/>
      <c r="O21" s="159"/>
      <c r="P21" s="159"/>
      <c r="Q21" s="159"/>
      <c r="R21" s="159"/>
      <c r="S21" s="160"/>
    </row>
    <row r="23" spans="2:24" x14ac:dyDescent="0.25">
      <c r="B23" s="153" t="s">
        <v>665</v>
      </c>
      <c r="C23" s="309"/>
      <c r="D23" s="309"/>
      <c r="E23" s="309"/>
      <c r="F23" s="309"/>
      <c r="G23" s="309"/>
      <c r="H23" s="309"/>
      <c r="I23" s="309"/>
      <c r="J23" s="309"/>
      <c r="K23" s="309"/>
      <c r="L23" s="309"/>
      <c r="M23" s="309"/>
      <c r="N23" s="309"/>
      <c r="O23" s="309"/>
      <c r="P23" s="309"/>
      <c r="Q23" s="309"/>
      <c r="R23" s="309"/>
      <c r="S23" s="309"/>
      <c r="T23" s="309"/>
      <c r="U23" s="309"/>
      <c r="V23" s="309"/>
      <c r="W23" s="309"/>
      <c r="X23" s="154"/>
    </row>
    <row r="24" spans="2:24" ht="84.95" customHeight="1" x14ac:dyDescent="0.25">
      <c r="B24" s="155"/>
      <c r="F24" s="232" t="s">
        <v>666</v>
      </c>
      <c r="G24" s="162" t="s">
        <v>667</v>
      </c>
      <c r="H24" s="220" t="s">
        <v>668</v>
      </c>
      <c r="I24" s="381"/>
      <c r="J24" s="381"/>
      <c r="K24" s="381"/>
      <c r="L24" s="381"/>
      <c r="M24" s="381"/>
      <c r="N24" s="381"/>
      <c r="O24" s="381"/>
      <c r="P24" s="381"/>
      <c r="Q24" s="381"/>
      <c r="R24" s="381"/>
      <c r="S24" s="381"/>
      <c r="T24" s="381"/>
      <c r="U24" s="381"/>
      <c r="V24" s="381"/>
      <c r="W24" s="381"/>
      <c r="X24" s="221"/>
    </row>
    <row r="25" spans="2:24" x14ac:dyDescent="0.25">
      <c r="B25" s="155"/>
      <c r="C25" s="231" t="s">
        <v>929</v>
      </c>
      <c r="D25" s="234"/>
      <c r="E25" s="165"/>
      <c r="F25" s="126">
        <f>IF(ISBLANK(E17),G14,'Population selection'!F16)</f>
        <v>50301009.448362708</v>
      </c>
      <c r="G25" s="233"/>
      <c r="H25" s="230" t="s">
        <v>669</v>
      </c>
      <c r="I25" s="191"/>
      <c r="J25" s="191"/>
      <c r="K25" s="191"/>
      <c r="L25" s="191"/>
      <c r="M25" s="191"/>
      <c r="N25" s="191"/>
      <c r="O25" s="191"/>
      <c r="P25" s="191"/>
      <c r="Q25" s="191"/>
      <c r="R25" s="191"/>
      <c r="S25" s="191"/>
      <c r="T25" s="191"/>
      <c r="U25" s="191"/>
      <c r="V25" s="191"/>
      <c r="W25" s="191"/>
      <c r="X25" s="165"/>
    </row>
    <row r="26" spans="2:24" x14ac:dyDescent="0.25">
      <c r="B26" s="155"/>
      <c r="C26" s="574" t="s">
        <v>930</v>
      </c>
      <c r="D26" s="235"/>
      <c r="E26" s="165"/>
      <c r="F26" s="202"/>
      <c r="G26" s="126">
        <f>K43</f>
        <v>52773187.795991734</v>
      </c>
      <c r="H26" s="230" t="s">
        <v>669</v>
      </c>
      <c r="I26" s="159"/>
      <c r="J26" s="159"/>
      <c r="K26" s="159"/>
      <c r="L26" s="159"/>
      <c r="M26" s="159"/>
      <c r="N26" s="159"/>
      <c r="O26" s="159"/>
      <c r="P26" s="159"/>
      <c r="Q26" s="159"/>
      <c r="R26" s="159"/>
      <c r="S26" s="159"/>
      <c r="T26" s="159"/>
      <c r="U26" s="159"/>
      <c r="V26" s="159"/>
      <c r="W26" s="159"/>
      <c r="X26" s="160"/>
    </row>
    <row r="27" spans="2:24" x14ac:dyDescent="0.25">
      <c r="B27" s="157"/>
      <c r="C27" s="711" t="s">
        <v>934</v>
      </c>
      <c r="D27" s="165"/>
      <c r="E27" s="579">
        <v>2.340764840986258E-4</v>
      </c>
      <c r="F27" s="582">
        <f>F25*E27</f>
        <v>11774.283438284499</v>
      </c>
      <c r="G27" s="582">
        <f>G26*E27</f>
        <v>12352.962253962252</v>
      </c>
      <c r="H27" s="139" t="s">
        <v>936</v>
      </c>
      <c r="I27" s="191"/>
      <c r="J27" s="191"/>
      <c r="K27" s="191"/>
      <c r="L27" s="191"/>
      <c r="M27" s="191"/>
      <c r="N27" s="191"/>
      <c r="O27" s="191"/>
      <c r="P27" s="191"/>
      <c r="Q27" s="191"/>
      <c r="R27" s="191"/>
      <c r="S27" s="191"/>
      <c r="T27" s="191"/>
      <c r="U27" s="191"/>
      <c r="V27" s="191"/>
      <c r="W27" s="338" t="s">
        <v>935</v>
      </c>
      <c r="X27" s="165"/>
    </row>
    <row r="28" spans="2:24" x14ac:dyDescent="0.25">
      <c r="B28" s="157"/>
      <c r="C28" s="230" t="s">
        <v>1208</v>
      </c>
      <c r="D28" s="165"/>
      <c r="E28" s="579">
        <v>0.70008619999999999</v>
      </c>
      <c r="F28" s="582">
        <f>E28*F27</f>
        <v>8243.0133500315296</v>
      </c>
      <c r="G28" s="582">
        <f>E28*G27</f>
        <v>8648.1384031198686</v>
      </c>
      <c r="H28" s="712" t="s">
        <v>937</v>
      </c>
      <c r="I28" s="713"/>
      <c r="J28" s="713"/>
      <c r="K28" s="713"/>
      <c r="L28" s="713"/>
      <c r="M28" s="713"/>
      <c r="N28" s="713"/>
      <c r="O28" s="713"/>
      <c r="P28" s="713"/>
      <c r="Q28" s="338" t="s">
        <v>938</v>
      </c>
      <c r="R28" s="713"/>
      <c r="S28" s="713"/>
      <c r="T28" s="713"/>
      <c r="U28" s="713"/>
      <c r="V28" s="713"/>
      <c r="W28" s="713"/>
      <c r="X28" s="714"/>
    </row>
    <row r="29" spans="2:24" ht="14.65" customHeight="1" x14ac:dyDescent="0.25">
      <c r="B29" s="157"/>
      <c r="C29" s="952" t="s">
        <v>1209</v>
      </c>
      <c r="D29" s="165"/>
      <c r="E29" s="579">
        <v>0.47499999999999998</v>
      </c>
      <c r="F29" s="582">
        <f>E29*F28</f>
        <v>3915.4313412649763</v>
      </c>
      <c r="G29" s="582">
        <f>E29*G28</f>
        <v>4107.8657414819372</v>
      </c>
      <c r="H29" s="712" t="s">
        <v>1229</v>
      </c>
      <c r="I29" s="938"/>
      <c r="K29" s="938"/>
      <c r="M29" s="938"/>
      <c r="N29" s="338" t="s">
        <v>1228</v>
      </c>
      <c r="O29" s="938"/>
      <c r="P29" s="938"/>
      <c r="Q29" s="938"/>
      <c r="R29" s="938"/>
      <c r="S29" s="938"/>
      <c r="T29" s="938"/>
      <c r="U29" s="938"/>
      <c r="V29" s="938"/>
      <c r="W29" s="938"/>
      <c r="X29" s="939"/>
    </row>
    <row r="30" spans="2:24" x14ac:dyDescent="0.25">
      <c r="B30" s="157"/>
      <c r="C30" s="164" t="s">
        <v>1210</v>
      </c>
      <c r="D30" s="165"/>
      <c r="E30" s="579">
        <v>0.53900000000000003</v>
      </c>
      <c r="F30" s="582">
        <f>E30*F29</f>
        <v>2110.4174929418223</v>
      </c>
      <c r="G30" s="582">
        <f>E30*G29</f>
        <v>2214.1396346587644</v>
      </c>
      <c r="H30" s="715" t="s">
        <v>940</v>
      </c>
      <c r="I30" s="191"/>
      <c r="J30" s="191"/>
      <c r="K30" s="191"/>
      <c r="L30" s="191"/>
      <c r="M30" s="191"/>
      <c r="N30" s="191"/>
      <c r="O30" s="191"/>
      <c r="P30" s="191"/>
      <c r="Q30" s="191"/>
      <c r="R30" s="191"/>
      <c r="S30" s="191"/>
      <c r="T30" s="191"/>
      <c r="U30" s="191"/>
      <c r="V30" s="191"/>
      <c r="W30" s="191"/>
      <c r="X30" s="165"/>
    </row>
    <row r="31" spans="2:24" ht="14.85" customHeight="1" x14ac:dyDescent="0.25">
      <c r="B31" s="157"/>
      <c r="C31" s="379" t="s">
        <v>939</v>
      </c>
      <c r="D31" s="165"/>
      <c r="E31" s="716">
        <v>0.85</v>
      </c>
      <c r="F31" s="317">
        <f>E31*F30</f>
        <v>1793.8548690005489</v>
      </c>
      <c r="G31" s="317">
        <f>E31*G30</f>
        <v>1882.0186894599497</v>
      </c>
      <c r="H31" s="230" t="s">
        <v>1211</v>
      </c>
      <c r="I31" s="191"/>
      <c r="J31" s="191"/>
      <c r="K31" s="191"/>
      <c r="L31" s="191"/>
      <c r="M31" s="191"/>
      <c r="N31" s="191"/>
      <c r="O31" s="191"/>
      <c r="P31" s="191"/>
      <c r="Q31" s="191"/>
      <c r="R31" s="191"/>
      <c r="S31" s="191"/>
      <c r="T31" s="191"/>
      <c r="U31" s="191"/>
      <c r="V31" s="191"/>
      <c r="W31" s="191"/>
      <c r="X31" s="165"/>
    </row>
    <row r="32" spans="2:24" x14ac:dyDescent="0.25">
      <c r="B32" s="157"/>
      <c r="C32" s="219" t="s">
        <v>670</v>
      </c>
      <c r="D32" s="191"/>
      <c r="E32" s="327"/>
      <c r="F32" s="177">
        <f>F31</f>
        <v>1793.8548690005489</v>
      </c>
      <c r="G32" s="177">
        <f>G31</f>
        <v>1882.0186894599497</v>
      </c>
      <c r="H32" s="194"/>
      <c r="I32" s="191"/>
      <c r="J32" s="191"/>
      <c r="K32" s="191"/>
      <c r="L32" s="191"/>
      <c r="M32" s="191"/>
      <c r="N32" s="191"/>
      <c r="O32" s="191"/>
      <c r="P32" s="191"/>
      <c r="Q32" s="191"/>
      <c r="R32" s="191"/>
      <c r="S32" s="191"/>
      <c r="T32" s="191"/>
      <c r="U32" s="191"/>
      <c r="V32" s="191"/>
      <c r="W32" s="191"/>
      <c r="X32" s="165"/>
    </row>
    <row r="33" spans="2:25" x14ac:dyDescent="0.25">
      <c r="B33" s="157"/>
      <c r="C33" s="342"/>
      <c r="E33" s="343"/>
      <c r="F33" s="344"/>
      <c r="G33" s="344"/>
      <c r="H33" s="185"/>
      <c r="X33" s="156"/>
    </row>
    <row r="34" spans="2:25" x14ac:dyDescent="0.25">
      <c r="B34" s="157"/>
      <c r="C34" t="s">
        <v>671</v>
      </c>
      <c r="F34" s="580" t="s">
        <v>53</v>
      </c>
      <c r="G34" s="344"/>
      <c r="H34" s="185"/>
      <c r="X34" s="156"/>
    </row>
    <row r="35" spans="2:25" x14ac:dyDescent="0.25">
      <c r="B35" s="157"/>
      <c r="C35" s="342"/>
      <c r="E35" s="343"/>
      <c r="F35" s="344"/>
      <c r="G35" s="344"/>
      <c r="H35" s="185"/>
      <c r="X35" s="156"/>
    </row>
    <row r="36" spans="2:25" x14ac:dyDescent="0.25">
      <c r="B36" s="157"/>
      <c r="C36" t="str">
        <f>"Manually entered current eligible population "&amp;IF(F34="no","","(n/a)")</f>
        <v>Manually entered current eligible population (n/a)</v>
      </c>
      <c r="F36" s="583"/>
      <c r="G36" s="592" t="str">
        <f>IF(F34="yes","Leave blue cell on left blank if NICE estimate is used","local value")</f>
        <v>Leave blue cell on left blank if NICE estimate is used</v>
      </c>
      <c r="X36" s="156"/>
    </row>
    <row r="37" spans="2:25" x14ac:dyDescent="0.25">
      <c r="B37" s="157"/>
      <c r="F37" s="776"/>
      <c r="G37" s="595"/>
      <c r="X37" s="156"/>
    </row>
    <row r="38" spans="2:25" x14ac:dyDescent="0.25">
      <c r="B38" s="157"/>
      <c r="C38" t="s">
        <v>1212</v>
      </c>
      <c r="F38" s="777">
        <v>0.8</v>
      </c>
      <c r="G38" s="241" t="s">
        <v>1021</v>
      </c>
      <c r="X38" s="156"/>
    </row>
    <row r="39" spans="2:25" x14ac:dyDescent="0.25">
      <c r="B39" s="157"/>
      <c r="G39" s="523"/>
      <c r="X39" s="156"/>
    </row>
    <row r="40" spans="2:25" ht="30" x14ac:dyDescent="0.25">
      <c r="B40" s="157"/>
      <c r="C40" s="159"/>
      <c r="F40" s="228" t="s">
        <v>666</v>
      </c>
      <c r="G40" s="162" t="s">
        <v>672</v>
      </c>
      <c r="H40" s="162" t="s">
        <v>673</v>
      </c>
      <c r="I40" s="229" t="s">
        <v>674</v>
      </c>
      <c r="J40" s="162" t="s">
        <v>675</v>
      </c>
      <c r="K40" s="162" t="s">
        <v>676</v>
      </c>
      <c r="L40" s="524"/>
      <c r="M40" s="524"/>
      <c r="N40" s="524"/>
      <c r="O40" s="524"/>
      <c r="P40" s="524"/>
      <c r="Q40" s="524"/>
      <c r="X40" s="156"/>
    </row>
    <row r="41" spans="2:25" x14ac:dyDescent="0.25">
      <c r="B41" s="157"/>
      <c r="C41" s="230" t="s">
        <v>677</v>
      </c>
      <c r="D41" s="191"/>
      <c r="E41" s="165"/>
      <c r="F41" s="202"/>
      <c r="G41" s="334">
        <f>IF(E19&lt;&gt;"",E19+100%,100%)</f>
        <v>1.0096418074639288</v>
      </c>
      <c r="H41" s="334">
        <f>IF($E$19&lt;&gt;"",G41*(100%+$E$19),100%)</f>
        <v>1.0193765793790293</v>
      </c>
      <c r="I41" s="334">
        <f>IF($E$19&lt;&gt;"",H41*(100%+$E$19),100%)</f>
        <v>1.0292052120906403</v>
      </c>
      <c r="J41" s="334">
        <f>IF($E$19&lt;&gt;"",I41*(100%+$E$19),100%)</f>
        <v>1.0391286105864903</v>
      </c>
      <c r="K41" s="334">
        <f>IF($E$19&lt;&gt;"",J41*(100%+$E$19),100%)</f>
        <v>1.0491476885800251</v>
      </c>
      <c r="L41" t="s">
        <v>678</v>
      </c>
      <c r="M41" s="517"/>
      <c r="N41" s="517"/>
      <c r="O41" s="517"/>
      <c r="P41" s="517"/>
      <c r="Q41" s="517"/>
      <c r="X41" s="156"/>
    </row>
    <row r="42" spans="2:25" x14ac:dyDescent="0.25">
      <c r="B42" s="157"/>
      <c r="C42" s="230" t="s">
        <v>679</v>
      </c>
      <c r="D42" s="191"/>
      <c r="E42" s="165"/>
      <c r="F42" s="202"/>
      <c r="G42" s="334">
        <f>IF(E20&lt;&gt;"",E20+100%,100%)</f>
        <v>1</v>
      </c>
      <c r="H42" s="334">
        <f>IF($E$20&lt;&gt;"",G42*(100%+$E$20),100%)</f>
        <v>1</v>
      </c>
      <c r="I42" s="334">
        <f>IF($E$20&lt;&gt;"",H42*(100%+$E$20),100%)</f>
        <v>1</v>
      </c>
      <c r="J42" s="334">
        <f>IF($E$20&lt;&gt;"",I42*(100%+$E$20),100%)</f>
        <v>1</v>
      </c>
      <c r="K42" s="334">
        <f>IF($E$20&lt;&gt;"",J42*(100%+$E$20),100%)</f>
        <v>1</v>
      </c>
      <c r="L42" t="s">
        <v>678</v>
      </c>
      <c r="M42" s="517"/>
      <c r="N42" s="517"/>
      <c r="O42" s="517"/>
      <c r="P42" s="517"/>
      <c r="Q42" s="517"/>
      <c r="X42" s="156"/>
    </row>
    <row r="43" spans="2:25" x14ac:dyDescent="0.25">
      <c r="B43" s="157"/>
      <c r="C43" s="379" t="str">
        <f>IF('Inputs and eligible population'!E17=0,"Baseline population (inflated by growth(s))","Manually entered locality population (inflated by growth(s))")</f>
        <v>Baseline population (inflated by growth(s))</v>
      </c>
      <c r="D43" s="191"/>
      <c r="E43" s="165"/>
      <c r="F43" s="126">
        <f>IF(ISBLANK(E17),G14,'Population selection'!F16)</f>
        <v>50301009.448362708</v>
      </c>
      <c r="G43" s="126">
        <f>F43*G41</f>
        <v>50786002.096705087</v>
      </c>
      <c r="H43" s="126">
        <f>F43*H41</f>
        <v>51275670.950784206</v>
      </c>
      <c r="I43" s="126">
        <f>F43*I41</f>
        <v>51770061.097675443</v>
      </c>
      <c r="J43" s="126">
        <f>F43*J41</f>
        <v>52269218.059175059</v>
      </c>
      <c r="K43" s="126">
        <f>F43*K41</f>
        <v>52773187.795991734</v>
      </c>
      <c r="M43" s="278"/>
      <c r="N43" s="278"/>
      <c r="O43" s="278"/>
      <c r="P43" s="278"/>
      <c r="Q43" s="278"/>
      <c r="X43" s="156"/>
    </row>
    <row r="44" spans="2:25" x14ac:dyDescent="0.25">
      <c r="B44" s="157"/>
      <c r="C44" s="219" t="str">
        <f>IF(ISBLANK(F$36),"Eligible population, NICE estimate","Eligible population, local estimate")</f>
        <v>Eligible population, NICE estimate</v>
      </c>
      <c r="D44" s="191" t="s">
        <v>1022</v>
      </c>
      <c r="E44" s="165"/>
      <c r="F44" s="177">
        <f>IF(ISBLANK(F36),F32*(1-F38),F36*(1-F38))</f>
        <v>358.77097380010969</v>
      </c>
      <c r="G44" s="177">
        <f>$F$44*G41*G42</f>
        <v>362.23017445313661</v>
      </c>
      <c r="H44" s="177">
        <f t="shared" ref="H44:K44" si="0">$F$44*H41*H42</f>
        <v>365.72272805283916</v>
      </c>
      <c r="I44" s="177">
        <f t="shared" si="0"/>
        <v>369.24895618190743</v>
      </c>
      <c r="J44" s="177">
        <f t="shared" si="0"/>
        <v>372.80918352367007</v>
      </c>
      <c r="K44" s="177">
        <f t="shared" si="0"/>
        <v>376.40373789198981</v>
      </c>
      <c r="L44" s="167" t="str">
        <f>IF(F34="no","local estimate used","")</f>
        <v/>
      </c>
      <c r="M44" s="344"/>
      <c r="N44" s="344"/>
      <c r="O44" s="344"/>
      <c r="P44" s="344"/>
      <c r="Q44" s="344"/>
      <c r="X44" s="156"/>
    </row>
    <row r="45" spans="2:25" x14ac:dyDescent="0.25">
      <c r="B45" s="157"/>
      <c r="C45" s="778" t="str">
        <f>IF(ISBLANK(F$36),"Eligible population, NICE estimate","Eligible population, local estimate")</f>
        <v>Eligible population, NICE estimate</v>
      </c>
      <c r="D45" s="717" t="s">
        <v>1023</v>
      </c>
      <c r="E45" s="154"/>
      <c r="F45" s="177">
        <f>IF(ISBLANK(F36),F32*F38,F36*F38)</f>
        <v>1435.0838952004392</v>
      </c>
      <c r="G45" s="177">
        <f>$F$45*G41*G42</f>
        <v>1448.9206978125469</v>
      </c>
      <c r="H45" s="177">
        <f t="shared" ref="H45:K45" si="1">$F$45*H41*H42</f>
        <v>1462.8909122113571</v>
      </c>
      <c r="I45" s="177">
        <f t="shared" si="1"/>
        <v>1476.9958247276302</v>
      </c>
      <c r="J45" s="177">
        <f t="shared" si="1"/>
        <v>1491.236734094681</v>
      </c>
      <c r="K45" s="177">
        <f t="shared" si="1"/>
        <v>1505.6149515679597</v>
      </c>
      <c r="L45" s="167"/>
      <c r="M45" s="344"/>
      <c r="N45" s="344"/>
      <c r="O45" s="344"/>
      <c r="P45" s="344"/>
      <c r="Q45" s="344"/>
      <c r="X45" s="156"/>
    </row>
    <row r="46" spans="2:25" x14ac:dyDescent="0.25">
      <c r="B46" s="157"/>
      <c r="C46" s="779"/>
      <c r="D46" s="717"/>
      <c r="E46" s="717"/>
      <c r="F46" s="177">
        <f>SUM(F44:F45)</f>
        <v>1793.8548690005489</v>
      </c>
      <c r="G46" s="177">
        <f t="shared" ref="G46:K46" si="2">SUM(G44:G45)</f>
        <v>1811.1508722656836</v>
      </c>
      <c r="H46" s="177">
        <f t="shared" si="2"/>
        <v>1828.6136402641962</v>
      </c>
      <c r="I46" s="177">
        <f t="shared" si="2"/>
        <v>1846.2447809095377</v>
      </c>
      <c r="J46" s="177">
        <f t="shared" si="2"/>
        <v>1864.045917618351</v>
      </c>
      <c r="K46" s="177">
        <f t="shared" si="2"/>
        <v>1882.0186894599494</v>
      </c>
      <c r="L46" s="167"/>
      <c r="M46" s="344"/>
      <c r="N46" s="344"/>
      <c r="O46" s="344"/>
      <c r="P46" s="344"/>
      <c r="Q46" s="344"/>
      <c r="X46" s="156"/>
    </row>
    <row r="47" spans="2:25" x14ac:dyDescent="0.25">
      <c r="B47" s="157"/>
      <c r="C47" s="342"/>
      <c r="F47" s="344"/>
      <c r="G47" s="344"/>
      <c r="H47" s="344"/>
      <c r="I47" s="344"/>
      <c r="J47" s="344"/>
      <c r="K47" s="344"/>
      <c r="L47" s="167"/>
      <c r="M47" s="344"/>
      <c r="N47" s="344"/>
      <c r="O47" s="344"/>
      <c r="P47" s="344"/>
      <c r="Q47" s="344"/>
      <c r="Y47" s="157"/>
    </row>
    <row r="48" spans="2:25" x14ac:dyDescent="0.25">
      <c r="B48" s="157"/>
      <c r="C48" s="146" t="s">
        <v>687</v>
      </c>
      <c r="F48" s="159"/>
      <c r="G48" s="159"/>
      <c r="H48" s="159"/>
      <c r="I48" s="159"/>
      <c r="J48" s="159"/>
      <c r="K48" s="159"/>
      <c r="Y48" s="157"/>
    </row>
    <row r="49" spans="2:25" x14ac:dyDescent="0.25">
      <c r="B49" s="157"/>
      <c r="E49" s="345" t="s">
        <v>688</v>
      </c>
      <c r="F49" s="843" t="s">
        <v>689</v>
      </c>
      <c r="G49" s="844" t="s">
        <v>690</v>
      </c>
      <c r="H49" s="845" t="s">
        <v>691</v>
      </c>
      <c r="I49" s="845" t="s">
        <v>692</v>
      </c>
      <c r="J49" s="843" t="s">
        <v>693</v>
      </c>
      <c r="K49" s="843" t="s">
        <v>694</v>
      </c>
      <c r="Y49" s="157"/>
    </row>
    <row r="50" spans="2:25" x14ac:dyDescent="0.25">
      <c r="B50" s="157"/>
      <c r="E50" s="726" t="s">
        <v>1035</v>
      </c>
      <c r="F50" s="972">
        <v>0</v>
      </c>
      <c r="G50" s="972">
        <v>0</v>
      </c>
      <c r="H50" s="972">
        <v>0</v>
      </c>
      <c r="I50" s="972">
        <v>0</v>
      </c>
      <c r="J50" s="972">
        <v>0</v>
      </c>
      <c r="K50" s="972">
        <v>0</v>
      </c>
      <c r="L50" t="s">
        <v>1269</v>
      </c>
      <c r="Y50" s="157"/>
    </row>
    <row r="51" spans="2:25" x14ac:dyDescent="0.25">
      <c r="B51" s="157"/>
      <c r="E51" s="792" t="s">
        <v>1036</v>
      </c>
      <c r="F51" s="972">
        <v>0</v>
      </c>
      <c r="G51" s="972">
        <v>0</v>
      </c>
      <c r="H51" s="972">
        <v>0</v>
      </c>
      <c r="I51" s="972">
        <v>0</v>
      </c>
      <c r="J51" s="972">
        <v>0</v>
      </c>
      <c r="K51" s="972">
        <v>0</v>
      </c>
      <c r="L51" t="s">
        <v>1270</v>
      </c>
      <c r="Y51" s="157"/>
    </row>
    <row r="52" spans="2:25" x14ac:dyDescent="0.25">
      <c r="B52" s="157"/>
      <c r="E52" s="345" t="s">
        <v>1216</v>
      </c>
      <c r="F52" s="820">
        <f t="shared" ref="F52:K52" si="3">SUM(F50:F51)</f>
        <v>0</v>
      </c>
      <c r="G52" s="820">
        <f t="shared" si="3"/>
        <v>0</v>
      </c>
      <c r="H52" s="820">
        <f t="shared" si="3"/>
        <v>0</v>
      </c>
      <c r="I52" s="820">
        <f t="shared" si="3"/>
        <v>0</v>
      </c>
      <c r="J52" s="820">
        <f t="shared" si="3"/>
        <v>0</v>
      </c>
      <c r="K52" s="820">
        <f t="shared" si="3"/>
        <v>0</v>
      </c>
      <c r="Y52" s="157"/>
    </row>
    <row r="53" spans="2:25" x14ac:dyDescent="0.25">
      <c r="B53" s="157"/>
      <c r="E53" s="149" t="s">
        <v>1104</v>
      </c>
      <c r="F53" s="973">
        <v>0.16</v>
      </c>
      <c r="G53" s="973">
        <v>0.16</v>
      </c>
      <c r="H53" s="973">
        <v>0.16</v>
      </c>
      <c r="I53" s="973">
        <v>0.16</v>
      </c>
      <c r="J53" s="973">
        <v>0.16</v>
      </c>
      <c r="K53" s="973">
        <v>0.16</v>
      </c>
      <c r="L53" t="s">
        <v>1106</v>
      </c>
      <c r="Y53" s="157"/>
    </row>
    <row r="54" spans="2:25" x14ac:dyDescent="0.25">
      <c r="B54" s="157"/>
      <c r="E54" s="149" t="s">
        <v>1105</v>
      </c>
      <c r="F54" s="974">
        <v>0.64</v>
      </c>
      <c r="G54" s="974">
        <v>0.64</v>
      </c>
      <c r="H54" s="974">
        <v>0.64</v>
      </c>
      <c r="I54" s="974">
        <v>0.64</v>
      </c>
      <c r="J54" s="974">
        <v>0.64</v>
      </c>
      <c r="K54" s="974">
        <v>0.64</v>
      </c>
      <c r="L54" t="s">
        <v>1106</v>
      </c>
      <c r="Y54" s="157"/>
    </row>
    <row r="55" spans="2:25" x14ac:dyDescent="0.25">
      <c r="B55" s="157"/>
      <c r="E55" s="149"/>
      <c r="F55" s="948"/>
      <c r="G55" s="948"/>
      <c r="H55" s="948"/>
      <c r="I55" s="948"/>
      <c r="J55" s="948"/>
      <c r="K55" s="948"/>
      <c r="Y55" s="157"/>
    </row>
    <row r="56" spans="2:25" x14ac:dyDescent="0.25">
      <c r="B56" s="157"/>
      <c r="D56" s="342"/>
      <c r="F56" s="842"/>
      <c r="G56" s="842"/>
      <c r="H56" s="842"/>
      <c r="I56" s="842"/>
      <c r="J56" s="842"/>
      <c r="K56" s="842"/>
      <c r="L56" s="167"/>
      <c r="M56" s="344"/>
      <c r="N56" s="344"/>
      <c r="O56" s="344"/>
      <c r="P56" s="344"/>
      <c r="Q56" s="344"/>
      <c r="Y56" s="157"/>
    </row>
    <row r="57" spans="2:25" x14ac:dyDescent="0.25">
      <c r="B57" s="157"/>
      <c r="C57" s="342"/>
      <c r="E57" s="149" t="s">
        <v>1090</v>
      </c>
      <c r="F57" s="975">
        <v>0.81</v>
      </c>
      <c r="G57" s="975">
        <v>0.81</v>
      </c>
      <c r="H57" s="975">
        <v>0.81</v>
      </c>
      <c r="I57" s="975">
        <v>0.81</v>
      </c>
      <c r="J57" s="975">
        <v>0.81</v>
      </c>
      <c r="K57" s="975">
        <v>0.81</v>
      </c>
      <c r="L57" t="s">
        <v>1106</v>
      </c>
      <c r="M57" s="344"/>
      <c r="N57" s="344"/>
      <c r="O57" s="344"/>
      <c r="P57" s="344"/>
      <c r="Q57" s="344"/>
      <c r="Y57" s="157"/>
    </row>
    <row r="58" spans="2:25" x14ac:dyDescent="0.25">
      <c r="B58" s="157"/>
      <c r="C58" s="342"/>
      <c r="E58" s="149" t="s">
        <v>1091</v>
      </c>
      <c r="F58" s="976">
        <v>0.81</v>
      </c>
      <c r="G58" s="976">
        <v>0.81</v>
      </c>
      <c r="H58" s="976">
        <v>0.81</v>
      </c>
      <c r="I58" s="976">
        <v>0.81</v>
      </c>
      <c r="J58" s="976">
        <v>0.81</v>
      </c>
      <c r="K58" s="976">
        <v>0.81</v>
      </c>
      <c r="L58" t="s">
        <v>1106</v>
      </c>
      <c r="M58" s="344"/>
      <c r="N58" s="344"/>
      <c r="O58" s="344"/>
      <c r="P58" s="344"/>
      <c r="Q58" s="344"/>
      <c r="X58" s="156"/>
    </row>
    <row r="59" spans="2:25" x14ac:dyDescent="0.25">
      <c r="B59" s="157"/>
      <c r="C59" s="342"/>
      <c r="E59" s="149" t="s">
        <v>1094</v>
      </c>
      <c r="F59" s="848">
        <f>F50*F57</f>
        <v>0</v>
      </c>
      <c r="G59" s="848">
        <f>G50*G57</f>
        <v>0</v>
      </c>
      <c r="H59" s="848">
        <f t="shared" ref="H59:K59" si="4">H50*H57</f>
        <v>0</v>
      </c>
      <c r="I59" s="848">
        <f t="shared" si="4"/>
        <v>0</v>
      </c>
      <c r="J59" s="848">
        <f t="shared" si="4"/>
        <v>0</v>
      </c>
      <c r="K59" s="848">
        <f t="shared" si="4"/>
        <v>0</v>
      </c>
      <c r="L59" s="167"/>
      <c r="M59" s="344"/>
      <c r="N59" s="344"/>
      <c r="O59" s="344"/>
      <c r="P59" s="344"/>
      <c r="Q59" s="344"/>
      <c r="X59" s="156"/>
    </row>
    <row r="60" spans="2:25" x14ac:dyDescent="0.25">
      <c r="B60" s="157"/>
      <c r="C60" s="342"/>
      <c r="E60" s="149" t="s">
        <v>1093</v>
      </c>
      <c r="F60" s="848">
        <f t="shared" ref="F60:K60" si="5">F51*F58</f>
        <v>0</v>
      </c>
      <c r="G60" s="848">
        <f>G51*G58</f>
        <v>0</v>
      </c>
      <c r="H60" s="848">
        <f t="shared" si="5"/>
        <v>0</v>
      </c>
      <c r="I60" s="848">
        <f t="shared" si="5"/>
        <v>0</v>
      </c>
      <c r="J60" s="848">
        <f t="shared" si="5"/>
        <v>0</v>
      </c>
      <c r="K60" s="848">
        <f t="shared" si="5"/>
        <v>0</v>
      </c>
      <c r="L60" s="167"/>
      <c r="M60" s="344"/>
      <c r="N60" s="344"/>
      <c r="O60" s="344"/>
      <c r="P60" s="344"/>
      <c r="Q60" s="344"/>
      <c r="Y60" s="157"/>
    </row>
    <row r="61" spans="2:25" x14ac:dyDescent="0.25">
      <c r="B61" s="157"/>
      <c r="E61" s="345" t="s">
        <v>1092</v>
      </c>
      <c r="F61" s="820">
        <f t="shared" ref="F61:K61" si="6">SUM(F59:F60)</f>
        <v>0</v>
      </c>
      <c r="G61" s="820">
        <f t="shared" si="6"/>
        <v>0</v>
      </c>
      <c r="H61" s="820">
        <f t="shared" si="6"/>
        <v>0</v>
      </c>
      <c r="I61" s="820">
        <f t="shared" si="6"/>
        <v>0</v>
      </c>
      <c r="J61" s="820">
        <f t="shared" si="6"/>
        <v>0</v>
      </c>
      <c r="K61" s="820">
        <f t="shared" si="6"/>
        <v>0</v>
      </c>
      <c r="Y61" s="157"/>
    </row>
    <row r="62" spans="2:25" x14ac:dyDescent="0.25">
      <c r="B62" s="157"/>
      <c r="E62" s="345"/>
      <c r="F62" s="941"/>
      <c r="G62" s="941"/>
      <c r="H62" s="941"/>
      <c r="I62" s="941"/>
      <c r="J62" s="941"/>
      <c r="K62" s="941"/>
      <c r="Y62" s="157"/>
    </row>
    <row r="63" spans="2:25" s="720" customFormat="1" x14ac:dyDescent="0.25">
      <c r="B63" s="942"/>
      <c r="E63" s="943" t="s">
        <v>1217</v>
      </c>
      <c r="F63" s="944">
        <f>F59+F60</f>
        <v>0</v>
      </c>
      <c r="G63" s="944">
        <f>F59+F60</f>
        <v>0</v>
      </c>
      <c r="H63" s="944">
        <f>G59+G60</f>
        <v>0</v>
      </c>
      <c r="I63" s="944">
        <f>H59+H60+H63</f>
        <v>0</v>
      </c>
      <c r="J63" s="944">
        <f>I59+I60+I63</f>
        <v>0</v>
      </c>
      <c r="K63" s="944">
        <f>J59+J60+J63</f>
        <v>0</v>
      </c>
      <c r="Y63" s="942"/>
    </row>
    <row r="64" spans="2:25" x14ac:dyDescent="0.25">
      <c r="B64" s="157"/>
      <c r="E64" s="149" t="s">
        <v>1098</v>
      </c>
      <c r="F64" s="849">
        <f t="shared" ref="F64:K64" si="7">F63*F53</f>
        <v>0</v>
      </c>
      <c r="G64" s="849">
        <f t="shared" si="7"/>
        <v>0</v>
      </c>
      <c r="H64" s="849">
        <f t="shared" si="7"/>
        <v>0</v>
      </c>
      <c r="I64" s="849">
        <f t="shared" si="7"/>
        <v>0</v>
      </c>
      <c r="J64" s="849">
        <f t="shared" si="7"/>
        <v>0</v>
      </c>
      <c r="K64" s="849">
        <f t="shared" si="7"/>
        <v>0</v>
      </c>
      <c r="Y64" s="157"/>
    </row>
    <row r="65" spans="1:136" x14ac:dyDescent="0.25">
      <c r="B65" s="157"/>
      <c r="E65" s="149" t="s">
        <v>1110</v>
      </c>
      <c r="F65" s="973">
        <v>0.34599999999999997</v>
      </c>
      <c r="G65" s="973">
        <v>0.34599999999999997</v>
      </c>
      <c r="H65" s="973">
        <v>0.34599999999999997</v>
      </c>
      <c r="I65" s="973">
        <v>0.34599999999999997</v>
      </c>
      <c r="J65" s="973">
        <v>0.34599999999999997</v>
      </c>
      <c r="K65" s="973">
        <v>0.35</v>
      </c>
      <c r="L65" t="s">
        <v>1106</v>
      </c>
      <c r="Y65" s="157"/>
    </row>
    <row r="66" spans="1:136" x14ac:dyDescent="0.25">
      <c r="B66" s="157"/>
      <c r="E66" s="149" t="s">
        <v>1099</v>
      </c>
      <c r="F66" s="849">
        <f t="shared" ref="F66:K66" si="8">F63*F54</f>
        <v>0</v>
      </c>
      <c r="G66" s="849">
        <f t="shared" si="8"/>
        <v>0</v>
      </c>
      <c r="H66" s="849">
        <f t="shared" si="8"/>
        <v>0</v>
      </c>
      <c r="I66" s="849">
        <f t="shared" si="8"/>
        <v>0</v>
      </c>
      <c r="J66" s="849">
        <f t="shared" si="8"/>
        <v>0</v>
      </c>
      <c r="K66" s="849">
        <f t="shared" si="8"/>
        <v>0</v>
      </c>
      <c r="Y66" s="157"/>
    </row>
    <row r="67" spans="1:136" x14ac:dyDescent="0.25">
      <c r="B67" s="157"/>
      <c r="E67" s="149" t="s">
        <v>1037</v>
      </c>
      <c r="F67" s="335">
        <f>F50-F59</f>
        <v>0</v>
      </c>
      <c r="G67" s="335">
        <f>G50-G59</f>
        <v>0</v>
      </c>
      <c r="H67" s="335">
        <f t="shared" ref="H67:K67" si="9">H50-H59</f>
        <v>0</v>
      </c>
      <c r="I67" s="335">
        <f t="shared" si="9"/>
        <v>0</v>
      </c>
      <c r="J67" s="335">
        <f t="shared" si="9"/>
        <v>0</v>
      </c>
      <c r="K67" s="335">
        <f t="shared" si="9"/>
        <v>0</v>
      </c>
      <c r="Y67" s="157"/>
    </row>
    <row r="68" spans="1:136" s="146" customFormat="1" x14ac:dyDescent="0.25">
      <c r="B68" s="155"/>
      <c r="E68" s="149" t="s">
        <v>1038</v>
      </c>
      <c r="F68" s="335">
        <f>F51-F60</f>
        <v>0</v>
      </c>
      <c r="G68" s="335">
        <f t="shared" ref="G68:K68" si="10">G51-G60</f>
        <v>0</v>
      </c>
      <c r="H68" s="335">
        <f t="shared" si="10"/>
        <v>0</v>
      </c>
      <c r="I68" s="335">
        <f t="shared" si="10"/>
        <v>0</v>
      </c>
      <c r="J68" s="335">
        <f t="shared" si="10"/>
        <v>0</v>
      </c>
      <c r="K68" s="335">
        <f t="shared" si="10"/>
        <v>0</v>
      </c>
      <c r="Y68" s="155"/>
    </row>
    <row r="69" spans="1:136" s="146" customFormat="1" x14ac:dyDescent="0.25">
      <c r="B69" s="155"/>
      <c r="E69" s="149"/>
      <c r="F69" s="857"/>
      <c r="G69" s="857"/>
      <c r="H69" s="857"/>
      <c r="I69" s="857"/>
      <c r="J69" s="857"/>
      <c r="K69" s="857"/>
      <c r="Y69" s="155"/>
    </row>
    <row r="70" spans="1:136" ht="26.85" customHeight="1" x14ac:dyDescent="0.25">
      <c r="B70" s="157"/>
      <c r="C70" s="146" t="s">
        <v>713</v>
      </c>
      <c r="E70" s="149"/>
      <c r="F70" s="442"/>
      <c r="G70" s="442"/>
      <c r="H70" s="442"/>
      <c r="I70" s="442"/>
      <c r="J70" s="442"/>
      <c r="K70" s="442"/>
      <c r="Y70" s="157"/>
    </row>
    <row r="71" spans="1:136" ht="26.85" customHeight="1" x14ac:dyDescent="0.25">
      <c r="B71" s="157"/>
      <c r="C71" s="1032" t="s">
        <v>1271</v>
      </c>
      <c r="E71" s="149"/>
      <c r="F71" s="442"/>
      <c r="G71" s="442"/>
      <c r="H71" s="442"/>
      <c r="I71" s="442"/>
      <c r="J71" s="442"/>
      <c r="K71" s="442"/>
      <c r="Y71" s="157"/>
    </row>
    <row r="72" spans="1:136" ht="26.85" customHeight="1" x14ac:dyDescent="0.25">
      <c r="B72" s="157"/>
      <c r="C72" s="1032" t="s">
        <v>1272</v>
      </c>
      <c r="D72" s="989" t="s">
        <v>690</v>
      </c>
      <c r="E72" s="989" t="s">
        <v>691</v>
      </c>
      <c r="F72" s="335" t="s">
        <v>692</v>
      </c>
      <c r="G72" s="335" t="s">
        <v>693</v>
      </c>
      <c r="H72" s="335" t="s">
        <v>694</v>
      </c>
      <c r="I72" s="442"/>
      <c r="J72" s="442"/>
      <c r="K72" s="442"/>
      <c r="Y72" s="157"/>
    </row>
    <row r="73" spans="1:136" ht="18.75" customHeight="1" x14ac:dyDescent="0.25">
      <c r="B73" s="157"/>
      <c r="C73" s="146"/>
      <c r="D73" s="147">
        <v>29</v>
      </c>
      <c r="E73" s="989">
        <v>72</v>
      </c>
      <c r="F73" s="335">
        <v>90</v>
      </c>
      <c r="G73" s="335">
        <v>96</v>
      </c>
      <c r="H73" s="335">
        <v>96</v>
      </c>
      <c r="I73" s="442"/>
      <c r="J73" s="442"/>
      <c r="K73" s="442"/>
      <c r="Y73" s="157"/>
    </row>
    <row r="74" spans="1:136" ht="16.5" customHeight="1" x14ac:dyDescent="0.25">
      <c r="B74" s="157"/>
      <c r="C74" s="791" t="s">
        <v>1034</v>
      </c>
      <c r="E74" s="502"/>
      <c r="F74" s="502"/>
      <c r="G74" s="502"/>
      <c r="H74" s="502"/>
      <c r="I74" s="502"/>
      <c r="J74" s="502"/>
      <c r="L74" s="442"/>
      <c r="M74" s="442"/>
      <c r="N74" s="442"/>
      <c r="O74" s="442"/>
      <c r="P74" s="442"/>
      <c r="Q74" s="442"/>
      <c r="Y74" s="157"/>
    </row>
    <row r="75" spans="1:136" x14ac:dyDescent="0.25">
      <c r="B75" s="157"/>
      <c r="C75" t="s">
        <v>1095</v>
      </c>
      <c r="E75" s="502"/>
      <c r="F75" s="502"/>
      <c r="G75" s="502"/>
      <c r="H75" s="502"/>
      <c r="I75" s="502"/>
      <c r="J75" s="502"/>
      <c r="L75" s="442"/>
      <c r="M75" s="442"/>
      <c r="N75" s="442"/>
      <c r="O75" s="442"/>
      <c r="P75" s="442"/>
      <c r="Q75" s="442"/>
      <c r="Y75" s="157"/>
    </row>
    <row r="76" spans="1:136" x14ac:dyDescent="0.25">
      <c r="B76" s="157"/>
      <c r="C76" s="720" t="s">
        <v>1231</v>
      </c>
      <c r="E76" s="502"/>
      <c r="F76" s="502"/>
      <c r="G76" s="502"/>
      <c r="H76" s="502"/>
      <c r="I76" s="502"/>
      <c r="J76" s="502"/>
      <c r="Y76" s="157"/>
    </row>
    <row r="77" spans="1:136" s="4" customFormat="1" x14ac:dyDescent="0.25">
      <c r="A77" s="5"/>
      <c r="B77" s="852"/>
      <c r="C77" t="s">
        <v>1078</v>
      </c>
      <c r="D77" s="338" t="s">
        <v>1077</v>
      </c>
      <c r="E77" s="110"/>
      <c r="F77" s="174"/>
      <c r="G77" s="175"/>
      <c r="H77" s="5"/>
      <c r="I77" s="5"/>
      <c r="J77" s="176"/>
      <c r="K77" s="175"/>
      <c r="L77" s="175"/>
      <c r="M77" s="175"/>
      <c r="N77" s="175"/>
      <c r="O77" s="175"/>
      <c r="P77" s="176"/>
      <c r="Q77" s="764"/>
      <c r="R77" s="5"/>
      <c r="S77" s="798"/>
      <c r="T77" s="422"/>
      <c r="U77" s="150"/>
      <c r="V77" s="422"/>
      <c r="W77" s="422"/>
      <c r="X77" s="422"/>
      <c r="Y77" s="85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2"/>
      <c r="AY77" s="422"/>
      <c r="AZ77" s="422"/>
      <c r="BA77" s="422"/>
      <c r="BB77" s="422"/>
      <c r="BC77" s="422"/>
      <c r="BD77" s="422"/>
      <c r="BE77" s="422"/>
      <c r="BF77" s="422"/>
      <c r="BG77" s="422"/>
      <c r="BH77" s="422"/>
      <c r="BI77" s="422"/>
      <c r="BJ77" s="422"/>
      <c r="BK77" s="422"/>
      <c r="BL77" s="422"/>
      <c r="BM77" s="422"/>
      <c r="BN77" s="422"/>
      <c r="BO77" s="422"/>
      <c r="BP77" s="422"/>
      <c r="BQ77" s="422"/>
      <c r="BR77" s="422"/>
      <c r="BS77" s="422"/>
      <c r="BT77" s="422"/>
      <c r="BU77" s="422"/>
      <c r="BV77" s="422"/>
      <c r="BW77" s="422"/>
      <c r="BX77" s="422"/>
      <c r="BY77" s="422"/>
      <c r="BZ77" s="422"/>
      <c r="CA77" s="422"/>
      <c r="CB77" s="422"/>
      <c r="CC77" s="422"/>
      <c r="CD77" s="422"/>
      <c r="CE77" s="422"/>
      <c r="CF77" s="422"/>
      <c r="CG77" s="422"/>
      <c r="CH77" s="422"/>
      <c r="CI77" s="422"/>
      <c r="CJ77" s="422"/>
      <c r="CK77" s="422"/>
      <c r="CL77" s="422"/>
      <c r="CM77" s="422"/>
      <c r="CN77" s="422"/>
      <c r="CO77" s="422"/>
      <c r="CP77" s="422"/>
      <c r="CQ77" s="422"/>
      <c r="CR77" s="422"/>
      <c r="CS77" s="422"/>
      <c r="CT77" s="422"/>
      <c r="CU77" s="422"/>
      <c r="CV77" s="422"/>
      <c r="CW77" s="422"/>
      <c r="CX77" s="422"/>
      <c r="CY77" s="422"/>
      <c r="CZ77" s="422"/>
      <c r="DA77" s="422"/>
      <c r="DB77" s="422"/>
      <c r="DC77" s="422"/>
      <c r="DD77" s="422"/>
      <c r="DE77" s="422"/>
      <c r="DF77" s="422"/>
      <c r="DG77" s="422"/>
      <c r="DH77" s="422"/>
      <c r="DI77" s="422"/>
      <c r="DJ77" s="422"/>
      <c r="DK77" s="422"/>
      <c r="DL77" s="422"/>
      <c r="DM77" s="422"/>
      <c r="DN77" s="422"/>
      <c r="DO77" s="422"/>
      <c r="DP77" s="422"/>
      <c r="DQ77" s="422"/>
      <c r="DR77" s="422"/>
      <c r="DS77" s="422"/>
      <c r="DT77" s="422"/>
      <c r="DU77" s="422"/>
      <c r="DV77" s="422"/>
      <c r="DW77" s="422"/>
      <c r="DX77" s="422"/>
      <c r="DY77" s="422"/>
      <c r="DZ77" s="422"/>
      <c r="EA77" s="422"/>
      <c r="EB77" s="422"/>
      <c r="EC77" s="422"/>
      <c r="ED77" s="422"/>
      <c r="EE77" s="422"/>
      <c r="EF77" s="422"/>
    </row>
    <row r="78" spans="1:136" s="4" customFormat="1" x14ac:dyDescent="0.25">
      <c r="A78" s="5"/>
      <c r="B78" s="852"/>
      <c r="C78" t="s">
        <v>1079</v>
      </c>
      <c r="D78" s="173"/>
      <c r="E78" s="110"/>
      <c r="F78" s="174"/>
      <c r="G78" s="175"/>
      <c r="H78" s="5"/>
      <c r="I78" s="5"/>
      <c r="J78" s="176"/>
      <c r="K78" s="175"/>
      <c r="L78" s="175"/>
      <c r="M78" s="175"/>
      <c r="N78" s="175"/>
      <c r="O78" s="175"/>
      <c r="P78" s="176"/>
      <c r="Q78" s="764"/>
      <c r="R78" s="5"/>
      <c r="S78" s="798"/>
      <c r="T78" s="422"/>
      <c r="U78" s="150"/>
      <c r="V78" s="422"/>
      <c r="W78" s="422"/>
      <c r="X78" s="422"/>
      <c r="Y78" s="85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2"/>
      <c r="AY78" s="422"/>
      <c r="AZ78" s="422"/>
      <c r="BA78" s="422"/>
      <c r="BB78" s="422"/>
      <c r="BC78" s="422"/>
      <c r="BD78" s="422"/>
      <c r="BE78" s="422"/>
      <c r="BF78" s="422"/>
      <c r="BG78" s="422"/>
      <c r="BH78" s="422"/>
      <c r="BI78" s="422"/>
      <c r="BJ78" s="422"/>
      <c r="BK78" s="422"/>
      <c r="BL78" s="422"/>
      <c r="BM78" s="422"/>
      <c r="BN78" s="422"/>
      <c r="BO78" s="422"/>
      <c r="BP78" s="422"/>
      <c r="BQ78" s="422"/>
      <c r="BR78" s="422"/>
      <c r="BS78" s="422"/>
      <c r="BT78" s="422"/>
      <c r="BU78" s="422"/>
      <c r="BV78" s="422"/>
      <c r="BW78" s="422"/>
      <c r="BX78" s="422"/>
      <c r="BY78" s="422"/>
      <c r="BZ78" s="422"/>
      <c r="CA78" s="422"/>
      <c r="CB78" s="422"/>
      <c r="CC78" s="422"/>
      <c r="CD78" s="422"/>
      <c r="CE78" s="422"/>
      <c r="CF78" s="422"/>
      <c r="CG78" s="422"/>
      <c r="CH78" s="422"/>
      <c r="CI78" s="422"/>
      <c r="CJ78" s="422"/>
      <c r="CK78" s="422"/>
      <c r="CL78" s="422"/>
      <c r="CM78" s="422"/>
      <c r="CN78" s="422"/>
      <c r="CO78" s="422"/>
      <c r="CP78" s="422"/>
      <c r="CQ78" s="422"/>
      <c r="CR78" s="422"/>
      <c r="CS78" s="422"/>
      <c r="CT78" s="422"/>
      <c r="CU78" s="422"/>
      <c r="CV78" s="422"/>
      <c r="CW78" s="422"/>
      <c r="CX78" s="422"/>
      <c r="CY78" s="422"/>
      <c r="CZ78" s="422"/>
      <c r="DA78" s="422"/>
      <c r="DB78" s="422"/>
      <c r="DC78" s="422"/>
      <c r="DD78" s="422"/>
      <c r="DE78" s="422"/>
      <c r="DF78" s="422"/>
      <c r="DG78" s="422"/>
      <c r="DH78" s="422"/>
      <c r="DI78" s="422"/>
      <c r="DJ78" s="422"/>
      <c r="DK78" s="422"/>
      <c r="DL78" s="422"/>
      <c r="DM78" s="422"/>
      <c r="DN78" s="422"/>
      <c r="DO78" s="422"/>
      <c r="DP78" s="422"/>
      <c r="DQ78" s="422"/>
      <c r="DR78" s="422"/>
      <c r="DS78" s="422"/>
      <c r="DT78" s="422"/>
      <c r="DU78" s="422"/>
      <c r="DV78" s="422"/>
      <c r="DW78" s="422"/>
      <c r="DX78" s="422"/>
      <c r="DY78" s="422"/>
      <c r="DZ78" s="422"/>
      <c r="EA78" s="422"/>
      <c r="EB78" s="422"/>
      <c r="EC78" s="422"/>
      <c r="ED78" s="422"/>
      <c r="EE78" s="422"/>
      <c r="EF78" s="422"/>
    </row>
    <row r="79" spans="1:136" s="4" customFormat="1" x14ac:dyDescent="0.25">
      <c r="A79" s="5"/>
      <c r="B79" s="852"/>
      <c r="C79" t="s">
        <v>1214</v>
      </c>
      <c r="D79" s="173"/>
      <c r="E79" s="110"/>
      <c r="F79" s="174"/>
      <c r="G79" s="175" t="s">
        <v>1230</v>
      </c>
      <c r="H79" s="5"/>
      <c r="I79" s="5"/>
      <c r="J79" s="338" t="s">
        <v>1228</v>
      </c>
      <c r="K79" s="175"/>
      <c r="L79" s="175"/>
      <c r="M79" s="175"/>
      <c r="N79" s="175"/>
      <c r="O79" s="175"/>
      <c r="P79" s="176"/>
      <c r="Q79" s="764"/>
      <c r="R79" s="5"/>
      <c r="S79" s="798"/>
      <c r="T79" s="422"/>
      <c r="U79" s="150"/>
      <c r="V79" s="422"/>
      <c r="W79" s="422"/>
      <c r="X79" s="422"/>
      <c r="Y79" s="85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2"/>
      <c r="AY79" s="422"/>
      <c r="AZ79" s="422"/>
      <c r="BA79" s="422"/>
      <c r="BB79" s="422"/>
      <c r="BC79" s="422"/>
      <c r="BD79" s="422"/>
      <c r="BE79" s="422"/>
      <c r="BF79" s="422"/>
      <c r="BG79" s="422"/>
      <c r="BH79" s="422"/>
      <c r="BI79" s="422"/>
      <c r="BJ79" s="422"/>
      <c r="BK79" s="422"/>
      <c r="BL79" s="422"/>
      <c r="BM79" s="422"/>
      <c r="BN79" s="422"/>
      <c r="BO79" s="422"/>
      <c r="BP79" s="422"/>
      <c r="BQ79" s="422"/>
      <c r="BR79" s="422"/>
      <c r="BS79" s="422"/>
      <c r="BT79" s="422"/>
      <c r="BU79" s="422"/>
      <c r="BV79" s="422"/>
      <c r="BW79" s="422"/>
      <c r="BX79" s="422"/>
      <c r="BY79" s="422"/>
      <c r="BZ79" s="422"/>
      <c r="CA79" s="422"/>
      <c r="CB79" s="422"/>
      <c r="CC79" s="422"/>
      <c r="CD79" s="422"/>
      <c r="CE79" s="422"/>
      <c r="CF79" s="422"/>
      <c r="CG79" s="422"/>
      <c r="CH79" s="422"/>
      <c r="CI79" s="422"/>
      <c r="CJ79" s="422"/>
      <c r="CK79" s="422"/>
      <c r="CL79" s="422"/>
      <c r="CM79" s="422"/>
      <c r="CN79" s="422"/>
      <c r="CO79" s="422"/>
      <c r="CP79" s="422"/>
      <c r="CQ79" s="422"/>
      <c r="CR79" s="422"/>
      <c r="CS79" s="422"/>
      <c r="CT79" s="422"/>
      <c r="CU79" s="422"/>
      <c r="CV79" s="422"/>
      <c r="CW79" s="422"/>
      <c r="CX79" s="422"/>
      <c r="CY79" s="422"/>
      <c r="CZ79" s="422"/>
      <c r="DA79" s="422"/>
      <c r="DB79" s="422"/>
      <c r="DC79" s="422"/>
      <c r="DD79" s="422"/>
      <c r="DE79" s="422"/>
      <c r="DF79" s="422"/>
      <c r="DG79" s="422"/>
      <c r="DH79" s="422"/>
      <c r="DI79" s="422"/>
      <c r="DJ79" s="422"/>
      <c r="DK79" s="422"/>
      <c r="DL79" s="422"/>
      <c r="DM79" s="422"/>
      <c r="DN79" s="422"/>
      <c r="DO79" s="422"/>
      <c r="DP79" s="422"/>
      <c r="DQ79" s="422"/>
      <c r="DR79" s="422"/>
      <c r="DS79" s="422"/>
      <c r="DT79" s="422"/>
      <c r="DU79" s="422"/>
      <c r="DV79" s="422"/>
      <c r="DW79" s="422"/>
      <c r="DX79" s="422"/>
      <c r="DY79" s="422"/>
      <c r="DZ79" s="422"/>
      <c r="EA79" s="422"/>
      <c r="EB79" s="422"/>
      <c r="EC79" s="422"/>
      <c r="ED79" s="422"/>
      <c r="EE79" s="422"/>
      <c r="EF79" s="422"/>
    </row>
    <row r="80" spans="1:136" x14ac:dyDescent="0.25">
      <c r="B80" s="158"/>
      <c r="C80" s="159" t="s">
        <v>1232</v>
      </c>
      <c r="D80" s="159"/>
      <c r="E80" s="159"/>
      <c r="F80" s="159"/>
      <c r="G80" s="159"/>
      <c r="H80" s="159"/>
      <c r="I80" s="159"/>
      <c r="J80" s="159"/>
      <c r="K80" s="159"/>
      <c r="L80" s="159"/>
      <c r="M80" s="159"/>
      <c r="N80" s="159"/>
      <c r="O80" s="159"/>
      <c r="P80" s="159"/>
      <c r="Q80" s="159"/>
      <c r="R80" s="159"/>
      <c r="S80" s="949"/>
      <c r="T80" s="949"/>
      <c r="U80" s="949"/>
      <c r="V80" s="949"/>
      <c r="W80" s="949"/>
      <c r="X80" s="950"/>
      <c r="Y80" s="720"/>
      <c r="Z80" s="720"/>
      <c r="AA80" s="720"/>
      <c r="AB80" s="720"/>
      <c r="AC80" s="720"/>
      <c r="AD80" s="720"/>
      <c r="AE80" s="720"/>
      <c r="AF80" s="720"/>
      <c r="AG80" s="720"/>
      <c r="AH80" s="720"/>
      <c r="AI80" s="720"/>
      <c r="AJ80" s="720"/>
      <c r="AK80" s="720"/>
      <c r="AL80" s="720"/>
      <c r="AM80" s="720"/>
      <c r="AN80" s="720"/>
      <c r="AO80" s="720"/>
      <c r="AP80" s="720"/>
      <c r="AQ80" s="720"/>
      <c r="AR80" s="720"/>
      <c r="AS80" s="720"/>
      <c r="AT80" s="720"/>
      <c r="AU80" s="720"/>
      <c r="AV80" s="720"/>
      <c r="AW80" s="720"/>
      <c r="AX80" s="720"/>
      <c r="AY80" s="720"/>
      <c r="AZ80" s="720"/>
      <c r="BA80" s="720"/>
      <c r="BB80" s="720"/>
      <c r="BC80" s="720"/>
      <c r="BD80" s="720"/>
      <c r="BE80" s="720"/>
      <c r="BF80" s="720"/>
      <c r="BG80" s="720"/>
      <c r="BH80" s="720"/>
      <c r="BI80" s="720"/>
      <c r="BJ80" s="720"/>
      <c r="BK80" s="720"/>
      <c r="BL80" s="720"/>
      <c r="BM80" s="720"/>
      <c r="BN80" s="720"/>
      <c r="BO80" s="720"/>
      <c r="BP80" s="720"/>
      <c r="BQ80" s="720"/>
      <c r="BR80" s="720"/>
      <c r="BS80" s="720"/>
      <c r="BT80" s="720"/>
      <c r="BU80" s="720"/>
      <c r="BV80" s="720"/>
      <c r="BW80" s="720"/>
      <c r="BX80" s="720"/>
      <c r="BY80" s="720"/>
      <c r="BZ80" s="720"/>
      <c r="CA80" s="720"/>
      <c r="CB80" s="720"/>
      <c r="CC80" s="720"/>
      <c r="CD80" s="720"/>
      <c r="CE80" s="720"/>
      <c r="CF80" s="720"/>
      <c r="CG80" s="720"/>
      <c r="CH80" s="720"/>
      <c r="CI80" s="720"/>
      <c r="CJ80" s="720"/>
      <c r="CK80" s="720"/>
      <c r="CL80" s="720"/>
      <c r="CM80" s="720"/>
      <c r="CN80" s="720"/>
      <c r="CO80" s="720"/>
      <c r="CP80" s="720"/>
      <c r="CQ80" s="720"/>
      <c r="CR80" s="720"/>
      <c r="CS80" s="720"/>
      <c r="CT80" s="720"/>
      <c r="CU80" s="720"/>
      <c r="CV80" s="720"/>
      <c r="CW80" s="720"/>
      <c r="CX80" s="720"/>
      <c r="CY80" s="720"/>
      <c r="CZ80" s="720"/>
      <c r="DA80" s="720"/>
      <c r="DB80" s="720"/>
      <c r="DC80" s="720"/>
      <c r="DD80" s="720"/>
      <c r="DE80" s="720"/>
      <c r="DF80" s="720"/>
      <c r="DG80" s="720"/>
      <c r="DH80" s="720"/>
      <c r="DI80" s="720"/>
      <c r="DJ80" s="720"/>
      <c r="DK80" s="720"/>
      <c r="DL80" s="720"/>
      <c r="DM80" s="720"/>
      <c r="DN80" s="720"/>
      <c r="DO80" s="720"/>
      <c r="DP80" s="720"/>
      <c r="DQ80" s="720"/>
      <c r="DR80" s="720"/>
      <c r="DS80" s="720"/>
      <c r="DT80" s="720"/>
      <c r="DU80" s="720"/>
      <c r="DV80" s="720"/>
      <c r="DW80" s="720"/>
      <c r="DX80" s="720"/>
      <c r="DY80" s="720"/>
      <c r="DZ80" s="720"/>
      <c r="EA80" s="720"/>
      <c r="EB80" s="720"/>
      <c r="EC80" s="720"/>
      <c r="ED80" s="720"/>
      <c r="EE80" s="720"/>
      <c r="EF80" s="720"/>
    </row>
    <row r="84" spans="2:19" x14ac:dyDescent="0.25">
      <c r="B84" s="153" t="s">
        <v>680</v>
      </c>
      <c r="C84" s="309"/>
      <c r="D84" s="309"/>
      <c r="E84" s="309"/>
      <c r="F84" s="717"/>
      <c r="G84" s="719"/>
      <c r="H84" s="719"/>
      <c r="I84" s="719"/>
      <c r="J84" s="719"/>
      <c r="K84" s="719"/>
      <c r="L84" s="719"/>
      <c r="M84" s="309"/>
      <c r="N84" s="309"/>
      <c r="O84" s="309"/>
      <c r="P84" s="309"/>
      <c r="Q84" s="309"/>
      <c r="R84" s="309"/>
      <c r="S84" s="154"/>
    </row>
    <row r="85" spans="2:19" x14ac:dyDescent="0.25">
      <c r="B85" s="157"/>
      <c r="D85" s="718" t="s">
        <v>944</v>
      </c>
      <c r="E85" s="205" t="s">
        <v>681</v>
      </c>
      <c r="G85" s="721"/>
      <c r="H85" s="721"/>
      <c r="I85" s="721"/>
      <c r="J85" s="721"/>
      <c r="K85" s="721"/>
      <c r="L85" s="721"/>
      <c r="M85" s="520"/>
      <c r="N85" s="520"/>
      <c r="O85" s="520"/>
      <c r="P85" s="520"/>
      <c r="Q85" s="520"/>
      <c r="S85" s="156"/>
    </row>
    <row r="86" spans="2:19" x14ac:dyDescent="0.25">
      <c r="B86" s="157"/>
      <c r="C86" s="989" t="s">
        <v>941</v>
      </c>
      <c r="D86" s="584">
        <v>1</v>
      </c>
      <c r="E86" s="585">
        <v>1</v>
      </c>
      <c r="G86" s="722"/>
      <c r="H86" s="722"/>
      <c r="I86" s="722"/>
      <c r="J86" s="722"/>
      <c r="K86" s="723"/>
      <c r="L86" s="720"/>
      <c r="S86" s="156"/>
    </row>
    <row r="87" spans="2:19" x14ac:dyDescent="0.25">
      <c r="B87" s="157"/>
      <c r="C87" s="989" t="s">
        <v>942</v>
      </c>
      <c r="D87" s="586">
        <v>3</v>
      </c>
      <c r="E87" s="585">
        <v>3</v>
      </c>
      <c r="G87" s="722"/>
      <c r="H87" s="722"/>
      <c r="I87" s="722"/>
      <c r="J87" s="722"/>
      <c r="K87" s="723"/>
      <c r="L87" s="723"/>
      <c r="M87" s="518"/>
      <c r="N87" s="518"/>
      <c r="O87" s="518"/>
      <c r="P87" s="518"/>
      <c r="Q87" s="518"/>
      <c r="S87" s="156"/>
    </row>
    <row r="88" spans="2:19" x14ac:dyDescent="0.25">
      <c r="B88" s="157"/>
      <c r="C88" s="989" t="s">
        <v>943</v>
      </c>
      <c r="D88" s="586">
        <v>21</v>
      </c>
      <c r="E88" s="585">
        <v>21</v>
      </c>
      <c r="G88" s="722"/>
      <c r="H88" s="722"/>
      <c r="I88" s="722"/>
      <c r="J88" s="722"/>
      <c r="K88" s="723"/>
      <c r="L88" s="720"/>
      <c r="S88" s="156"/>
    </row>
    <row r="89" spans="2:19" x14ac:dyDescent="0.25">
      <c r="B89" s="157"/>
      <c r="D89" s="149"/>
      <c r="E89" s="149"/>
      <c r="F89" s="149"/>
      <c r="G89" s="149"/>
      <c r="S89" s="156"/>
    </row>
    <row r="90" spans="2:19" ht="32.1" customHeight="1" x14ac:dyDescent="0.25">
      <c r="B90" s="157"/>
      <c r="C90" s="202" t="s">
        <v>682</v>
      </c>
      <c r="D90" s="206" t="s">
        <v>683</v>
      </c>
      <c r="E90" s="203"/>
      <c r="F90" s="203"/>
      <c r="G90" s="203"/>
      <c r="H90" s="204"/>
      <c r="I90" s="205" t="s">
        <v>684</v>
      </c>
      <c r="J90" s="162" t="s">
        <v>685</v>
      </c>
      <c r="K90" s="205" t="s">
        <v>686</v>
      </c>
      <c r="S90" s="156"/>
    </row>
    <row r="91" spans="2:19" x14ac:dyDescent="0.25">
      <c r="B91" s="157"/>
      <c r="C91" s="329" t="s">
        <v>941</v>
      </c>
      <c r="D91" s="194" t="s">
        <v>945</v>
      </c>
      <c r="E91" s="195"/>
      <c r="F91" s="195"/>
      <c r="G91" s="195"/>
      <c r="H91" s="191"/>
      <c r="I91" s="587">
        <v>0</v>
      </c>
      <c r="J91" s="588">
        <v>0.2</v>
      </c>
      <c r="K91" s="336" t="s">
        <v>946</v>
      </c>
      <c r="S91" s="156"/>
    </row>
    <row r="92" spans="2:19" ht="32.85" customHeight="1" x14ac:dyDescent="0.25">
      <c r="B92" s="157"/>
      <c r="C92" s="329" t="s">
        <v>942</v>
      </c>
      <c r="D92" s="1022" t="s">
        <v>947</v>
      </c>
      <c r="E92" s="1023"/>
      <c r="F92" s="1023"/>
      <c r="G92" s="1023"/>
      <c r="H92" s="1024"/>
      <c r="I92" s="587">
        <v>3800</v>
      </c>
      <c r="J92" s="588">
        <v>0.2</v>
      </c>
      <c r="K92" s="724" t="s">
        <v>953</v>
      </c>
      <c r="L92" s="936"/>
      <c r="M92" s="519"/>
      <c r="N92" s="519"/>
      <c r="O92" s="519"/>
      <c r="P92" s="519"/>
      <c r="Q92" s="519"/>
      <c r="S92" s="156"/>
    </row>
    <row r="93" spans="2:19" ht="14.85" customHeight="1" x14ac:dyDescent="0.25">
      <c r="B93" s="157"/>
      <c r="C93" s="329" t="s">
        <v>943</v>
      </c>
      <c r="D93" s="1022" t="s">
        <v>1025</v>
      </c>
      <c r="E93" s="1023"/>
      <c r="F93" s="1023"/>
      <c r="G93" s="1023"/>
      <c r="H93" s="1024"/>
      <c r="I93" s="587">
        <v>0</v>
      </c>
      <c r="J93" s="588">
        <v>0.2</v>
      </c>
      <c r="K93" s="336" t="s">
        <v>948</v>
      </c>
      <c r="L93" s="936"/>
      <c r="M93" s="519"/>
      <c r="N93" s="519"/>
      <c r="O93" s="519"/>
      <c r="P93" s="519"/>
      <c r="Q93" s="519"/>
      <c r="S93" s="156"/>
    </row>
    <row r="94" spans="2:19" x14ac:dyDescent="0.25">
      <c r="B94" s="157"/>
      <c r="C94" s="147" t="s">
        <v>951</v>
      </c>
      <c r="D94" s="194" t="s">
        <v>952</v>
      </c>
      <c r="E94" s="195"/>
      <c r="F94" s="195"/>
      <c r="G94" s="195"/>
      <c r="H94" s="191"/>
      <c r="I94" s="587">
        <v>9.6199999999999992</v>
      </c>
      <c r="J94" s="588">
        <v>0.2</v>
      </c>
      <c r="K94" s="336" t="s">
        <v>1213</v>
      </c>
      <c r="L94" s="519"/>
      <c r="M94" s="519"/>
      <c r="N94" s="519"/>
      <c r="O94" s="519"/>
      <c r="P94" s="519"/>
      <c r="Q94" s="519"/>
      <c r="S94" s="156"/>
    </row>
    <row r="95" spans="2:19" ht="45.75" customHeight="1" x14ac:dyDescent="0.25">
      <c r="B95" s="157"/>
      <c r="C95" s="329" t="s">
        <v>950</v>
      </c>
      <c r="D95" s="854" t="s">
        <v>1041</v>
      </c>
      <c r="E95" s="855"/>
      <c r="F95" s="855"/>
      <c r="G95" s="855"/>
      <c r="H95" s="717"/>
      <c r="I95" s="587">
        <v>301.67</v>
      </c>
      <c r="J95" s="588">
        <v>0</v>
      </c>
      <c r="K95" s="725" t="s">
        <v>1042</v>
      </c>
      <c r="L95" s="519"/>
      <c r="M95" s="519"/>
      <c r="N95" s="519"/>
      <c r="O95" s="519"/>
      <c r="P95" s="519"/>
      <c r="Q95" s="519"/>
      <c r="S95" s="156"/>
    </row>
    <row r="96" spans="2:19" x14ac:dyDescent="0.25">
      <c r="B96" s="157"/>
      <c r="C96" s="194" t="s">
        <v>1124</v>
      </c>
      <c r="D96" s="194" t="s">
        <v>1123</v>
      </c>
      <c r="E96" s="195"/>
      <c r="F96" s="195"/>
      <c r="G96" s="195"/>
      <c r="H96" s="165"/>
      <c r="I96" s="853">
        <v>45.15</v>
      </c>
      <c r="J96" s="588">
        <v>0.2</v>
      </c>
      <c r="K96" s="336" t="s">
        <v>1213</v>
      </c>
      <c r="L96" s="519"/>
      <c r="M96" s="519"/>
      <c r="N96" s="519"/>
      <c r="O96" s="519"/>
      <c r="P96" s="519"/>
      <c r="Q96" s="519"/>
      <c r="S96" s="156"/>
    </row>
    <row r="97" spans="2:19" x14ac:dyDescent="0.25">
      <c r="B97" s="157"/>
      <c r="C97" s="194" t="s">
        <v>1116</v>
      </c>
      <c r="D97" s="194" t="s">
        <v>1120</v>
      </c>
      <c r="E97" s="195"/>
      <c r="F97" s="195"/>
      <c r="G97" s="195"/>
      <c r="H97" s="165"/>
      <c r="I97" s="853">
        <v>126</v>
      </c>
      <c r="J97" s="588">
        <v>0.2</v>
      </c>
      <c r="K97" s="336" t="s">
        <v>1121</v>
      </c>
      <c r="L97" s="519"/>
      <c r="M97" s="519"/>
      <c r="N97" s="519"/>
      <c r="O97" s="519"/>
      <c r="P97" s="519"/>
      <c r="Q97" s="519"/>
      <c r="S97" s="156"/>
    </row>
    <row r="98" spans="2:19" x14ac:dyDescent="0.25">
      <c r="B98" s="157"/>
      <c r="C98" s="194" t="s">
        <v>1115</v>
      </c>
      <c r="D98" s="856" t="s">
        <v>1122</v>
      </c>
      <c r="E98" s="161"/>
      <c r="F98" s="161"/>
      <c r="G98" s="161"/>
      <c r="H98" s="160"/>
      <c r="I98" s="853">
        <v>78.88</v>
      </c>
      <c r="J98" s="588">
        <v>0.2</v>
      </c>
      <c r="K98" s="336" t="s">
        <v>1213</v>
      </c>
      <c r="L98" s="519"/>
      <c r="M98" s="519"/>
      <c r="N98" s="519"/>
      <c r="O98" s="519"/>
      <c r="P98" s="519"/>
      <c r="Q98" s="519"/>
      <c r="S98" s="156"/>
    </row>
    <row r="99" spans="2:19" ht="40.35" customHeight="1" x14ac:dyDescent="0.25">
      <c r="B99" s="157"/>
      <c r="C99" s="189"/>
      <c r="D99" s="149"/>
      <c r="E99" s="149"/>
      <c r="F99" s="149"/>
      <c r="G99" s="149"/>
      <c r="S99" s="156"/>
    </row>
    <row r="100" spans="2:19" ht="30" x14ac:dyDescent="0.25">
      <c r="B100" s="157"/>
      <c r="D100" s="727" t="s">
        <v>957</v>
      </c>
      <c r="E100" s="728" t="s">
        <v>958</v>
      </c>
      <c r="F100" s="729" t="s">
        <v>959</v>
      </c>
      <c r="G100" s="1025" t="s">
        <v>686</v>
      </c>
      <c r="H100" s="1026"/>
      <c r="I100" s="1026"/>
      <c r="J100" s="1026"/>
      <c r="K100" s="1027"/>
      <c r="S100" s="156"/>
    </row>
    <row r="101" spans="2:19" x14ac:dyDescent="0.25">
      <c r="B101" s="157"/>
      <c r="C101" s="193" t="s">
        <v>954</v>
      </c>
      <c r="D101" s="977">
        <v>51.83</v>
      </c>
      <c r="E101" s="978">
        <f>1-F38</f>
        <v>0.19999999999999996</v>
      </c>
      <c r="F101" s="730">
        <f>D101*E101</f>
        <v>10.365999999999998</v>
      </c>
      <c r="G101" s="732" t="s">
        <v>960</v>
      </c>
      <c r="H101" s="191"/>
      <c r="I101" s="191"/>
      <c r="J101" s="191"/>
      <c r="K101" s="165" t="s">
        <v>996</v>
      </c>
      <c r="S101" s="156"/>
    </row>
    <row r="102" spans="2:19" x14ac:dyDescent="0.25">
      <c r="B102" s="157"/>
      <c r="C102" s="193" t="s">
        <v>955</v>
      </c>
      <c r="D102" s="977">
        <f>(85.1-71.8)/2+71.8</f>
        <v>78.449999999999989</v>
      </c>
      <c r="E102" s="979">
        <f>1-E101</f>
        <v>0.8</v>
      </c>
      <c r="F102" s="730">
        <f>D102*E102</f>
        <v>62.759999999999991</v>
      </c>
      <c r="G102" s="732" t="s">
        <v>961</v>
      </c>
      <c r="H102" s="191"/>
      <c r="I102" s="191"/>
      <c r="J102" s="191" t="s">
        <v>962</v>
      </c>
      <c r="K102" s="165"/>
      <c r="S102" s="156"/>
    </row>
    <row r="103" spans="2:19" x14ac:dyDescent="0.25">
      <c r="B103" s="157"/>
      <c r="C103" s="193" t="s">
        <v>956</v>
      </c>
      <c r="D103" s="328"/>
      <c r="E103" s="329"/>
      <c r="F103" s="982">
        <f>F101+F102</f>
        <v>73.125999999999991</v>
      </c>
      <c r="G103" s="731"/>
      <c r="H103" s="159"/>
      <c r="I103" s="159"/>
      <c r="J103" s="159"/>
      <c r="K103" s="160"/>
      <c r="S103" s="156"/>
    </row>
    <row r="104" spans="2:19" x14ac:dyDescent="0.25">
      <c r="B104" s="157"/>
      <c r="C104" s="241"/>
      <c r="S104" s="156"/>
    </row>
    <row r="105" spans="2:19" x14ac:dyDescent="0.25">
      <c r="B105" s="157"/>
      <c r="C105" s="241"/>
      <c r="S105" s="156"/>
    </row>
    <row r="106" spans="2:19" x14ac:dyDescent="0.25">
      <c r="B106" s="157"/>
      <c r="C106" s="241" t="s">
        <v>1134</v>
      </c>
      <c r="S106" s="156"/>
    </row>
    <row r="107" spans="2:19" x14ac:dyDescent="0.25">
      <c r="B107" s="157"/>
      <c r="E107" s="502"/>
      <c r="F107" s="502"/>
      <c r="G107" s="502"/>
      <c r="H107" s="502"/>
      <c r="I107" s="502"/>
      <c r="J107" s="502"/>
      <c r="S107" s="156"/>
    </row>
    <row r="108" spans="2:19" x14ac:dyDescent="0.25">
      <c r="B108" s="157"/>
      <c r="C108" s="146" t="s">
        <v>1244</v>
      </c>
      <c r="E108" s="955"/>
      <c r="F108" s="955"/>
      <c r="G108" s="955"/>
      <c r="H108" s="955"/>
      <c r="I108" s="955"/>
      <c r="J108" s="955"/>
      <c r="S108" s="156"/>
    </row>
    <row r="109" spans="2:19" x14ac:dyDescent="0.25">
      <c r="B109" s="157"/>
      <c r="E109" s="956" t="s">
        <v>689</v>
      </c>
      <c r="F109" s="956" t="s">
        <v>690</v>
      </c>
      <c r="G109" s="956" t="s">
        <v>691</v>
      </c>
      <c r="H109" s="956" t="s">
        <v>692</v>
      </c>
      <c r="I109" s="205" t="s">
        <v>693</v>
      </c>
      <c r="J109" s="205" t="s">
        <v>694</v>
      </c>
      <c r="S109" s="156"/>
    </row>
    <row r="110" spans="2:19" x14ac:dyDescent="0.25">
      <c r="B110" s="157"/>
      <c r="D110" s="149" t="s">
        <v>1245</v>
      </c>
      <c r="E110" s="980">
        <v>0.47</v>
      </c>
      <c r="F110" s="980">
        <v>0.47</v>
      </c>
      <c r="G110" s="980">
        <v>0.47</v>
      </c>
      <c r="H110" s="980">
        <v>0.47</v>
      </c>
      <c r="I110" s="980">
        <v>0.47</v>
      </c>
      <c r="J110" s="980">
        <v>0.47</v>
      </c>
      <c r="S110" s="156"/>
    </row>
    <row r="111" spans="2:19" x14ac:dyDescent="0.25">
      <c r="B111" s="157"/>
      <c r="D111" s="149" t="s">
        <v>1246</v>
      </c>
      <c r="E111" s="981">
        <f>100%-E110</f>
        <v>0.53</v>
      </c>
      <c r="F111" s="981">
        <f t="shared" ref="F111:J111" si="11">100%-F110</f>
        <v>0.53</v>
      </c>
      <c r="G111" s="981">
        <f t="shared" si="11"/>
        <v>0.53</v>
      </c>
      <c r="H111" s="981">
        <f t="shared" si="11"/>
        <v>0.53</v>
      </c>
      <c r="I111" s="981">
        <f t="shared" si="11"/>
        <v>0.53</v>
      </c>
      <c r="J111" s="981">
        <f t="shared" si="11"/>
        <v>0.53</v>
      </c>
      <c r="S111" s="156"/>
    </row>
    <row r="112" spans="2:19" x14ac:dyDescent="0.25">
      <c r="B112" s="157"/>
      <c r="E112" s="502"/>
      <c r="F112" s="502"/>
      <c r="G112" s="502"/>
      <c r="H112" s="502"/>
      <c r="I112" s="502"/>
      <c r="J112" s="502"/>
      <c r="S112" s="156"/>
    </row>
    <row r="113" spans="1:130" s="4" customFormat="1" x14ac:dyDescent="0.25">
      <c r="A113" s="5"/>
      <c r="B113" s="957" t="s">
        <v>1030</v>
      </c>
      <c r="C113" s="765"/>
      <c r="D113" s="765"/>
      <c r="E113" s="765"/>
      <c r="F113" s="790" t="s">
        <v>1031</v>
      </c>
      <c r="G113" s="765"/>
      <c r="H113" s="765"/>
      <c r="I113" s="765"/>
      <c r="J113" s="176"/>
      <c r="K113" s="175"/>
      <c r="L113" s="175"/>
      <c r="M113" s="175"/>
      <c r="N113" s="175"/>
      <c r="O113" s="175"/>
      <c r="P113" s="176"/>
      <c r="Q113" s="764"/>
      <c r="R113" s="5"/>
      <c r="S113" s="958"/>
      <c r="T113" s="422"/>
      <c r="U113" s="150"/>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2"/>
      <c r="AZ113" s="422"/>
      <c r="BA113" s="422"/>
      <c r="BB113" s="422"/>
      <c r="BC113" s="422"/>
      <c r="BD113" s="422"/>
      <c r="BE113" s="422"/>
      <c r="BF113" s="422"/>
      <c r="BG113" s="422"/>
      <c r="BH113" s="422"/>
      <c r="BI113" s="422"/>
      <c r="BJ113" s="422"/>
      <c r="BK113" s="422"/>
      <c r="BL113" s="422"/>
      <c r="BM113" s="422"/>
      <c r="BN113" s="422"/>
      <c r="BO113" s="422"/>
      <c r="BP113" s="422"/>
      <c r="BQ113" s="422"/>
      <c r="BR113" s="422"/>
      <c r="BS113" s="422"/>
      <c r="BT113" s="422"/>
      <c r="BU113" s="422"/>
      <c r="BV113" s="422"/>
      <c r="BW113" s="422"/>
      <c r="BX113" s="422"/>
      <c r="BY113" s="422"/>
      <c r="BZ113" s="422"/>
      <c r="CA113" s="422"/>
      <c r="CB113" s="422"/>
      <c r="CC113" s="422"/>
      <c r="CD113" s="422"/>
      <c r="CE113" s="422"/>
      <c r="CF113" s="422"/>
      <c r="CG113" s="422"/>
      <c r="CH113" s="422"/>
      <c r="CI113" s="422"/>
      <c r="CJ113" s="422"/>
      <c r="CK113" s="422"/>
      <c r="CL113" s="422"/>
      <c r="CM113" s="422"/>
      <c r="CN113" s="422"/>
      <c r="CO113" s="422"/>
      <c r="CP113" s="422"/>
      <c r="CQ113" s="422"/>
      <c r="CR113" s="422"/>
      <c r="CS113" s="422"/>
      <c r="CT113" s="422"/>
      <c r="CU113" s="422"/>
      <c r="CV113" s="422"/>
      <c r="CW113" s="422"/>
      <c r="CX113" s="422"/>
      <c r="CY113" s="422"/>
      <c r="CZ113" s="422"/>
      <c r="DA113" s="422"/>
      <c r="DB113" s="422"/>
      <c r="DC113" s="422"/>
      <c r="DD113" s="422"/>
      <c r="DE113" s="422"/>
      <c r="DF113" s="422"/>
      <c r="DG113" s="422"/>
      <c r="DH113" s="422"/>
      <c r="DI113" s="422"/>
      <c r="DJ113" s="422"/>
      <c r="DK113" s="422"/>
      <c r="DL113" s="422"/>
      <c r="DM113" s="422"/>
      <c r="DN113" s="422"/>
      <c r="DO113" s="422"/>
      <c r="DP113" s="422"/>
      <c r="DQ113" s="422"/>
      <c r="DR113" s="422"/>
      <c r="DS113" s="422"/>
      <c r="DT113" s="422"/>
      <c r="DU113" s="422"/>
      <c r="DV113" s="422"/>
      <c r="DW113" s="422"/>
      <c r="DX113" s="422"/>
      <c r="DY113" s="422"/>
      <c r="DZ113" s="422"/>
    </row>
    <row r="114" spans="1:130" s="4" customFormat="1" x14ac:dyDescent="0.25">
      <c r="A114" s="5"/>
      <c r="B114" s="959" t="s">
        <v>1032</v>
      </c>
      <c r="C114" s="960"/>
      <c r="D114" s="960"/>
      <c r="E114" s="960"/>
      <c r="F114" s="961"/>
      <c r="G114" s="960"/>
      <c r="H114" s="960"/>
      <c r="I114" s="960"/>
      <c r="J114" s="962"/>
      <c r="K114" s="963"/>
      <c r="L114" s="963"/>
      <c r="M114" s="963"/>
      <c r="N114" s="963"/>
      <c r="O114" s="963"/>
      <c r="P114" s="962"/>
      <c r="Q114" s="768"/>
      <c r="R114" s="964"/>
      <c r="S114" s="965"/>
      <c r="T114" s="422"/>
      <c r="U114" s="150"/>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c r="AV114" s="422"/>
      <c r="AW114" s="422"/>
      <c r="AX114" s="422"/>
      <c r="AY114" s="422"/>
      <c r="AZ114" s="422"/>
      <c r="BA114" s="422"/>
      <c r="BB114" s="422"/>
      <c r="BC114" s="422"/>
      <c r="BD114" s="422"/>
      <c r="BE114" s="422"/>
      <c r="BF114" s="422"/>
      <c r="BG114" s="422"/>
      <c r="BH114" s="422"/>
      <c r="BI114" s="422"/>
      <c r="BJ114" s="422"/>
      <c r="BK114" s="422"/>
      <c r="BL114" s="422"/>
      <c r="BM114" s="422"/>
      <c r="BN114" s="422"/>
      <c r="BO114" s="422"/>
      <c r="BP114" s="422"/>
      <c r="BQ114" s="422"/>
      <c r="BR114" s="422"/>
      <c r="BS114" s="422"/>
      <c r="BT114" s="422"/>
      <c r="BU114" s="422"/>
      <c r="BV114" s="422"/>
      <c r="BW114" s="422"/>
      <c r="BX114" s="422"/>
      <c r="BY114" s="422"/>
      <c r="BZ114" s="422"/>
      <c r="CA114" s="422"/>
      <c r="CB114" s="422"/>
      <c r="CC114" s="422"/>
      <c r="CD114" s="422"/>
      <c r="CE114" s="422"/>
      <c r="CF114" s="422"/>
      <c r="CG114" s="422"/>
      <c r="CH114" s="422"/>
      <c r="CI114" s="422"/>
      <c r="CJ114" s="422"/>
      <c r="CK114" s="422"/>
      <c r="CL114" s="422"/>
      <c r="CM114" s="422"/>
      <c r="CN114" s="422"/>
      <c r="CO114" s="422"/>
      <c r="CP114" s="422"/>
      <c r="CQ114" s="422"/>
      <c r="CR114" s="422"/>
      <c r="CS114" s="422"/>
      <c r="CT114" s="422"/>
      <c r="CU114" s="422"/>
      <c r="CV114" s="422"/>
      <c r="CW114" s="422"/>
      <c r="CX114" s="422"/>
      <c r="CY114" s="422"/>
      <c r="CZ114" s="422"/>
      <c r="DA114" s="422"/>
      <c r="DB114" s="422"/>
      <c r="DC114" s="422"/>
      <c r="DD114" s="422"/>
      <c r="DE114" s="422"/>
      <c r="DF114" s="422"/>
      <c r="DG114" s="422"/>
      <c r="DH114" s="422"/>
      <c r="DI114" s="422"/>
      <c r="DJ114" s="422"/>
      <c r="DK114" s="422"/>
      <c r="DL114" s="422"/>
      <c r="DM114" s="422"/>
      <c r="DN114" s="422"/>
      <c r="DO114" s="422"/>
      <c r="DP114" s="422"/>
      <c r="DQ114" s="422"/>
      <c r="DR114" s="422"/>
      <c r="DS114" s="422"/>
      <c r="DT114" s="422"/>
      <c r="DU114" s="422"/>
      <c r="DV114" s="422"/>
      <c r="DW114" s="422"/>
      <c r="DX114" s="422"/>
      <c r="DY114" s="422"/>
      <c r="DZ114" s="422"/>
    </row>
    <row r="115" spans="1:130" x14ac:dyDescent="0.25">
      <c r="D115" s="159"/>
      <c r="K115" s="159"/>
      <c r="X115" s="720"/>
      <c r="Y115" s="720"/>
      <c r="Z115" s="720"/>
      <c r="AA115" s="720"/>
      <c r="AB115" s="720"/>
      <c r="AC115" s="720"/>
      <c r="AD115" s="720"/>
      <c r="AE115" s="720"/>
      <c r="AF115" s="720"/>
      <c r="AG115" s="720"/>
      <c r="AH115" s="720"/>
      <c r="AI115" s="720"/>
      <c r="AJ115" s="720"/>
      <c r="AK115" s="720"/>
      <c r="AL115" s="720"/>
      <c r="AM115" s="720"/>
      <c r="AN115" s="720"/>
      <c r="AO115" s="720"/>
      <c r="AP115" s="720"/>
      <c r="AQ115" s="720"/>
      <c r="AR115" s="720"/>
      <c r="AS115" s="720"/>
      <c r="AT115" s="720"/>
      <c r="AU115" s="720"/>
      <c r="AV115" s="720"/>
      <c r="AW115" s="720"/>
      <c r="AX115" s="720"/>
      <c r="AY115" s="720"/>
      <c r="AZ115" s="720"/>
      <c r="BA115" s="720"/>
      <c r="BB115" s="720"/>
      <c r="BC115" s="720"/>
      <c r="BD115" s="720"/>
      <c r="BE115" s="720"/>
      <c r="BF115" s="720"/>
      <c r="BG115" s="720"/>
      <c r="BH115" s="720"/>
      <c r="BI115" s="720"/>
      <c r="BJ115" s="720"/>
      <c r="BK115" s="720"/>
      <c r="BL115" s="720"/>
      <c r="BM115" s="720"/>
      <c r="BN115" s="720"/>
      <c r="BO115" s="720"/>
      <c r="BP115" s="720"/>
      <c r="BQ115" s="720"/>
      <c r="BR115" s="720"/>
      <c r="BS115" s="720"/>
      <c r="BT115" s="720"/>
      <c r="BU115" s="720"/>
      <c r="BV115" s="720"/>
      <c r="BW115" s="720"/>
      <c r="BX115" s="720"/>
      <c r="BY115" s="720"/>
      <c r="BZ115" s="720"/>
      <c r="CA115" s="720"/>
      <c r="CB115" s="720"/>
      <c r="CC115" s="720"/>
      <c r="CD115" s="720"/>
      <c r="CE115" s="720"/>
      <c r="CF115" s="720"/>
      <c r="CG115" s="720"/>
      <c r="CH115" s="720"/>
      <c r="CI115" s="720"/>
      <c r="CJ115" s="720"/>
      <c r="CK115" s="720"/>
      <c r="CL115" s="720"/>
      <c r="CM115" s="720"/>
      <c r="CN115" s="720"/>
      <c r="CO115" s="720"/>
      <c r="CP115" s="720"/>
      <c r="CQ115" s="720"/>
      <c r="CR115" s="720"/>
      <c r="CS115" s="720"/>
      <c r="CT115" s="720"/>
      <c r="CU115" s="720"/>
      <c r="CV115" s="720"/>
      <c r="CW115" s="720"/>
      <c r="CX115" s="720"/>
      <c r="CY115" s="720"/>
      <c r="CZ115" s="720"/>
      <c r="DA115" s="720"/>
      <c r="DB115" s="720"/>
      <c r="DC115" s="720"/>
      <c r="DD115" s="720"/>
      <c r="DE115" s="720"/>
      <c r="DF115" s="720"/>
      <c r="DG115" s="720"/>
      <c r="DH115" s="720"/>
      <c r="DI115" s="720"/>
      <c r="DJ115" s="720"/>
      <c r="DK115" s="720"/>
      <c r="DL115" s="720"/>
      <c r="DM115" s="720"/>
      <c r="DN115" s="720"/>
      <c r="DO115" s="720"/>
      <c r="DP115" s="720"/>
      <c r="DQ115" s="720"/>
      <c r="DR115" s="720"/>
      <c r="DS115" s="720"/>
      <c r="DT115" s="720"/>
      <c r="DU115" s="720"/>
      <c r="DV115" s="720"/>
      <c r="DW115" s="720"/>
      <c r="DX115" s="720"/>
      <c r="DY115" s="720"/>
      <c r="DZ115" s="720"/>
    </row>
    <row r="116" spans="1:130" x14ac:dyDescent="0.25">
      <c r="B116" s="153" t="s">
        <v>695</v>
      </c>
      <c r="C116" s="309"/>
      <c r="E116" s="309"/>
      <c r="F116" s="309"/>
      <c r="G116" s="309"/>
      <c r="H116" s="309"/>
      <c r="I116" s="309"/>
      <c r="J116" s="309"/>
      <c r="L116" s="309"/>
      <c r="M116" s="309"/>
      <c r="N116" s="309"/>
      <c r="O116" s="309"/>
      <c r="P116" s="309"/>
      <c r="Q116" s="309"/>
      <c r="R116" s="309"/>
      <c r="S116" s="717"/>
      <c r="T116" s="717"/>
      <c r="U116" s="717"/>
    </row>
    <row r="117" spans="1:130" x14ac:dyDescent="0.25">
      <c r="B117" s="157" t="s">
        <v>696</v>
      </c>
    </row>
    <row r="118" spans="1:130" x14ac:dyDescent="0.25">
      <c r="B118" s="157" t="s">
        <v>697</v>
      </c>
    </row>
    <row r="119" spans="1:130" x14ac:dyDescent="0.25">
      <c r="B119" s="157"/>
      <c r="C119" s="337"/>
      <c r="D119" s="207"/>
      <c r="E119" s="207"/>
      <c r="F119" s="207"/>
      <c r="J119" s="146" t="s">
        <v>698</v>
      </c>
    </row>
    <row r="120" spans="1:130" ht="42.95" customHeight="1" x14ac:dyDescent="0.25">
      <c r="B120" s="157"/>
      <c r="C120" s="387" t="s">
        <v>699</v>
      </c>
      <c r="D120" s="387" t="s">
        <v>700</v>
      </c>
      <c r="E120" s="387" t="s">
        <v>701</v>
      </c>
      <c r="F120" s="387" t="s">
        <v>1233</v>
      </c>
      <c r="G120" s="243" t="s">
        <v>1218</v>
      </c>
      <c r="H120" s="243" t="s">
        <v>1219</v>
      </c>
      <c r="I120" s="387" t="s">
        <v>997</v>
      </c>
      <c r="J120" s="969"/>
      <c r="K120" s="387" t="s">
        <v>702</v>
      </c>
      <c r="L120" s="387" t="s">
        <v>703</v>
      </c>
      <c r="T120" s="156"/>
    </row>
    <row r="121" spans="1:130" ht="42.95" customHeight="1" x14ac:dyDescent="0.25">
      <c r="B121" s="157"/>
      <c r="C121" s="390" t="s">
        <v>709</v>
      </c>
      <c r="D121" s="162" t="s">
        <v>1220</v>
      </c>
      <c r="E121" s="162" t="s">
        <v>964</v>
      </c>
      <c r="F121" s="733" t="s">
        <v>963</v>
      </c>
      <c r="G121" s="983">
        <v>1</v>
      </c>
      <c r="H121" s="983">
        <v>1</v>
      </c>
      <c r="I121" s="736"/>
      <c r="J121" s="720"/>
      <c r="K121" s="202"/>
      <c r="L121" s="202"/>
      <c r="T121" s="156"/>
    </row>
    <row r="122" spans="1:130" ht="42.95" customHeight="1" x14ac:dyDescent="0.25">
      <c r="B122" s="157"/>
      <c r="C122" s="390" t="s">
        <v>709</v>
      </c>
      <c r="D122" s="162" t="s">
        <v>1221</v>
      </c>
      <c r="E122" s="162" t="s">
        <v>710</v>
      </c>
      <c r="F122" s="733" t="s">
        <v>963</v>
      </c>
      <c r="G122" s="983">
        <v>20</v>
      </c>
      <c r="H122" s="983">
        <v>30</v>
      </c>
      <c r="I122" s="736"/>
      <c r="J122" s="720"/>
      <c r="K122" s="996" t="s">
        <v>706</v>
      </c>
      <c r="L122" s="589">
        <f>VLOOKUP(K122,payscales!$B:$K,10,0)</f>
        <v>42.84</v>
      </c>
      <c r="M122" t="s">
        <v>1059</v>
      </c>
      <c r="T122" s="156"/>
    </row>
    <row r="123" spans="1:130" ht="42.95" customHeight="1" x14ac:dyDescent="0.25">
      <c r="B123" s="157"/>
      <c r="C123" s="390" t="s">
        <v>709</v>
      </c>
      <c r="D123" s="162" t="s">
        <v>1222</v>
      </c>
      <c r="E123" s="162" t="s">
        <v>964</v>
      </c>
      <c r="F123" s="733" t="s">
        <v>963</v>
      </c>
      <c r="G123" s="983">
        <v>1</v>
      </c>
      <c r="H123" s="983">
        <v>1</v>
      </c>
      <c r="I123" s="736"/>
      <c r="J123" s="720"/>
      <c r="K123" s="202"/>
      <c r="L123" s="202"/>
      <c r="T123" s="156"/>
    </row>
    <row r="124" spans="1:130" ht="42.95" customHeight="1" x14ac:dyDescent="0.25">
      <c r="B124" s="157"/>
      <c r="C124" s="390" t="s">
        <v>709</v>
      </c>
      <c r="D124" s="162" t="s">
        <v>1223</v>
      </c>
      <c r="E124" s="162" t="s">
        <v>710</v>
      </c>
      <c r="F124" s="733" t="s">
        <v>963</v>
      </c>
      <c r="G124" s="983">
        <v>20</v>
      </c>
      <c r="H124" s="984">
        <v>30</v>
      </c>
      <c r="I124" s="736"/>
      <c r="J124" s="720"/>
      <c r="K124" s="996" t="s">
        <v>851</v>
      </c>
      <c r="L124" s="589">
        <f>VLOOKUP(K124,payscales!$B:$K,10,0)</f>
        <v>28.38</v>
      </c>
      <c r="M124" t="s">
        <v>1059</v>
      </c>
      <c r="T124" s="156"/>
    </row>
    <row r="125" spans="1:130" ht="42.95" customHeight="1" x14ac:dyDescent="0.25">
      <c r="B125" s="157"/>
      <c r="C125" s="390" t="s">
        <v>709</v>
      </c>
      <c r="D125" s="162" t="s">
        <v>1224</v>
      </c>
      <c r="E125" s="162" t="s">
        <v>964</v>
      </c>
      <c r="F125" s="733" t="s">
        <v>963</v>
      </c>
      <c r="G125" s="985">
        <v>1</v>
      </c>
      <c r="H125" s="585">
        <v>1</v>
      </c>
      <c r="I125" s="793"/>
      <c r="J125" s="720"/>
      <c r="K125" s="202"/>
      <c r="L125" s="202"/>
      <c r="T125" s="156"/>
    </row>
    <row r="126" spans="1:130" ht="42.95" customHeight="1" x14ac:dyDescent="0.25">
      <c r="B126" s="157"/>
      <c r="C126" s="390" t="s">
        <v>709</v>
      </c>
      <c r="D126" s="162" t="s">
        <v>1225</v>
      </c>
      <c r="E126" s="162" t="s">
        <v>710</v>
      </c>
      <c r="F126" s="733" t="s">
        <v>963</v>
      </c>
      <c r="G126" s="985">
        <v>20</v>
      </c>
      <c r="H126" s="585">
        <v>30</v>
      </c>
      <c r="I126" s="793"/>
      <c r="J126" s="720"/>
      <c r="K126" s="996" t="s">
        <v>851</v>
      </c>
      <c r="L126" s="589">
        <f>VLOOKUP(K126,payscales!$B:$K,10,0)</f>
        <v>28.38</v>
      </c>
      <c r="M126" t="s">
        <v>1059</v>
      </c>
      <c r="T126" s="156"/>
    </row>
    <row r="127" spans="1:130" ht="42.95" customHeight="1" x14ac:dyDescent="0.25">
      <c r="B127" s="157"/>
      <c r="C127" s="390" t="s">
        <v>709</v>
      </c>
      <c r="D127" s="162" t="s">
        <v>1226</v>
      </c>
      <c r="E127" s="162" t="s">
        <v>964</v>
      </c>
      <c r="F127" s="733" t="s">
        <v>963</v>
      </c>
      <c r="G127" s="985">
        <v>1</v>
      </c>
      <c r="H127" s="585">
        <v>1</v>
      </c>
      <c r="I127" s="793"/>
      <c r="J127" s="720"/>
      <c r="K127" s="202"/>
      <c r="L127" s="202"/>
      <c r="T127" s="156"/>
    </row>
    <row r="128" spans="1:130" ht="42.95" customHeight="1" x14ac:dyDescent="0.25">
      <c r="B128" s="157"/>
      <c r="C128" s="390" t="s">
        <v>709</v>
      </c>
      <c r="D128" s="162" t="s">
        <v>1226</v>
      </c>
      <c r="E128" s="162" t="s">
        <v>710</v>
      </c>
      <c r="F128" s="733" t="s">
        <v>963</v>
      </c>
      <c r="G128" s="985">
        <v>20</v>
      </c>
      <c r="H128" s="585">
        <v>30</v>
      </c>
      <c r="I128" s="793"/>
      <c r="J128" s="720"/>
      <c r="K128" s="996" t="s">
        <v>851</v>
      </c>
      <c r="L128" s="589">
        <f>VLOOKUP(K128,payscales!$B:$K,10,0)</f>
        <v>28.38</v>
      </c>
      <c r="M128" t="s">
        <v>1059</v>
      </c>
      <c r="T128" s="156"/>
    </row>
    <row r="129" spans="2:20" ht="42.95" customHeight="1" x14ac:dyDescent="0.25">
      <c r="B129" s="157"/>
      <c r="C129" s="388" t="s">
        <v>965</v>
      </c>
      <c r="D129" s="162" t="s">
        <v>1234</v>
      </c>
      <c r="E129" s="162" t="s">
        <v>964</v>
      </c>
      <c r="F129" s="733" t="s">
        <v>963</v>
      </c>
      <c r="G129" s="986">
        <v>1</v>
      </c>
      <c r="H129" s="585">
        <v>1</v>
      </c>
      <c r="I129" s="204"/>
      <c r="J129" s="720"/>
      <c r="K129" s="202"/>
      <c r="L129" s="205"/>
      <c r="T129" s="156"/>
    </row>
    <row r="130" spans="2:20" ht="42.95" customHeight="1" x14ac:dyDescent="0.25">
      <c r="B130" s="157"/>
      <c r="C130" s="388" t="s">
        <v>965</v>
      </c>
      <c r="D130" s="162" t="s">
        <v>967</v>
      </c>
      <c r="E130" s="162" t="s">
        <v>704</v>
      </c>
      <c r="F130" s="733" t="s">
        <v>963</v>
      </c>
      <c r="G130" s="986">
        <v>20</v>
      </c>
      <c r="H130" s="585">
        <v>20</v>
      </c>
      <c r="I130" s="204"/>
      <c r="J130" s="720"/>
      <c r="K130" s="947" t="s">
        <v>705</v>
      </c>
      <c r="L130" s="589">
        <f>VLOOKUP(K130,payscales!$B:$K,10,0)</f>
        <v>122.51</v>
      </c>
      <c r="M130" t="s">
        <v>1059</v>
      </c>
      <c r="T130" s="156"/>
    </row>
    <row r="131" spans="2:20" ht="42.95" customHeight="1" x14ac:dyDescent="0.25">
      <c r="B131" s="157"/>
      <c r="C131" s="388" t="s">
        <v>968</v>
      </c>
      <c r="D131" s="162" t="s">
        <v>1040</v>
      </c>
      <c r="E131" s="162" t="s">
        <v>970</v>
      </c>
      <c r="F131" s="733" t="s">
        <v>963</v>
      </c>
      <c r="G131" s="985">
        <v>1</v>
      </c>
      <c r="H131" s="202"/>
      <c r="I131" s="946"/>
      <c r="J131" s="720"/>
      <c r="K131" s="202"/>
      <c r="L131" s="205"/>
      <c r="T131" s="156"/>
    </row>
    <row r="132" spans="2:20" ht="42.95" customHeight="1" x14ac:dyDescent="0.25">
      <c r="B132" s="157"/>
      <c r="C132" s="388" t="s">
        <v>968</v>
      </c>
      <c r="D132" s="162" t="s">
        <v>1040</v>
      </c>
      <c r="E132" s="162" t="s">
        <v>971</v>
      </c>
      <c r="F132" s="733" t="s">
        <v>963</v>
      </c>
      <c r="G132" s="985">
        <v>60</v>
      </c>
      <c r="H132" s="202"/>
      <c r="I132" s="946"/>
      <c r="J132" s="720"/>
      <c r="K132" s="996" t="s">
        <v>706</v>
      </c>
      <c r="L132" s="589">
        <f>VLOOKUP(K132,payscales!$B:$K,10,0)</f>
        <v>42.84</v>
      </c>
      <c r="M132" t="s">
        <v>1059</v>
      </c>
      <c r="T132" s="156"/>
    </row>
    <row r="133" spans="2:20" ht="42.95" customHeight="1" x14ac:dyDescent="0.25">
      <c r="B133" s="157"/>
      <c r="C133" s="388" t="s">
        <v>968</v>
      </c>
      <c r="D133" s="162" t="s">
        <v>1040</v>
      </c>
      <c r="E133" s="162" t="s">
        <v>972</v>
      </c>
      <c r="F133" s="733" t="s">
        <v>963</v>
      </c>
      <c r="G133" s="985">
        <v>1</v>
      </c>
      <c r="H133" s="202"/>
      <c r="I133" s="946"/>
      <c r="J133" s="720"/>
      <c r="K133" s="202"/>
      <c r="L133" s="205"/>
      <c r="T133" s="156"/>
    </row>
    <row r="134" spans="2:20" ht="42.95" customHeight="1" x14ac:dyDescent="0.25">
      <c r="B134" s="157"/>
      <c r="C134" s="388" t="s">
        <v>968</v>
      </c>
      <c r="D134" s="162" t="s">
        <v>969</v>
      </c>
      <c r="E134" s="162" t="s">
        <v>973</v>
      </c>
      <c r="F134" s="733" t="s">
        <v>963</v>
      </c>
      <c r="G134" s="985">
        <v>15</v>
      </c>
      <c r="H134" s="202"/>
      <c r="I134" s="946"/>
      <c r="J134" s="720"/>
      <c r="K134" s="996" t="s">
        <v>706</v>
      </c>
      <c r="L134" s="589">
        <f>VLOOKUP(K134,payscales!$B:$K,10,0)</f>
        <v>42.84</v>
      </c>
      <c r="M134" t="s">
        <v>1059</v>
      </c>
      <c r="T134" s="156"/>
    </row>
    <row r="135" spans="2:20" ht="48" customHeight="1" x14ac:dyDescent="0.25">
      <c r="B135" s="157"/>
      <c r="C135" s="386" t="s">
        <v>1165</v>
      </c>
      <c r="D135" s="162" t="s">
        <v>1152</v>
      </c>
      <c r="E135" s="162" t="s">
        <v>1167</v>
      </c>
      <c r="F135" s="733" t="s">
        <v>963</v>
      </c>
      <c r="G135" s="985">
        <v>5</v>
      </c>
      <c r="H135" s="585">
        <v>5</v>
      </c>
      <c r="I135" s="793"/>
      <c r="J135" s="720"/>
      <c r="K135" s="202"/>
      <c r="L135" s="202"/>
      <c r="T135" s="156"/>
    </row>
    <row r="136" spans="2:20" ht="48" customHeight="1" x14ac:dyDescent="0.25">
      <c r="B136" s="157"/>
      <c r="C136" s="386" t="s">
        <v>1165</v>
      </c>
      <c r="D136" s="162" t="s">
        <v>1152</v>
      </c>
      <c r="E136" s="162" t="s">
        <v>985</v>
      </c>
      <c r="F136" s="733" t="s">
        <v>963</v>
      </c>
      <c r="G136" s="985">
        <v>480</v>
      </c>
      <c r="H136" s="585">
        <v>480</v>
      </c>
      <c r="I136" s="793"/>
      <c r="J136" s="720"/>
      <c r="K136" s="996" t="s">
        <v>706</v>
      </c>
      <c r="L136" s="589">
        <f>VLOOKUP(K136,payscales!$B:$K,10,0)</f>
        <v>42.84</v>
      </c>
      <c r="M136" t="s">
        <v>1059</v>
      </c>
      <c r="T136" s="156"/>
    </row>
    <row r="137" spans="2:20" ht="48.95" customHeight="1" x14ac:dyDescent="0.25">
      <c r="B137" s="157"/>
      <c r="C137" s="386" t="s">
        <v>1165</v>
      </c>
      <c r="D137" s="162" t="s">
        <v>983</v>
      </c>
      <c r="E137" s="162" t="s">
        <v>984</v>
      </c>
      <c r="F137" s="735" t="s">
        <v>1166</v>
      </c>
      <c r="G137" s="945"/>
      <c r="H137" s="202"/>
      <c r="I137" s="987">
        <v>8.6999999999999993</v>
      </c>
      <c r="J137" s="720"/>
      <c r="K137" s="202"/>
      <c r="L137" s="202"/>
      <c r="T137" s="156"/>
    </row>
    <row r="138" spans="2:20" ht="48.95" customHeight="1" x14ac:dyDescent="0.25">
      <c r="B138" s="157"/>
      <c r="C138" s="386" t="s">
        <v>1165</v>
      </c>
      <c r="D138" s="162" t="s">
        <v>976</v>
      </c>
      <c r="E138" s="162" t="s">
        <v>985</v>
      </c>
      <c r="F138" s="735" t="s">
        <v>1166</v>
      </c>
      <c r="G138" s="945"/>
      <c r="H138" s="202"/>
      <c r="I138" s="987">
        <v>480</v>
      </c>
      <c r="J138" s="720"/>
      <c r="K138" s="996" t="s">
        <v>706</v>
      </c>
      <c r="L138" s="589">
        <f>VLOOKUP(K138,payscales!$B:$K,10,0)</f>
        <v>42.84</v>
      </c>
      <c r="M138" t="s">
        <v>1059</v>
      </c>
      <c r="T138" s="156"/>
    </row>
    <row r="139" spans="2:20" ht="30" x14ac:dyDescent="0.25">
      <c r="B139" s="157"/>
      <c r="C139" s="389" t="s">
        <v>974</v>
      </c>
      <c r="D139" s="162" t="s">
        <v>1157</v>
      </c>
      <c r="E139" s="162" t="s">
        <v>1155</v>
      </c>
      <c r="F139" s="735" t="s">
        <v>975</v>
      </c>
      <c r="G139" s="985">
        <v>2</v>
      </c>
      <c r="H139" s="585">
        <v>2</v>
      </c>
      <c r="I139" s="793"/>
      <c r="J139" s="720"/>
      <c r="K139" s="202"/>
      <c r="L139" s="202"/>
      <c r="T139" s="156"/>
    </row>
    <row r="140" spans="2:20" ht="35.450000000000003" customHeight="1" x14ac:dyDescent="0.25">
      <c r="B140" s="157"/>
      <c r="C140" s="389" t="s">
        <v>974</v>
      </c>
      <c r="D140" s="162" t="s">
        <v>976</v>
      </c>
      <c r="E140" s="162" t="s">
        <v>1156</v>
      </c>
      <c r="F140" s="735" t="s">
        <v>975</v>
      </c>
      <c r="G140" s="985">
        <v>60</v>
      </c>
      <c r="H140" s="585">
        <v>60</v>
      </c>
      <c r="I140" s="793"/>
      <c r="J140" s="720"/>
      <c r="K140" s="996" t="s">
        <v>705</v>
      </c>
      <c r="L140" s="589">
        <f>VLOOKUP(K140,payscales!$B:$K,10,0)</f>
        <v>122.51</v>
      </c>
      <c r="M140" t="s">
        <v>1059</v>
      </c>
      <c r="T140" s="156"/>
    </row>
    <row r="141" spans="2:20" ht="35.450000000000003" customHeight="1" x14ac:dyDescent="0.25">
      <c r="B141" s="157"/>
      <c r="C141" s="389" t="s">
        <v>974</v>
      </c>
      <c r="D141" s="162" t="s">
        <v>977</v>
      </c>
      <c r="E141" s="162" t="s">
        <v>978</v>
      </c>
      <c r="F141" s="735" t="s">
        <v>979</v>
      </c>
      <c r="G141" s="985">
        <v>1</v>
      </c>
      <c r="H141" s="585">
        <v>1</v>
      </c>
      <c r="I141" s="793"/>
      <c r="J141" s="720"/>
      <c r="K141" s="202"/>
      <c r="L141" s="202"/>
      <c r="T141" s="156"/>
    </row>
    <row r="142" spans="2:20" ht="48" customHeight="1" x14ac:dyDescent="0.25">
      <c r="B142" s="157"/>
      <c r="C142" s="389" t="s">
        <v>974</v>
      </c>
      <c r="D142" s="162" t="s">
        <v>977</v>
      </c>
      <c r="E142" s="162" t="s">
        <v>980</v>
      </c>
      <c r="F142" s="735" t="s">
        <v>979</v>
      </c>
      <c r="G142" s="985">
        <f>60*2</f>
        <v>120</v>
      </c>
      <c r="H142" s="585">
        <v>120</v>
      </c>
      <c r="I142" s="793"/>
      <c r="J142" s="720"/>
      <c r="K142" s="996" t="s">
        <v>705</v>
      </c>
      <c r="L142" s="589">
        <f>VLOOKUP(K142,payscales!$B:$K,10,0)</f>
        <v>122.51</v>
      </c>
      <c r="M142" t="s">
        <v>1059</v>
      </c>
      <c r="T142" s="156"/>
    </row>
    <row r="143" spans="2:20" ht="48" customHeight="1" x14ac:dyDescent="0.25">
      <c r="B143" s="157"/>
      <c r="C143" s="884" t="s">
        <v>1163</v>
      </c>
      <c r="D143" s="162" t="s">
        <v>1152</v>
      </c>
      <c r="E143" s="162" t="s">
        <v>982</v>
      </c>
      <c r="F143" s="734" t="s">
        <v>1176</v>
      </c>
      <c r="G143" s="985">
        <v>21</v>
      </c>
      <c r="H143" s="585">
        <v>21</v>
      </c>
      <c r="I143" s="793"/>
      <c r="J143" s="720"/>
      <c r="K143" s="202"/>
      <c r="L143" s="202"/>
      <c r="T143" s="156"/>
    </row>
    <row r="144" spans="2:20" ht="48.95" customHeight="1" x14ac:dyDescent="0.25">
      <c r="B144" s="157"/>
      <c r="C144" s="884" t="s">
        <v>1163</v>
      </c>
      <c r="D144" s="395" t="s">
        <v>981</v>
      </c>
      <c r="E144" s="395" t="s">
        <v>982</v>
      </c>
      <c r="F144" s="911" t="s">
        <v>979</v>
      </c>
      <c r="G144" s="988">
        <v>28</v>
      </c>
      <c r="H144" s="585">
        <v>28</v>
      </c>
      <c r="I144" s="794"/>
      <c r="J144" s="720"/>
      <c r="K144" s="202"/>
      <c r="L144" s="202"/>
      <c r="T144" s="156"/>
    </row>
    <row r="145" spans="2:21" ht="48.95" customHeight="1" x14ac:dyDescent="0.25">
      <c r="B145" s="157"/>
      <c r="C145" s="913" t="s">
        <v>806</v>
      </c>
      <c r="D145" s="162" t="s">
        <v>1193</v>
      </c>
      <c r="E145" s="162" t="s">
        <v>1167</v>
      </c>
      <c r="F145" s="387" t="s">
        <v>1176</v>
      </c>
      <c r="G145" s="986">
        <v>4</v>
      </c>
      <c r="H145" s="202"/>
      <c r="I145" s="204"/>
      <c r="J145" s="720"/>
      <c r="K145" s="202"/>
      <c r="L145" s="202"/>
      <c r="T145" s="156"/>
    </row>
    <row r="146" spans="2:21" ht="48.95" customHeight="1" x14ac:dyDescent="0.25">
      <c r="B146" s="157"/>
      <c r="C146" s="912" t="s">
        <v>806</v>
      </c>
      <c r="D146" s="162" t="s">
        <v>1194</v>
      </c>
      <c r="E146" s="162" t="s">
        <v>1167</v>
      </c>
      <c r="F146" s="387" t="s">
        <v>1176</v>
      </c>
      <c r="G146" s="986">
        <v>0</v>
      </c>
      <c r="H146" s="202"/>
      <c r="I146" s="204"/>
      <c r="J146" s="720"/>
      <c r="K146" s="202"/>
      <c r="L146" s="202"/>
      <c r="T146" s="156"/>
    </row>
    <row r="147" spans="2:21" ht="48.95" customHeight="1" x14ac:dyDescent="0.25">
      <c r="B147" s="157"/>
      <c r="C147" s="913" t="s">
        <v>806</v>
      </c>
      <c r="D147" s="162" t="s">
        <v>1235</v>
      </c>
      <c r="E147" s="162" t="s">
        <v>1167</v>
      </c>
      <c r="F147" s="387" t="s">
        <v>1176</v>
      </c>
      <c r="G147" s="986">
        <v>4</v>
      </c>
      <c r="H147" s="202"/>
      <c r="I147" s="204"/>
      <c r="J147" s="720"/>
      <c r="K147" s="202"/>
      <c r="L147" s="202"/>
      <c r="T147" s="156"/>
    </row>
    <row r="148" spans="2:21" ht="48.95" customHeight="1" x14ac:dyDescent="0.25">
      <c r="B148" s="157"/>
      <c r="C148" s="913" t="s">
        <v>806</v>
      </c>
      <c r="D148" s="162" t="s">
        <v>1236</v>
      </c>
      <c r="E148" s="162" t="s">
        <v>1167</v>
      </c>
      <c r="F148" s="387" t="s">
        <v>1176</v>
      </c>
      <c r="G148" s="986">
        <v>0</v>
      </c>
      <c r="H148" s="202"/>
      <c r="I148" s="204"/>
      <c r="J148" s="720"/>
      <c r="K148" s="202"/>
      <c r="L148" s="202"/>
      <c r="T148" s="156"/>
    </row>
    <row r="149" spans="2:21" ht="48.95" customHeight="1" x14ac:dyDescent="0.25">
      <c r="B149" s="157"/>
      <c r="C149" s="913" t="s">
        <v>806</v>
      </c>
      <c r="D149" s="162" t="s">
        <v>986</v>
      </c>
      <c r="E149" s="162" t="s">
        <v>988</v>
      </c>
      <c r="F149" s="387" t="s">
        <v>1176</v>
      </c>
      <c r="G149" s="986">
        <v>40</v>
      </c>
      <c r="H149" s="202"/>
      <c r="I149" s="204"/>
      <c r="J149" s="720"/>
      <c r="K149" s="996" t="s">
        <v>706</v>
      </c>
      <c r="L149" s="589">
        <f>VLOOKUP(K149,payscales!$B:$K,10,0)</f>
        <v>42.84</v>
      </c>
      <c r="M149" t="s">
        <v>1059</v>
      </c>
      <c r="T149" s="156"/>
    </row>
    <row r="150" spans="2:21" ht="48.95" customHeight="1" x14ac:dyDescent="0.25">
      <c r="B150" s="157"/>
      <c r="C150" s="913" t="s">
        <v>806</v>
      </c>
      <c r="D150" s="162" t="s">
        <v>987</v>
      </c>
      <c r="E150" s="162" t="s">
        <v>988</v>
      </c>
      <c r="F150" s="387" t="s">
        <v>1176</v>
      </c>
      <c r="G150" s="986">
        <v>0</v>
      </c>
      <c r="H150" s="202"/>
      <c r="I150" s="204"/>
      <c r="J150" s="720"/>
      <c r="K150" s="996" t="s">
        <v>706</v>
      </c>
      <c r="L150" s="589">
        <f>VLOOKUP(K150,payscales!$B:$K,10,0)</f>
        <v>42.84</v>
      </c>
      <c r="M150" t="s">
        <v>1059</v>
      </c>
      <c r="T150" s="156"/>
    </row>
    <row r="151" spans="2:21" x14ac:dyDescent="0.25">
      <c r="B151" s="157"/>
      <c r="C151" s="192" t="s">
        <v>713</v>
      </c>
      <c r="D151" s="149"/>
      <c r="H151" s="720"/>
      <c r="U151" s="156"/>
    </row>
    <row r="152" spans="2:21" x14ac:dyDescent="0.25">
      <c r="B152" s="157"/>
      <c r="C152" s="192" t="s">
        <v>989</v>
      </c>
      <c r="D152" s="149"/>
      <c r="H152" s="720"/>
      <c r="U152" s="156"/>
    </row>
    <row r="153" spans="2:21" x14ac:dyDescent="0.25">
      <c r="B153" s="157"/>
      <c r="C153" t="s">
        <v>1192</v>
      </c>
      <c r="D153" s="149"/>
      <c r="H153" s="720"/>
      <c r="U153" s="156"/>
    </row>
    <row r="154" spans="2:21" x14ac:dyDescent="0.25">
      <c r="B154" s="157"/>
      <c r="C154" t="s">
        <v>990</v>
      </c>
      <c r="D154" s="149"/>
      <c r="H154" s="720"/>
      <c r="U154" s="156"/>
    </row>
    <row r="155" spans="2:21" x14ac:dyDescent="0.25">
      <c r="B155" s="157"/>
      <c r="C155" s="1028" t="s">
        <v>991</v>
      </c>
      <c r="D155" s="1028"/>
      <c r="E155" s="1028"/>
      <c r="F155" s="1028"/>
      <c r="G155" s="1028"/>
      <c r="H155" s="1028"/>
      <c r="I155" s="1028"/>
      <c r="J155" s="1028"/>
      <c r="K155" s="1028"/>
      <c r="L155" s="1028"/>
      <c r="U155" s="156"/>
    </row>
    <row r="156" spans="2:21" x14ac:dyDescent="0.25">
      <c r="B156" s="157"/>
      <c r="C156" s="338" t="s">
        <v>992</v>
      </c>
      <c r="D156" s="149"/>
      <c r="U156" s="156"/>
    </row>
    <row r="157" spans="2:21" x14ac:dyDescent="0.25">
      <c r="B157" s="157"/>
      <c r="C157" s="737" t="s">
        <v>979</v>
      </c>
      <c r="D157" s="149"/>
      <c r="H157" s="339"/>
      <c r="N157" s="519"/>
      <c r="U157" s="156"/>
    </row>
    <row r="158" spans="2:21" x14ac:dyDescent="0.25">
      <c r="B158" s="157"/>
      <c r="C158" s="738" t="s">
        <v>993</v>
      </c>
      <c r="D158" s="149"/>
      <c r="H158" s="339"/>
      <c r="N158" s="519"/>
      <c r="U158" s="156"/>
    </row>
    <row r="159" spans="2:21" x14ac:dyDescent="0.25">
      <c r="B159" s="157"/>
      <c r="C159" s="738" t="s">
        <v>994</v>
      </c>
      <c r="D159" s="149"/>
      <c r="H159" s="339"/>
      <c r="N159" s="519"/>
      <c r="U159" s="156"/>
    </row>
    <row r="160" spans="2:21" x14ac:dyDescent="0.25">
      <c r="B160" s="157"/>
      <c r="C160" s="738" t="s">
        <v>995</v>
      </c>
      <c r="D160" s="149"/>
      <c r="H160" s="339"/>
      <c r="N160" s="519"/>
      <c r="U160" s="156"/>
    </row>
    <row r="161" spans="2:21" x14ac:dyDescent="0.25">
      <c r="B161" s="157"/>
      <c r="C161" s="737"/>
      <c r="D161" s="149"/>
      <c r="H161" s="339"/>
      <c r="N161" s="519"/>
      <c r="U161" s="156"/>
    </row>
    <row r="162" spans="2:21" x14ac:dyDescent="0.25">
      <c r="B162" s="157"/>
      <c r="C162" s="738"/>
      <c r="D162" s="149"/>
      <c r="H162" s="339"/>
      <c r="N162" s="519"/>
      <c r="U162" s="156"/>
    </row>
    <row r="163" spans="2:21" x14ac:dyDescent="0.25">
      <c r="B163" s="158"/>
      <c r="C163" s="159"/>
      <c r="D163" s="161"/>
      <c r="E163" s="161"/>
      <c r="F163" s="161"/>
      <c r="G163" s="161"/>
      <c r="H163" s="159"/>
      <c r="I163" s="159"/>
      <c r="J163" s="159"/>
      <c r="K163" s="159"/>
      <c r="L163" s="159"/>
      <c r="M163" s="159"/>
      <c r="N163" s="159"/>
      <c r="O163" s="159"/>
      <c r="P163" s="159"/>
      <c r="Q163" s="159"/>
      <c r="R163" s="159"/>
      <c r="S163" s="159"/>
      <c r="T163" s="159"/>
      <c r="U163" s="160"/>
    </row>
    <row r="164" spans="2:21" x14ac:dyDescent="0.25">
      <c r="D164" s="149"/>
      <c r="E164" s="149"/>
      <c r="F164" s="149"/>
      <c r="G164" s="149"/>
    </row>
    <row r="165" spans="2:21" x14ac:dyDescent="0.25">
      <c r="B165" s="382" t="s">
        <v>714</v>
      </c>
      <c r="C165" s="381"/>
      <c r="D165" s="381"/>
      <c r="E165" s="381"/>
      <c r="F165" s="381"/>
      <c r="G165" s="381"/>
      <c r="H165" s="381"/>
      <c r="I165" s="381"/>
      <c r="J165" s="381"/>
      <c r="K165" s="381"/>
      <c r="L165" s="381"/>
      <c r="M165" s="381"/>
      <c r="N165" s="381"/>
      <c r="O165" s="381"/>
      <c r="P165" s="381"/>
      <c r="Q165" s="381"/>
      <c r="R165" s="381"/>
      <c r="S165" s="221"/>
    </row>
    <row r="166" spans="2:21" x14ac:dyDescent="0.25">
      <c r="B166" s="225"/>
      <c r="C166" s="218"/>
      <c r="D166" s="218"/>
      <c r="E166" s="218"/>
      <c r="F166" s="218"/>
      <c r="G166" s="218"/>
      <c r="H166" s="218"/>
      <c r="I166" s="218"/>
      <c r="J166" s="218"/>
      <c r="K166" s="218"/>
      <c r="L166" s="218"/>
      <c r="M166" s="218"/>
      <c r="N166" s="218"/>
      <c r="O166" s="218"/>
      <c r="P166" s="218"/>
      <c r="Q166" s="218"/>
      <c r="R166" s="218"/>
      <c r="S166" s="226"/>
    </row>
    <row r="167" spans="2:21" x14ac:dyDescent="0.25">
      <c r="B167" s="225"/>
      <c r="C167" s="597" t="s">
        <v>715</v>
      </c>
      <c r="D167" s="218"/>
      <c r="E167" s="218"/>
      <c r="F167" s="218"/>
      <c r="G167" s="218"/>
      <c r="H167" s="218"/>
      <c r="I167" s="218"/>
      <c r="J167" s="218"/>
      <c r="K167" s="218"/>
      <c r="L167" s="218"/>
      <c r="M167" s="218"/>
      <c r="N167" s="218"/>
      <c r="O167" s="218"/>
      <c r="P167" s="218"/>
      <c r="Q167" s="218"/>
      <c r="R167" s="218"/>
      <c r="S167" s="226"/>
    </row>
    <row r="168" spans="2:21" x14ac:dyDescent="0.25">
      <c r="B168" s="225"/>
      <c r="C168" s="593" t="s">
        <v>716</v>
      </c>
      <c r="D168" s="218"/>
      <c r="E168" s="218"/>
      <c r="F168" s="218"/>
      <c r="G168" s="218"/>
      <c r="H168" s="218"/>
      <c r="I168" s="218"/>
      <c r="J168" s="218"/>
      <c r="K168" s="218"/>
      <c r="L168" s="218"/>
      <c r="M168" s="218"/>
      <c r="N168" s="218"/>
      <c r="O168" s="218"/>
      <c r="P168" s="218"/>
      <c r="Q168" s="218"/>
      <c r="R168" s="218"/>
      <c r="S168" s="226"/>
    </row>
    <row r="169" spans="2:21" x14ac:dyDescent="0.25">
      <c r="B169" s="225"/>
      <c r="C169" s="593" t="s">
        <v>717</v>
      </c>
      <c r="D169" s="218"/>
      <c r="E169" s="218"/>
      <c r="F169" s="218"/>
      <c r="G169" s="218"/>
      <c r="H169" s="218"/>
      <c r="I169" s="218"/>
      <c r="J169" s="218"/>
      <c r="K169" s="218"/>
      <c r="L169" s="218"/>
      <c r="M169" s="218"/>
      <c r="N169" s="218"/>
      <c r="O169" s="218"/>
      <c r="P169" s="218"/>
      <c r="Q169" s="218"/>
      <c r="R169" s="218"/>
      <c r="S169" s="226"/>
    </row>
    <row r="170" spans="2:21" x14ac:dyDescent="0.25">
      <c r="B170" s="225"/>
      <c r="C170" s="430" t="s">
        <v>718</v>
      </c>
      <c r="D170" s="218"/>
      <c r="E170" s="218"/>
      <c r="F170" s="218"/>
      <c r="G170" s="218"/>
      <c r="H170" s="218"/>
      <c r="I170" s="218"/>
      <c r="J170" s="218"/>
      <c r="K170" s="218"/>
      <c r="L170" s="218"/>
      <c r="M170" s="218"/>
      <c r="N170" s="218"/>
      <c r="O170" s="218"/>
      <c r="P170" s="218"/>
      <c r="Q170" s="218"/>
      <c r="R170" s="218"/>
      <c r="S170" s="226"/>
    </row>
    <row r="171" spans="2:21" x14ac:dyDescent="0.25">
      <c r="B171" s="225"/>
      <c r="C171" s="430" t="s">
        <v>719</v>
      </c>
      <c r="D171" s="218"/>
      <c r="E171" s="218"/>
      <c r="F171" s="218"/>
      <c r="G171" s="218"/>
      <c r="H171" s="218"/>
      <c r="I171" s="218"/>
      <c r="J171" s="218"/>
      <c r="K171" s="218"/>
      <c r="L171" s="218"/>
      <c r="M171" s="218"/>
      <c r="N171" s="218"/>
      <c r="O171" s="218"/>
      <c r="P171" s="218"/>
      <c r="Q171" s="218"/>
      <c r="R171" s="218"/>
      <c r="S171" s="226"/>
    </row>
    <row r="172" spans="2:21" x14ac:dyDescent="0.25">
      <c r="B172" s="225"/>
      <c r="C172" s="430"/>
      <c r="D172" s="218"/>
      <c r="E172" s="218"/>
      <c r="F172" s="218"/>
      <c r="G172" s="218"/>
      <c r="H172" s="218"/>
      <c r="I172" s="218"/>
      <c r="J172" s="218"/>
      <c r="K172" s="218"/>
      <c r="L172" s="218"/>
      <c r="M172" s="218"/>
      <c r="N172" s="218"/>
      <c r="O172" s="218"/>
      <c r="P172" s="218"/>
      <c r="Q172" s="218"/>
      <c r="R172" s="218"/>
      <c r="S172" s="226"/>
    </row>
    <row r="173" spans="2:21" x14ac:dyDescent="0.25">
      <c r="B173" s="225"/>
      <c r="C173" s="596" t="s">
        <v>720</v>
      </c>
      <c r="D173" s="218"/>
      <c r="E173" s="218"/>
      <c r="F173" s="218"/>
      <c r="G173" s="218"/>
      <c r="H173" s="218"/>
      <c r="I173" s="218"/>
      <c r="J173" s="218"/>
      <c r="K173" s="218"/>
      <c r="L173" s="218"/>
      <c r="M173" s="218"/>
      <c r="N173" s="218"/>
      <c r="O173" s="218"/>
      <c r="P173" s="218"/>
      <c r="Q173" s="218"/>
      <c r="R173" s="218"/>
      <c r="S173" s="226"/>
    </row>
    <row r="174" spans="2:21" x14ac:dyDescent="0.25">
      <c r="B174" s="225"/>
      <c r="C174" s="593" t="s">
        <v>721</v>
      </c>
      <c r="D174" s="218"/>
      <c r="E174" s="218"/>
      <c r="F174" s="218"/>
      <c r="G174" s="218"/>
      <c r="H174" s="218"/>
      <c r="I174" s="218"/>
      <c r="J174" s="218"/>
      <c r="K174" s="218"/>
      <c r="L174" s="218"/>
      <c r="M174" s="218"/>
      <c r="N174" s="218"/>
      <c r="O174" s="218"/>
      <c r="P174" s="218"/>
      <c r="Q174" s="218"/>
      <c r="R174" s="218"/>
      <c r="S174" s="226"/>
    </row>
    <row r="175" spans="2:21" x14ac:dyDescent="0.25">
      <c r="B175" s="225"/>
      <c r="C175" s="430" t="s">
        <v>722</v>
      </c>
      <c r="D175" s="218"/>
      <c r="E175" s="218"/>
      <c r="F175" s="218"/>
      <c r="G175" s="218"/>
      <c r="H175" s="218"/>
      <c r="I175" s="218"/>
      <c r="J175" s="218"/>
      <c r="K175" s="218"/>
      <c r="L175" s="218"/>
      <c r="M175" s="218"/>
      <c r="N175" s="218"/>
      <c r="O175" s="218"/>
      <c r="P175" s="218"/>
      <c r="Q175" s="218"/>
      <c r="R175" s="218"/>
      <c r="S175" s="226"/>
    </row>
    <row r="176" spans="2:21" x14ac:dyDescent="0.25">
      <c r="B176" s="225"/>
      <c r="C176" s="430" t="s">
        <v>723</v>
      </c>
      <c r="D176" s="218"/>
      <c r="E176" s="218"/>
      <c r="F176" s="218"/>
      <c r="G176" s="218"/>
      <c r="H176" s="218"/>
      <c r="I176" s="218"/>
      <c r="J176" s="218"/>
      <c r="K176" s="218"/>
      <c r="L176" s="218"/>
      <c r="M176" s="218"/>
      <c r="N176" s="218"/>
      <c r="O176" s="218"/>
      <c r="P176" s="218"/>
      <c r="Q176" s="218"/>
      <c r="R176" s="218"/>
      <c r="S176" s="226"/>
    </row>
    <row r="177" spans="2:19" x14ac:dyDescent="0.25">
      <c r="B177" s="225"/>
      <c r="C177" s="430" t="s">
        <v>724</v>
      </c>
      <c r="D177" s="218"/>
      <c r="E177" s="218"/>
      <c r="F177" s="218"/>
      <c r="G177" s="218"/>
      <c r="H177" s="218"/>
      <c r="I177" s="218"/>
      <c r="J177" s="218"/>
      <c r="K177" s="218"/>
      <c r="L177" s="218"/>
      <c r="M177" s="218"/>
      <c r="N177" s="218"/>
      <c r="O177" s="218"/>
      <c r="P177" s="218"/>
      <c r="Q177" s="218"/>
      <c r="R177" s="218"/>
      <c r="S177" s="226"/>
    </row>
    <row r="178" spans="2:19" x14ac:dyDescent="0.25">
      <c r="B178" s="223"/>
      <c r="C178" s="227"/>
      <c r="D178" s="222"/>
      <c r="E178" s="222"/>
      <c r="F178" s="222"/>
      <c r="G178" s="222"/>
      <c r="H178" s="222"/>
      <c r="I178" s="222"/>
      <c r="J178" s="222"/>
      <c r="K178" s="222"/>
      <c r="L178" s="222"/>
      <c r="M178" s="222"/>
      <c r="N178" s="222"/>
      <c r="O178" s="222"/>
      <c r="P178" s="222"/>
      <c r="Q178" s="222"/>
      <c r="R178" s="222"/>
      <c r="S178" s="224"/>
    </row>
  </sheetData>
  <sheetProtection algorithmName="SHA-512" hashValue="CSyHeMnj473DgVzHFRAojPN37Exv5u+ap4XTTDX3e/12AQq8nlH5eIOqDIzVHltP4vZSZoNU/xU0BfRs+Sk53A==" saltValue="dfyxNiI44zE8Rg2t/qLR0A==" spinCount="100000" sheet="1" objects="1" scenarios="1"/>
  <protectedRanges>
    <protectedRange sqref="E11:E13 E15 E17 E19:E20 E27:G30 F31:G31 F34 G32:G35 E32:F33 E35:F35 G39 G119:H119 F36:F37 D86:E88 I91:J98 G86:J88 F50:K51" name="Range1"/>
    <protectedRange sqref="D101:D103" name="Range1_3"/>
    <protectedRange sqref="D101:E102" name="Range13_1"/>
    <protectedRange sqref="F103" name="Range14_1"/>
    <protectedRange sqref="G121:I149 G150 I150 H150:H154 J121:J150" name="Range1_5"/>
    <protectedRange sqref="G121:I149 G150 I150 H150:H154 J121:J150" name="Range19"/>
    <protectedRange sqref="K122:L122 K124:L124 K126:L126 K134:L134 K130:L130 K132:L132 K128:L128 K140:L140 K142:L142 K138:L138 K136:L136 K149:L150" name="Range22"/>
    <protectedRange sqref="E110:J110" name="Range1_1"/>
    <protectedRange sqref="E110:J111" name="Range18"/>
  </protectedRanges>
  <mergeCells count="4">
    <mergeCell ref="D92:H92"/>
    <mergeCell ref="D93:H93"/>
    <mergeCell ref="G100:K100"/>
    <mergeCell ref="C155:L155"/>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68" r:id="rId1" display="Office for National Statistics Population Estimates, England and Wales: mid-2022" xr:uid="{E5307553-7A6C-4E4A-A884-E27CF8AE4772}"/>
    <hyperlink ref="C169" r:id="rId2" xr:uid="{7973B0A5-0DDC-4D6E-A615-7910C6E2CF4A}"/>
    <hyperlink ref="C174" r:id="rId3" xr:uid="{EDC70E40-643A-4353-80EE-8CAA529E12F0}"/>
    <hyperlink ref="W27" r:id="rId4" display="https://nhr.mdsas.com/wp-content/uploads/2024/09/NHR-Annual-Report-23-24.pdf" xr:uid="{86483917-2BF0-4C4D-B1B1-E392926F1174}"/>
    <hyperlink ref="Q28" r:id="rId5" display="https://nhr.mdsas.com/wp-content/uploads/2024/03/NHR_Public_Report.pdf" xr:uid="{BC392BC6-FB10-4113-9365-C821333DBE46}"/>
    <hyperlink ref="K92" r:id="rId6" xr:uid="{ED1864D9-ED9E-47B6-B57A-C2117587E2CF}"/>
    <hyperlink ref="G101" r:id="rId7" display="https://www.groupeproxim.ca/en/article/health/average-height-and-weight" xr:uid="{CD71BC8F-4F17-448D-8D9E-F31ABADEBFC0}"/>
    <hyperlink ref="G102" r:id="rId8" display="https://digital.nhs.uk/data-and-information/publications/statistical/health-survey-for-england/2021/part-4-trends" xr:uid="{C1BC9EB3-A1E5-4140-A50D-D6BD18B3AEF7}"/>
    <hyperlink ref="C156" r:id="rId9" location=":~:text=The%20egg%20retrieval%20process%20takes%20about%2015%20minutes.&amp;text=After%20the%20egg%20retrieval%2C%20you,wake%20up%20from%20the%20anesthesia." display="https://extendfertility.com/services/egg-freezing/the-egg-retrieval/ - :~:text=The%20egg%20retrieval%20process%20takes%20about%2015%20minutes.&amp;text=After%20the%20egg%20retrieval%2C%20you,wake%20up%20from%20the%20anesthesia." xr:uid="{95CE4293-F622-414F-82B3-0D13DDEC52A5}"/>
    <hyperlink ref="K95" r:id="rId10" xr:uid="{655961C7-D4A6-4CA8-901A-4AE2A6C9A114}"/>
    <hyperlink ref="D77" r:id="rId11" display="https://icer.org/wp-content/uploads/2021/02/ICER_SCD_Evidence-Report_031220-FOR-PUBLICATION.pdf" xr:uid="{82DD7464-1D81-4CDF-BB4F-BC942AC577ED}"/>
    <hyperlink ref="K97" r:id="rId12" location="/00875854-DC/DC00875717/Part%20VIIIA%20products%20D" display="https://www.drugtariff.nhsbsa.nhs.uk/ - /00875854-DC/DC00875717/Part%20VIIIA%20products%20D" xr:uid="{5FBCFFF6-E08E-44C7-8DE4-219D38D0B142}"/>
    <hyperlink ref="K94" r:id="rId13" xr:uid="{588B4FAA-8230-4966-82A8-9BDE70FC4756}"/>
    <hyperlink ref="K96" r:id="rId14" xr:uid="{770C8547-5048-4D9B-8B3E-960D33A96206}"/>
    <hyperlink ref="K98" r:id="rId15" xr:uid="{C93B3A6F-26DC-47FD-87AC-246D07EA0B82}"/>
    <hyperlink ref="N29" r:id="rId16" display="https://www.nice.org.uk/guidance/gid-ta11249/documents/committee-papers" xr:uid="{73BDB5BE-CFC0-4C62-BDB8-CFD4C9E32FA2}"/>
    <hyperlink ref="J79" r:id="rId17" display="https://www.nice.org.uk/guidance/gid-ta11249/documents/committee-papers" xr:uid="{C3B26B9C-1F1E-431A-BDB7-5E7EEAA95F9B}"/>
    <hyperlink ref="F113" r:id="rId18" xr:uid="{00516BCB-CCC6-410C-8095-EF56EA390939}"/>
  </hyperlinks>
  <pageMargins left="0.7" right="0.7" top="0.75" bottom="0.75" header="0.3" footer="0.3"/>
  <pageSetup paperSize="9" scale="49" orientation="portrait" r:id="rId19"/>
  <rowBreaks count="1" manualBreakCount="1">
    <brk id="47" max="12" man="1"/>
  </rowBreaks>
  <legacyDrawing r:id="rId20"/>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D604F11-220C-49CB-BE90-E6CAA7E3270F}">
          <x14:formula1>
            <xm:f>payscales!$B$12:$B$47</xm:f>
          </x14:formula1>
          <xm:sqref>K122 K124 K126 K128 K130 K132 K142 K140 K134 K138 K136 K149:K150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K86"/>
  <sheetViews>
    <sheetView showGridLines="0" zoomScale="80" zoomScaleNormal="80" workbookViewId="0"/>
  </sheetViews>
  <sheetFormatPr defaultColWidth="9.140625" defaultRowHeight="12.75" x14ac:dyDescent="0.2"/>
  <cols>
    <col min="1" max="1" width="3.5703125" style="3" customWidth="1"/>
    <col min="2" max="2" width="56.28515625" style="3" customWidth="1"/>
    <col min="3" max="3" width="37.85546875" style="3" customWidth="1"/>
    <col min="4" max="4" width="16" style="3" customWidth="1"/>
    <col min="5" max="5" width="19.28515625" style="3" customWidth="1"/>
    <col min="6" max="6" width="10.85546875" style="3" customWidth="1"/>
    <col min="7" max="7" width="10.42578125" style="3" bestFit="1" customWidth="1"/>
    <col min="8" max="8" width="11.140625" style="3" customWidth="1"/>
    <col min="9" max="9" width="12" style="3" customWidth="1"/>
    <col min="10" max="10" width="14.85546875" style="3" customWidth="1"/>
    <col min="11" max="11" width="13.28515625" style="3" customWidth="1"/>
    <col min="12" max="12" width="10.5703125" style="3" customWidth="1"/>
    <col min="13" max="13" width="15.42578125" style="3" customWidth="1"/>
    <col min="14" max="14" width="12.42578125" style="3" customWidth="1"/>
    <col min="15" max="15" width="16.5703125" style="3" customWidth="1"/>
    <col min="16" max="16" width="18.85546875" style="3" customWidth="1"/>
    <col min="17" max="19" width="12.140625" style="3" customWidth="1"/>
    <col min="20" max="20" width="3.42578125" style="3" customWidth="1"/>
    <col min="21" max="21" width="14.5703125" style="3" customWidth="1"/>
    <col min="22" max="22" width="15.5703125" style="3" customWidth="1"/>
    <col min="23" max="16384" width="9.140625" style="3"/>
  </cols>
  <sheetData>
    <row r="1" spans="1:37" ht="30" customHeight="1" x14ac:dyDescent="0.35">
      <c r="A1" s="187"/>
      <c r="B1" s="504" t="str">
        <f>'Inputs and eligible population'!B1</f>
        <v>Exagamglogene autotemcel for treating severe sickle cell disease in people 12 years and over</v>
      </c>
      <c r="C1" s="145"/>
      <c r="D1" s="129"/>
      <c r="E1" s="129"/>
      <c r="F1" s="129"/>
      <c r="G1" s="129"/>
      <c r="H1" s="129"/>
      <c r="I1" s="129"/>
      <c r="J1" s="129" t="s">
        <v>725</v>
      </c>
      <c r="K1" s="129" t="s">
        <v>725</v>
      </c>
      <c r="L1" s="129" t="s">
        <v>725</v>
      </c>
      <c r="M1" s="129" t="s">
        <v>725</v>
      </c>
      <c r="N1" s="150"/>
      <c r="O1" s="150"/>
      <c r="P1" s="150"/>
      <c r="Q1" s="187"/>
      <c r="R1" s="187"/>
      <c r="S1" s="150"/>
      <c r="T1" s="150"/>
      <c r="U1" s="150"/>
      <c r="V1" s="150"/>
      <c r="W1" s="150"/>
      <c r="X1" s="150"/>
    </row>
    <row r="2" spans="1:37" ht="26.25" customHeight="1" x14ac:dyDescent="0.35">
      <c r="A2" s="187"/>
      <c r="B2" s="143" t="s">
        <v>41</v>
      </c>
      <c r="C2" s="144" t="s">
        <v>725</v>
      </c>
      <c r="D2" s="129" t="s">
        <v>725</v>
      </c>
      <c r="E2" s="129" t="s">
        <v>725</v>
      </c>
      <c r="F2" s="129" t="s">
        <v>725</v>
      </c>
      <c r="G2" s="129" t="s">
        <v>725</v>
      </c>
      <c r="H2" s="129" t="s">
        <v>725</v>
      </c>
      <c r="I2" s="129" t="s">
        <v>725</v>
      </c>
      <c r="J2" s="129" t="s">
        <v>725</v>
      </c>
      <c r="K2" s="130" t="s">
        <v>725</v>
      </c>
      <c r="L2" s="130"/>
      <c r="M2" s="130"/>
      <c r="N2" s="130"/>
      <c r="O2" s="130"/>
      <c r="P2" s="130"/>
      <c r="Q2" s="187"/>
      <c r="R2" s="187"/>
      <c r="S2" s="150"/>
      <c r="T2" s="150"/>
      <c r="U2" s="150"/>
      <c r="V2" s="150"/>
      <c r="W2" s="150"/>
      <c r="X2" s="150"/>
    </row>
    <row r="3" spans="1:37" ht="14.45" customHeight="1" x14ac:dyDescent="0.35">
      <c r="A3" s="187"/>
      <c r="B3" s="127"/>
      <c r="C3" s="145"/>
      <c r="D3" s="129"/>
      <c r="E3" s="129"/>
      <c r="F3" s="129"/>
      <c r="G3" s="129" t="s">
        <v>725</v>
      </c>
      <c r="H3" s="129" t="s">
        <v>725</v>
      </c>
      <c r="I3" s="129" t="s">
        <v>725</v>
      </c>
      <c r="J3" s="129" t="s">
        <v>725</v>
      </c>
      <c r="K3" s="130" t="s">
        <v>725</v>
      </c>
      <c r="L3" s="130"/>
      <c r="M3" s="130"/>
      <c r="N3" s="130"/>
      <c r="O3" s="130"/>
      <c r="P3" s="130"/>
      <c r="Q3" s="187"/>
      <c r="R3" s="187"/>
      <c r="S3" s="150"/>
      <c r="T3" s="150"/>
      <c r="U3" s="150"/>
      <c r="V3" s="150"/>
      <c r="W3" s="150"/>
      <c r="X3" s="150"/>
    </row>
    <row r="4" spans="1:37" ht="14.45" customHeight="1" x14ac:dyDescent="0.35">
      <c r="A4" s="187"/>
      <c r="B4" t="s">
        <v>726</v>
      </c>
      <c r="C4" s="145"/>
      <c r="D4" s="129"/>
      <c r="E4" s="129"/>
      <c r="F4" s="129"/>
      <c r="G4" s="129" t="s">
        <v>725</v>
      </c>
      <c r="H4" s="129" t="s">
        <v>725</v>
      </c>
      <c r="I4" s="129" t="s">
        <v>725</v>
      </c>
      <c r="J4" s="129" t="s">
        <v>725</v>
      </c>
      <c r="K4" s="130" t="s">
        <v>725</v>
      </c>
      <c r="L4" s="129"/>
      <c r="M4" s="130"/>
      <c r="N4" s="130"/>
      <c r="O4" s="130"/>
      <c r="P4" s="130"/>
      <c r="Q4" s="130"/>
      <c r="R4" s="130"/>
      <c r="S4" s="129"/>
      <c r="T4" s="129"/>
      <c r="U4" s="150"/>
      <c r="V4" s="150"/>
      <c r="W4" s="150"/>
      <c r="X4" s="150"/>
    </row>
    <row r="5" spans="1:37" ht="14.45" customHeight="1" x14ac:dyDescent="0.35">
      <c r="A5" s="187"/>
      <c r="B5" t="s">
        <v>656</v>
      </c>
      <c r="C5" s="145"/>
      <c r="D5" s="129"/>
      <c r="E5" s="129"/>
      <c r="F5" s="129"/>
      <c r="G5" s="129"/>
      <c r="H5" s="129" t="s">
        <v>725</v>
      </c>
      <c r="I5" s="129" t="s">
        <v>725</v>
      </c>
      <c r="J5" s="129" t="s">
        <v>725</v>
      </c>
      <c r="K5" s="130" t="s">
        <v>725</v>
      </c>
      <c r="L5" s="129"/>
      <c r="M5" s="130"/>
      <c r="N5" s="130"/>
      <c r="O5" s="130"/>
      <c r="P5" s="130"/>
      <c r="Q5" s="130"/>
      <c r="R5" s="130"/>
      <c r="S5" s="129"/>
      <c r="T5" s="129"/>
      <c r="U5" s="150"/>
      <c r="V5" s="150"/>
      <c r="W5" s="150"/>
      <c r="X5" s="150"/>
    </row>
    <row r="6" spans="1:37" ht="14.45" customHeight="1" x14ac:dyDescent="0.35">
      <c r="A6" s="187"/>
      <c r="B6"/>
      <c r="C6" s="145"/>
      <c r="D6" s="129"/>
      <c r="E6" s="129"/>
      <c r="F6" s="129"/>
      <c r="G6" s="129"/>
      <c r="H6" s="129"/>
      <c r="I6" s="129"/>
      <c r="J6" s="129"/>
      <c r="K6" s="130"/>
      <c r="L6" s="129"/>
      <c r="M6" s="130"/>
      <c r="N6" s="130"/>
      <c r="O6" s="130"/>
      <c r="P6" s="130"/>
      <c r="Q6" s="130"/>
      <c r="R6" s="130"/>
      <c r="S6" s="129"/>
      <c r="T6" s="129"/>
      <c r="U6" s="150"/>
      <c r="V6" s="150"/>
      <c r="W6" s="150"/>
      <c r="X6" s="150"/>
    </row>
    <row r="7" spans="1:37" s="239" customFormat="1" ht="29.45" customHeight="1" x14ac:dyDescent="0.25">
      <c r="A7" s="241"/>
      <c r="B7" s="237" t="s">
        <v>1033</v>
      </c>
      <c r="C7" s="241"/>
      <c r="D7" s="241"/>
      <c r="E7" s="241"/>
      <c r="F7" s="241"/>
      <c r="G7" s="241"/>
      <c r="H7" s="241"/>
      <c r="I7" s="241"/>
      <c r="J7" s="241"/>
      <c r="K7" s="241"/>
      <c r="L7" s="241"/>
      <c r="M7" s="241"/>
      <c r="N7" s="241"/>
      <c r="O7" s="241"/>
      <c r="P7" s="241"/>
      <c r="Q7" s="241"/>
      <c r="R7" s="241"/>
      <c r="S7" s="775"/>
      <c r="T7" s="775"/>
      <c r="U7" s="781"/>
      <c r="V7" s="781"/>
      <c r="W7" s="781"/>
      <c r="X7" s="781"/>
      <c r="Y7" s="780"/>
      <c r="Z7" s="780"/>
      <c r="AA7" s="780"/>
      <c r="AB7" s="780"/>
      <c r="AC7" s="780"/>
      <c r="AD7" s="780"/>
      <c r="AE7" s="780"/>
      <c r="AF7" s="780"/>
      <c r="AG7" s="780"/>
      <c r="AH7" s="780"/>
      <c r="AI7" s="780"/>
      <c r="AJ7" s="780"/>
      <c r="AK7" s="780"/>
    </row>
    <row r="8" spans="1:37" s="239" customFormat="1" ht="57.6" customHeight="1" x14ac:dyDescent="0.25">
      <c r="A8" s="241"/>
      <c r="B8" s="240" t="s">
        <v>727</v>
      </c>
      <c r="C8" s="242" t="s">
        <v>728</v>
      </c>
      <c r="D8" s="243" t="s">
        <v>729</v>
      </c>
      <c r="E8" s="243" t="s">
        <v>730</v>
      </c>
      <c r="F8" s="243" t="s">
        <v>998</v>
      </c>
      <c r="G8" s="243" t="s">
        <v>1000</v>
      </c>
      <c r="H8" s="240" t="s">
        <v>1001</v>
      </c>
      <c r="I8" s="242" t="s">
        <v>1002</v>
      </c>
      <c r="J8" s="240" t="s">
        <v>734</v>
      </c>
      <c r="K8" s="243" t="s">
        <v>1043</v>
      </c>
      <c r="L8" s="241"/>
      <c r="M8" s="775"/>
      <c r="N8" s="775"/>
      <c r="O8" s="781"/>
      <c r="P8" s="781"/>
      <c r="Q8" s="781"/>
      <c r="R8" s="781"/>
      <c r="S8" s="781"/>
      <c r="T8" s="781"/>
      <c r="U8" s="781"/>
      <c r="V8" s="781"/>
      <c r="W8" s="781"/>
      <c r="X8" s="781"/>
      <c r="Y8" s="780"/>
      <c r="Z8" s="780"/>
      <c r="AA8" s="780"/>
      <c r="AB8" s="780"/>
      <c r="AC8" s="780"/>
      <c r="AD8" s="780"/>
      <c r="AE8" s="780"/>
    </row>
    <row r="9" spans="1:37" s="239" customFormat="1" ht="15" x14ac:dyDescent="0.25">
      <c r="A9" s="241"/>
      <c r="B9" s="739" t="s">
        <v>1003</v>
      </c>
      <c r="C9" s="740" t="s">
        <v>941</v>
      </c>
      <c r="D9" s="741" t="s">
        <v>736</v>
      </c>
      <c r="E9" s="741" t="s">
        <v>737</v>
      </c>
      <c r="F9" s="742">
        <v>1</v>
      </c>
      <c r="G9" s="740">
        <v>1</v>
      </c>
      <c r="H9" s="740">
        <v>1</v>
      </c>
      <c r="I9" s="744">
        <f>'Inputs and eligible population'!I91</f>
        <v>0</v>
      </c>
      <c r="J9" s="745">
        <f>'Inputs and eligible population'!J91</f>
        <v>0.2</v>
      </c>
      <c r="K9" s="746">
        <f>(I9*(100%+J9))</f>
        <v>0</v>
      </c>
      <c r="L9" s="241"/>
      <c r="M9" s="775"/>
      <c r="N9" s="775"/>
      <c r="O9" s="150"/>
      <c r="P9" s="775"/>
      <c r="Q9" s="775"/>
      <c r="R9" s="775"/>
      <c r="S9" s="775"/>
      <c r="T9" s="775"/>
      <c r="U9" s="775"/>
      <c r="V9" s="775"/>
      <c r="W9" s="775"/>
      <c r="X9" s="775"/>
    </row>
    <row r="10" spans="1:37" s="239" customFormat="1" ht="15.75" x14ac:dyDescent="0.25">
      <c r="A10" s="241"/>
      <c r="B10" s="740"/>
      <c r="C10" s="740" t="s">
        <v>738</v>
      </c>
      <c r="D10" s="741"/>
      <c r="E10" s="741"/>
      <c r="F10" s="742"/>
      <c r="G10" s="740"/>
      <c r="H10" s="747"/>
      <c r="I10" s="748"/>
      <c r="J10" s="745"/>
      <c r="K10" s="749"/>
      <c r="L10" s="241"/>
      <c r="M10" s="775"/>
      <c r="N10" s="775"/>
      <c r="O10" s="635"/>
      <c r="P10" s="422"/>
      <c r="Q10" s="422"/>
      <c r="R10" s="422"/>
      <c r="S10" s="422"/>
      <c r="T10" s="422"/>
      <c r="U10" s="422"/>
      <c r="V10" s="422"/>
      <c r="W10" s="422"/>
      <c r="X10" s="422"/>
      <c r="Y10" s="4"/>
      <c r="Z10" s="4"/>
      <c r="AA10" s="4"/>
      <c r="AB10" s="4"/>
    </row>
    <row r="11" spans="1:37" s="239" customFormat="1" ht="15" x14ac:dyDescent="0.25">
      <c r="A11" s="241"/>
      <c r="B11" s="740"/>
      <c r="C11" s="244" t="s">
        <v>739</v>
      </c>
      <c r="D11" s="750"/>
      <c r="E11" s="750"/>
      <c r="F11" s="750"/>
      <c r="G11" s="750"/>
      <c r="H11" s="750"/>
      <c r="I11" s="750"/>
      <c r="J11" s="751"/>
      <c r="K11" s="752">
        <f>SUM(K9:K10)</f>
        <v>0</v>
      </c>
      <c r="L11" s="241"/>
      <c r="M11" s="775"/>
      <c r="N11" s="775"/>
      <c r="O11" s="150"/>
      <c r="P11" s="775"/>
      <c r="Q11" s="775"/>
      <c r="R11" s="775"/>
      <c r="S11" s="775"/>
      <c r="T11" s="775"/>
      <c r="U11" s="775"/>
      <c r="V11" s="775"/>
      <c r="W11" s="775"/>
      <c r="X11" s="775"/>
    </row>
    <row r="12" spans="1:37" s="239" customFormat="1" ht="15" x14ac:dyDescent="0.25">
      <c r="A12" s="241"/>
      <c r="B12" s="237"/>
      <c r="C12" s="241"/>
      <c r="D12" s="241"/>
      <c r="E12" s="241"/>
      <c r="F12" s="241"/>
      <c r="G12" s="241"/>
      <c r="H12" s="241"/>
      <c r="I12" s="241"/>
      <c r="J12" s="241"/>
      <c r="K12" s="241"/>
      <c r="L12" s="241"/>
      <c r="M12" s="241"/>
      <c r="N12" s="241"/>
      <c r="O12" s="241"/>
      <c r="P12" s="241"/>
      <c r="Q12" s="241"/>
      <c r="R12" s="241"/>
      <c r="S12" s="775"/>
      <c r="T12" s="775"/>
      <c r="U12" s="150"/>
      <c r="V12" s="775"/>
      <c r="W12" s="775"/>
      <c r="X12" s="775"/>
    </row>
    <row r="13" spans="1:37" s="239" customFormat="1" ht="15" x14ac:dyDescent="0.25">
      <c r="A13" s="241"/>
      <c r="B13" s="237" t="s">
        <v>1057</v>
      </c>
      <c r="C13" s="241"/>
      <c r="D13" s="241"/>
      <c r="E13" s="241"/>
      <c r="F13" s="241"/>
      <c r="G13" s="241"/>
      <c r="H13" s="241"/>
      <c r="I13" s="241"/>
      <c r="J13" s="241"/>
      <c r="K13" s="241"/>
      <c r="L13" s="241"/>
      <c r="M13" s="241"/>
      <c r="N13" s="241"/>
      <c r="O13" s="241"/>
      <c r="P13" s="241"/>
      <c r="Q13" s="241"/>
      <c r="R13" s="241"/>
      <c r="S13" s="775"/>
      <c r="T13" s="775"/>
      <c r="U13" s="150"/>
      <c r="V13" s="775"/>
      <c r="W13" s="775"/>
      <c r="X13" s="775"/>
    </row>
    <row r="14" spans="1:37" s="239" customFormat="1" ht="75" x14ac:dyDescent="0.25">
      <c r="A14" s="241"/>
      <c r="B14" s="240" t="s">
        <v>727</v>
      </c>
      <c r="C14" s="242" t="s">
        <v>728</v>
      </c>
      <c r="D14" s="243" t="s">
        <v>729</v>
      </c>
      <c r="E14" s="243" t="s">
        <v>730</v>
      </c>
      <c r="F14" s="243" t="s">
        <v>731</v>
      </c>
      <c r="G14" s="243" t="s">
        <v>732</v>
      </c>
      <c r="H14" s="243" t="s">
        <v>999</v>
      </c>
      <c r="I14" s="243" t="s">
        <v>1004</v>
      </c>
      <c r="J14" s="243" t="s">
        <v>1026</v>
      </c>
      <c r="K14" s="243" t="s">
        <v>1027</v>
      </c>
      <c r="L14" s="243" t="s">
        <v>1005</v>
      </c>
      <c r="M14" s="243" t="s">
        <v>1238</v>
      </c>
      <c r="N14" s="240" t="s">
        <v>734</v>
      </c>
      <c r="O14" s="243" t="s">
        <v>735</v>
      </c>
      <c r="P14" s="241"/>
      <c r="Q14" s="241"/>
      <c r="R14" s="775"/>
      <c r="S14" s="775"/>
      <c r="T14" s="150"/>
      <c r="U14" s="775"/>
      <c r="V14" s="775"/>
      <c r="W14" s="775"/>
      <c r="X14" s="775"/>
    </row>
    <row r="15" spans="1:37" s="239" customFormat="1" ht="58.5" customHeight="1" x14ac:dyDescent="0.25">
      <c r="A15" s="241"/>
      <c r="B15" s="753" t="s">
        <v>1006</v>
      </c>
      <c r="C15" s="740" t="s">
        <v>1007</v>
      </c>
      <c r="D15" s="782" t="s">
        <v>1024</v>
      </c>
      <c r="E15" s="741" t="s">
        <v>737</v>
      </c>
      <c r="F15" s="742">
        <v>24</v>
      </c>
      <c r="G15" s="742">
        <v>1</v>
      </c>
      <c r="H15" s="742">
        <f>F15*G15</f>
        <v>24</v>
      </c>
      <c r="I15" s="742">
        <v>1</v>
      </c>
      <c r="J15" s="743">
        <f>'Inputs and eligible population'!D87</f>
        <v>3</v>
      </c>
      <c r="K15" s="754"/>
      <c r="L15" s="755">
        <f>'Inputs and eligible population'!I92</f>
        <v>3800</v>
      </c>
      <c r="M15" s="756">
        <f>L15*J15*I15</f>
        <v>11400</v>
      </c>
      <c r="N15" s="745">
        <f>'Inputs and eligible population'!J92</f>
        <v>0.2</v>
      </c>
      <c r="O15" s="746">
        <f>M15*(100%++N15)</f>
        <v>13680</v>
      </c>
      <c r="P15" s="757"/>
      <c r="Q15" s="241"/>
      <c r="R15" s="775"/>
      <c r="S15" s="775"/>
      <c r="T15" s="150"/>
      <c r="U15" s="775"/>
      <c r="V15" s="775"/>
      <c r="W15" s="775"/>
      <c r="X15" s="775"/>
    </row>
    <row r="16" spans="1:37" s="239" customFormat="1" ht="30" x14ac:dyDescent="0.25">
      <c r="A16" s="241"/>
      <c r="B16" s="753" t="s">
        <v>1008</v>
      </c>
      <c r="C16" s="740" t="s">
        <v>1009</v>
      </c>
      <c r="D16" s="741" t="s">
        <v>736</v>
      </c>
      <c r="E16" s="741" t="s">
        <v>737</v>
      </c>
      <c r="F16" s="742">
        <v>200</v>
      </c>
      <c r="G16" s="742">
        <v>10</v>
      </c>
      <c r="H16" s="742">
        <f>F16*G16</f>
        <v>2000</v>
      </c>
      <c r="I16" s="758">
        <v>7</v>
      </c>
      <c r="J16" s="743">
        <f>'Inputs and eligible population'!D88</f>
        <v>21</v>
      </c>
      <c r="K16" s="783">
        <v>0.5</v>
      </c>
      <c r="L16" s="755">
        <f>'Inputs and eligible population'!I93</f>
        <v>0</v>
      </c>
      <c r="M16" s="756">
        <f>L16*I16*J16*K16</f>
        <v>0</v>
      </c>
      <c r="N16" s="745">
        <f>'Inputs and eligible population'!J93</f>
        <v>0.2</v>
      </c>
      <c r="O16" s="746">
        <f>M16*(100%++N16)</f>
        <v>0</v>
      </c>
      <c r="P16" s="757"/>
      <c r="Q16" s="241"/>
      <c r="R16" s="775"/>
      <c r="S16" s="775"/>
      <c r="T16" s="150"/>
      <c r="U16" s="775"/>
      <c r="V16" s="775"/>
      <c r="W16" s="775"/>
      <c r="X16" s="775"/>
    </row>
    <row r="17" spans="1:24" s="239" customFormat="1" ht="15" x14ac:dyDescent="0.25">
      <c r="A17" s="241"/>
      <c r="B17" s="740"/>
      <c r="C17" s="740" t="s">
        <v>738</v>
      </c>
      <c r="D17" s="741"/>
      <c r="E17" s="741"/>
      <c r="F17" s="742"/>
      <c r="G17" s="742"/>
      <c r="H17" s="742"/>
      <c r="I17" s="742"/>
      <c r="J17" s="743"/>
      <c r="K17" s="760"/>
      <c r="L17" s="743"/>
      <c r="M17" s="742"/>
      <c r="N17" s="745">
        <f>'Inputs and eligible population'!J93</f>
        <v>0.2</v>
      </c>
      <c r="O17" s="759"/>
      <c r="P17" s="757"/>
      <c r="Q17" s="241"/>
      <c r="R17" s="775"/>
      <c r="S17" s="775"/>
      <c r="T17" s="150"/>
      <c r="U17" s="775"/>
      <c r="V17" s="775"/>
      <c r="W17" s="775"/>
      <c r="X17" s="775"/>
    </row>
    <row r="18" spans="1:24" s="239" customFormat="1" ht="15" x14ac:dyDescent="0.25">
      <c r="A18" s="241"/>
      <c r="B18" s="740"/>
      <c r="C18" s="244" t="s">
        <v>739</v>
      </c>
      <c r="D18" s="750"/>
      <c r="E18" s="750"/>
      <c r="F18" s="750"/>
      <c r="G18" s="750"/>
      <c r="H18" s="750"/>
      <c r="I18" s="750"/>
      <c r="J18" s="750"/>
      <c r="K18" s="750"/>
      <c r="L18" s="750"/>
      <c r="M18" s="750"/>
      <c r="N18" s="750"/>
      <c r="O18" s="752">
        <f>O16+O15</f>
        <v>13680</v>
      </c>
      <c r="P18" s="761"/>
      <c r="Q18" s="241"/>
      <c r="R18" s="775"/>
      <c r="S18" s="775"/>
      <c r="T18" s="150"/>
      <c r="U18" s="775"/>
      <c r="V18" s="775"/>
      <c r="W18" s="775"/>
      <c r="X18" s="775"/>
    </row>
    <row r="19" spans="1:24" s="239" customFormat="1" ht="15" x14ac:dyDescent="0.25">
      <c r="A19" s="241"/>
      <c r="B19" s="237"/>
      <c r="C19" s="241"/>
      <c r="D19" s="241"/>
      <c r="E19" s="241"/>
      <c r="F19" s="241"/>
      <c r="G19" s="241"/>
      <c r="H19" s="241"/>
      <c r="I19" s="241"/>
      <c r="J19" s="241"/>
      <c r="K19" s="241"/>
      <c r="L19" s="241"/>
      <c r="M19" s="241"/>
      <c r="N19" s="241"/>
      <c r="O19" s="241"/>
      <c r="P19" s="241"/>
      <c r="Q19" s="241"/>
      <c r="R19" s="241"/>
      <c r="S19" s="775"/>
      <c r="T19" s="775"/>
      <c r="U19" s="150"/>
      <c r="V19" s="775"/>
      <c r="W19" s="775"/>
      <c r="X19" s="775"/>
    </row>
    <row r="20" spans="1:24" s="4" customFormat="1" ht="15" x14ac:dyDescent="0.2">
      <c r="A20" s="5"/>
      <c r="B20" s="762" t="s">
        <v>1010</v>
      </c>
      <c r="C20" s="5"/>
      <c r="D20" s="173"/>
      <c r="E20" s="110"/>
      <c r="F20" s="174"/>
      <c r="G20" s="175"/>
      <c r="H20" s="5"/>
      <c r="I20" s="5"/>
      <c r="J20" s="176"/>
      <c r="K20" s="175"/>
      <c r="L20" s="175"/>
      <c r="M20" s="175"/>
      <c r="N20" s="175"/>
      <c r="O20" s="175"/>
      <c r="P20" s="175"/>
      <c r="Q20" s="5"/>
      <c r="R20" s="5"/>
      <c r="S20" s="422"/>
      <c r="T20" s="422"/>
      <c r="U20" s="150"/>
      <c r="V20" s="422"/>
      <c r="W20" s="422"/>
      <c r="X20" s="422"/>
    </row>
    <row r="21" spans="1:24" s="4" customFormat="1" ht="15" x14ac:dyDescent="0.25">
      <c r="A21" s="5"/>
      <c r="B21" s="338" t="s">
        <v>1011</v>
      </c>
      <c r="C21" s="5"/>
      <c r="D21" s="173"/>
      <c r="E21" s="110"/>
      <c r="F21" s="174"/>
      <c r="G21" s="175"/>
      <c r="H21" s="5"/>
      <c r="I21" s="5"/>
      <c r="J21" s="176"/>
      <c r="K21" s="175"/>
      <c r="L21" s="175"/>
      <c r="M21" s="175"/>
      <c r="N21" s="175"/>
      <c r="O21" s="175"/>
      <c r="P21" s="175"/>
      <c r="Q21" s="5"/>
      <c r="R21" s="5"/>
      <c r="S21" s="422"/>
      <c r="T21" s="422"/>
      <c r="U21" s="150"/>
      <c r="V21" s="422"/>
      <c r="W21" s="422"/>
      <c r="X21" s="422"/>
    </row>
    <row r="22" spans="1:24" s="4" customFormat="1" ht="18" customHeight="1" x14ac:dyDescent="0.2">
      <c r="A22" s="5"/>
      <c r="B22" s="762" t="s">
        <v>1029</v>
      </c>
      <c r="C22" s="784"/>
      <c r="D22" s="784"/>
      <c r="E22" s="784"/>
      <c r="F22" s="784"/>
      <c r="G22" s="784"/>
      <c r="H22" s="784"/>
      <c r="I22" s="784"/>
      <c r="J22" s="784"/>
      <c r="K22" s="784"/>
      <c r="L22" s="784"/>
      <c r="M22" s="784"/>
      <c r="N22" s="784"/>
      <c r="O22" s="784"/>
      <c r="P22" s="784"/>
      <c r="Q22" s="784"/>
      <c r="R22" s="784"/>
      <c r="S22" s="785"/>
      <c r="T22" s="422"/>
      <c r="U22" s="150"/>
      <c r="V22" s="422"/>
      <c r="W22" s="422"/>
      <c r="X22" s="422"/>
    </row>
    <row r="23" spans="1:24" s="4" customFormat="1" ht="14.1" customHeight="1" x14ac:dyDescent="0.2">
      <c r="A23" s="5"/>
      <c r="B23" s="787" t="s">
        <v>1028</v>
      </c>
      <c r="C23" s="786"/>
      <c r="D23" s="786"/>
      <c r="E23" s="786"/>
      <c r="F23" s="786"/>
      <c r="G23" s="786"/>
      <c r="H23" s="786"/>
      <c r="I23" s="786"/>
      <c r="J23" s="786"/>
      <c r="K23" s="786"/>
      <c r="L23" s="786"/>
      <c r="M23" s="786"/>
      <c r="N23" s="786"/>
      <c r="O23" s="786"/>
      <c r="P23" s="786"/>
      <c r="Q23" s="786"/>
      <c r="R23" s="786"/>
      <c r="S23" s="785"/>
      <c r="T23" s="422"/>
      <c r="U23" s="150"/>
      <c r="V23" s="422"/>
      <c r="W23" s="422"/>
      <c r="X23" s="422"/>
    </row>
    <row r="24" spans="1:24" s="4" customFormat="1" ht="29.1" customHeight="1" x14ac:dyDescent="0.25">
      <c r="A24" s="5"/>
      <c r="B24" s="1030" t="s">
        <v>1237</v>
      </c>
      <c r="C24" s="1031"/>
      <c r="D24" s="1031"/>
      <c r="E24" s="1031"/>
      <c r="F24" s="1031"/>
      <c r="G24" s="1031"/>
      <c r="H24" s="1031"/>
      <c r="I24" s="1031"/>
      <c r="J24" s="1031"/>
      <c r="K24" s="1031"/>
      <c r="L24" s="1031"/>
      <c r="M24" s="1031"/>
      <c r="N24" s="175"/>
      <c r="O24" s="175"/>
      <c r="P24" s="176"/>
      <c r="Q24" s="5"/>
      <c r="R24" s="5"/>
      <c r="S24" s="422"/>
      <c r="T24" s="422"/>
      <c r="U24" s="150"/>
      <c r="V24" s="422"/>
      <c r="W24" s="422"/>
      <c r="X24" s="422"/>
    </row>
    <row r="25" spans="1:24" s="4" customFormat="1" ht="15" x14ac:dyDescent="0.25">
      <c r="A25" s="5"/>
      <c r="B25" s="420"/>
      <c r="C25" s="5"/>
      <c r="D25" s="173"/>
      <c r="E25" s="110"/>
      <c r="F25" s="174"/>
      <c r="G25" s="175"/>
      <c r="H25" s="5"/>
      <c r="I25" s="5"/>
      <c r="J25" s="176"/>
      <c r="K25" s="175"/>
      <c r="L25" s="175"/>
      <c r="M25" s="175"/>
      <c r="N25" s="175"/>
      <c r="O25" s="175"/>
      <c r="P25" s="176"/>
      <c r="Q25" s="5"/>
      <c r="R25" s="5"/>
      <c r="S25" s="422"/>
      <c r="T25" s="422"/>
      <c r="U25" s="150"/>
      <c r="V25" s="422"/>
      <c r="W25" s="422"/>
      <c r="X25" s="422"/>
    </row>
    <row r="26" spans="1:24" s="4" customFormat="1" ht="15" x14ac:dyDescent="0.25">
      <c r="A26" s="5"/>
      <c r="B26" s="420"/>
      <c r="C26" s="5"/>
      <c r="D26" s="173"/>
      <c r="E26" s="110"/>
      <c r="F26" s="174"/>
      <c r="G26" s="175"/>
      <c r="H26" s="5"/>
      <c r="I26" s="5"/>
      <c r="J26" s="176"/>
      <c r="K26" s="175"/>
      <c r="L26" s="175"/>
      <c r="M26" s="175"/>
      <c r="N26" s="175"/>
      <c r="O26" s="175"/>
      <c r="P26" s="176"/>
      <c r="Q26" s="5"/>
      <c r="R26" s="5"/>
      <c r="S26" s="422"/>
      <c r="T26" s="422"/>
      <c r="U26" s="150"/>
      <c r="V26" s="422"/>
      <c r="W26" s="422"/>
      <c r="X26" s="422"/>
    </row>
    <row r="27" spans="1:24" s="4" customFormat="1" ht="15" x14ac:dyDescent="0.25">
      <c r="A27" s="5"/>
      <c r="B27" s="237" t="s">
        <v>1046</v>
      </c>
      <c r="C27" s="5"/>
      <c r="D27" s="173"/>
      <c r="E27" s="110"/>
      <c r="F27" s="174"/>
      <c r="G27" s="175"/>
      <c r="H27" s="5"/>
      <c r="I27" s="5"/>
      <c r="J27" s="176"/>
      <c r="K27" s="175"/>
      <c r="L27" s="175"/>
      <c r="M27" s="175"/>
      <c r="N27" s="175"/>
      <c r="O27" s="175"/>
      <c r="P27" s="176"/>
      <c r="Q27" s="5"/>
      <c r="R27" s="5"/>
      <c r="S27" s="422"/>
      <c r="T27" s="422"/>
      <c r="U27" s="150"/>
      <c r="V27" s="422"/>
      <c r="W27" s="422"/>
      <c r="X27" s="422"/>
    </row>
    <row r="28" spans="1:24" s="4" customFormat="1" ht="60" x14ac:dyDescent="0.25">
      <c r="A28" s="5"/>
      <c r="B28" s="240" t="s">
        <v>727</v>
      </c>
      <c r="C28" s="242" t="s">
        <v>728</v>
      </c>
      <c r="D28" s="243" t="s">
        <v>729</v>
      </c>
      <c r="E28" s="243" t="s">
        <v>730</v>
      </c>
      <c r="F28" s="243" t="s">
        <v>731</v>
      </c>
      <c r="G28" s="243" t="s">
        <v>998</v>
      </c>
      <c r="H28" s="243" t="s">
        <v>999</v>
      </c>
      <c r="I28" s="243" t="s">
        <v>1051</v>
      </c>
      <c r="J28" s="243" t="s">
        <v>733</v>
      </c>
      <c r="K28" s="243" t="s">
        <v>1053</v>
      </c>
      <c r="L28" s="243" t="s">
        <v>1052</v>
      </c>
      <c r="M28" s="591" t="s">
        <v>1054</v>
      </c>
      <c r="N28" s="242" t="s">
        <v>1055</v>
      </c>
      <c r="O28" s="242" t="s">
        <v>1056</v>
      </c>
      <c r="P28" s="240" t="s">
        <v>734</v>
      </c>
      <c r="Q28" s="243" t="s">
        <v>735</v>
      </c>
      <c r="R28" s="5"/>
      <c r="S28" s="422"/>
      <c r="T28" s="422"/>
      <c r="U28" s="150"/>
      <c r="V28" s="422"/>
      <c r="W28" s="422"/>
      <c r="X28" s="422"/>
    </row>
    <row r="29" spans="1:24" s="4" customFormat="1" ht="15" x14ac:dyDescent="0.25">
      <c r="A29" s="5"/>
      <c r="B29" s="739" t="s">
        <v>1047</v>
      </c>
      <c r="C29" s="740" t="s">
        <v>1048</v>
      </c>
      <c r="D29" s="741" t="s">
        <v>1049</v>
      </c>
      <c r="E29" s="741" t="s">
        <v>1050</v>
      </c>
      <c r="F29" s="742">
        <v>500</v>
      </c>
      <c r="G29" s="742">
        <v>100</v>
      </c>
      <c r="H29" s="742">
        <f>F29*G29</f>
        <v>50000</v>
      </c>
      <c r="I29" s="743">
        <v>15</v>
      </c>
      <c r="J29" s="802">
        <f>'Inputs and eligible population'!F103</f>
        <v>73.125999999999991</v>
      </c>
      <c r="K29" s="742">
        <f>I29*J29</f>
        <v>1096.8899999999999</v>
      </c>
      <c r="L29" s="740">
        <v>365</v>
      </c>
      <c r="M29" s="760">
        <f>ROUNDUP(K29*365/H29,0)</f>
        <v>9</v>
      </c>
      <c r="N29" s="748">
        <f>'Inputs and eligible population'!I94</f>
        <v>9.6199999999999992</v>
      </c>
      <c r="O29" s="744">
        <f>M29*N29</f>
        <v>86.58</v>
      </c>
      <c r="P29" s="745">
        <f>'Inputs and eligible population'!J94</f>
        <v>0.2</v>
      </c>
      <c r="Q29" s="746">
        <f>(O29*(100%+P29))</f>
        <v>103.896</v>
      </c>
      <c r="R29" s="5"/>
      <c r="S29" s="422"/>
      <c r="T29" s="422"/>
      <c r="U29" s="150"/>
      <c r="V29" s="422"/>
      <c r="W29" s="422"/>
      <c r="X29" s="422"/>
    </row>
    <row r="30" spans="1:24" s="4" customFormat="1" ht="15" x14ac:dyDescent="0.25">
      <c r="A30" s="5"/>
      <c r="B30" s="740"/>
      <c r="C30" s="740" t="s">
        <v>738</v>
      </c>
      <c r="D30" s="741"/>
      <c r="E30" s="741"/>
      <c r="F30" s="742"/>
      <c r="G30" s="742"/>
      <c r="H30" s="742"/>
      <c r="I30" s="742"/>
      <c r="J30" s="743"/>
      <c r="K30" s="742"/>
      <c r="L30" s="747"/>
      <c r="M30" s="803"/>
      <c r="N30" s="803"/>
      <c r="O30" s="748"/>
      <c r="P30" s="745"/>
      <c r="Q30" s="749"/>
      <c r="R30" s="5"/>
      <c r="S30" s="422"/>
      <c r="T30" s="422"/>
      <c r="U30" s="150"/>
      <c r="V30" s="422"/>
      <c r="W30" s="422"/>
      <c r="X30" s="422"/>
    </row>
    <row r="31" spans="1:24" s="4" customFormat="1" ht="15" x14ac:dyDescent="0.25">
      <c r="A31" s="5"/>
      <c r="B31" s="740"/>
      <c r="C31" s="244" t="s">
        <v>739</v>
      </c>
      <c r="D31" s="750"/>
      <c r="E31" s="750"/>
      <c r="F31" s="750"/>
      <c r="G31" s="750"/>
      <c r="H31" s="750"/>
      <c r="I31" s="750"/>
      <c r="J31" s="750"/>
      <c r="K31" s="750"/>
      <c r="L31" s="750"/>
      <c r="M31" s="750"/>
      <c r="N31" s="750"/>
      <c r="O31" s="750"/>
      <c r="P31" s="751"/>
      <c r="Q31" s="752">
        <f>SUM(Q29:Q30)</f>
        <v>103.896</v>
      </c>
      <c r="R31" s="5"/>
      <c r="S31" s="422"/>
      <c r="T31" s="422"/>
      <c r="U31" s="150"/>
      <c r="V31" s="422"/>
      <c r="W31" s="422"/>
      <c r="X31" s="422"/>
    </row>
    <row r="32" spans="1:24" s="4" customFormat="1" ht="15" x14ac:dyDescent="0.25">
      <c r="A32" s="5"/>
      <c r="B32" s="420"/>
      <c r="C32" s="5"/>
      <c r="D32" s="173"/>
      <c r="E32" s="110"/>
      <c r="F32" s="174"/>
      <c r="G32" s="175"/>
      <c r="H32" s="5"/>
      <c r="I32" s="5"/>
      <c r="J32" s="176"/>
      <c r="K32" s="175"/>
      <c r="L32" s="175"/>
      <c r="M32" s="175"/>
      <c r="N32" s="175"/>
      <c r="O32" s="175"/>
      <c r="P32" s="176"/>
      <c r="Q32" s="5"/>
      <c r="R32" s="5"/>
      <c r="S32" s="422"/>
      <c r="T32" s="422"/>
      <c r="U32" s="150"/>
      <c r="V32" s="422"/>
      <c r="W32" s="422"/>
      <c r="X32" s="422"/>
    </row>
    <row r="33" spans="1:24" s="4" customFormat="1" ht="15" x14ac:dyDescent="0.25">
      <c r="A33" s="5"/>
      <c r="B33" s="816" t="s">
        <v>1080</v>
      </c>
      <c r="C33" s="763"/>
      <c r="D33" s="173"/>
      <c r="E33" s="110"/>
      <c r="F33" s="174"/>
      <c r="G33" s="175"/>
      <c r="H33" s="5"/>
      <c r="I33" s="5"/>
      <c r="J33" s="176"/>
      <c r="K33" s="175"/>
      <c r="L33" s="175"/>
      <c r="M33" s="175"/>
      <c r="N33" s="175"/>
      <c r="O33" s="175"/>
      <c r="P33" s="176"/>
      <c r="Q33" s="764"/>
      <c r="R33" s="5"/>
      <c r="S33" s="422"/>
      <c r="T33" s="422"/>
      <c r="U33" s="150"/>
      <c r="V33" s="422"/>
      <c r="W33" s="422"/>
      <c r="X33" s="422"/>
    </row>
    <row r="34" spans="1:24" s="4" customFormat="1" ht="15.75" x14ac:dyDescent="0.25">
      <c r="A34" s="5"/>
      <c r="B34" s="766"/>
      <c r="C34" s="766"/>
      <c r="D34" s="766"/>
      <c r="E34" s="766"/>
      <c r="F34" s="766"/>
      <c r="G34" s="766"/>
      <c r="H34" s="766"/>
      <c r="I34" s="766"/>
      <c r="J34" s="766"/>
      <c r="K34" s="766"/>
      <c r="L34" s="766"/>
      <c r="M34" s="766"/>
      <c r="N34" s="766"/>
      <c r="O34" s="175"/>
      <c r="P34" s="176"/>
      <c r="Q34" s="764"/>
      <c r="R34" s="5"/>
      <c r="S34" s="422"/>
      <c r="T34" s="422"/>
      <c r="U34" s="150"/>
      <c r="V34" s="422"/>
      <c r="W34" s="422"/>
      <c r="X34" s="422"/>
    </row>
    <row r="35" spans="1:24" s="4" customFormat="1" ht="15.75" x14ac:dyDescent="0.25">
      <c r="A35" s="5"/>
      <c r="B35" s="766"/>
      <c r="C35" s="766"/>
      <c r="D35" s="766"/>
      <c r="E35" s="766"/>
      <c r="F35" s="766"/>
      <c r="G35" s="766"/>
      <c r="H35" s="766"/>
      <c r="I35" s="766"/>
      <c r="J35" s="766"/>
      <c r="K35" s="766"/>
      <c r="L35" s="766"/>
      <c r="M35" s="766"/>
      <c r="N35" s="766"/>
      <c r="O35" s="175"/>
      <c r="P35" s="176"/>
      <c r="Q35" s="764"/>
      <c r="R35" s="5"/>
      <c r="S35" s="422"/>
      <c r="T35" s="422"/>
      <c r="U35" s="150"/>
      <c r="V35" s="422"/>
      <c r="W35" s="422"/>
      <c r="X35" s="422"/>
    </row>
    <row r="36" spans="1:24" s="4" customFormat="1" ht="15" x14ac:dyDescent="0.25">
      <c r="A36" s="5"/>
      <c r="B36" s="237" t="s">
        <v>1254</v>
      </c>
      <c r="C36" s="241"/>
      <c r="D36" s="173"/>
      <c r="E36" s="110"/>
      <c r="F36" s="174"/>
      <c r="G36" s="175"/>
      <c r="H36" s="5"/>
      <c r="I36" s="5"/>
      <c r="J36" s="176"/>
      <c r="K36" s="175"/>
      <c r="L36" s="175"/>
      <c r="M36" s="175"/>
      <c r="N36" s="175"/>
      <c r="O36" s="175"/>
      <c r="P36" s="176"/>
      <c r="Q36" s="5"/>
      <c r="R36" s="5"/>
      <c r="S36" s="422"/>
      <c r="T36" s="422"/>
      <c r="U36" s="150"/>
      <c r="V36" s="422"/>
      <c r="W36" s="422"/>
      <c r="X36" s="422"/>
    </row>
    <row r="37" spans="1:24" s="4" customFormat="1" ht="15" x14ac:dyDescent="0.25">
      <c r="A37" s="5"/>
      <c r="B37" s="245" t="s">
        <v>1256</v>
      </c>
      <c r="C37" s="421" t="s">
        <v>1255</v>
      </c>
      <c r="D37" s="953"/>
      <c r="E37" s="176"/>
      <c r="F37" s="5"/>
      <c r="G37" s="5"/>
      <c r="H37" s="5"/>
      <c r="I37" s="5"/>
      <c r="J37" s="5"/>
      <c r="K37" s="5"/>
      <c r="L37" s="5"/>
      <c r="M37" s="5"/>
      <c r="N37" s="5"/>
      <c r="O37" s="5"/>
      <c r="P37" s="5"/>
      <c r="Q37" s="5"/>
      <c r="R37" s="5"/>
      <c r="S37" s="422"/>
      <c r="T37" s="422"/>
      <c r="U37" s="150"/>
      <c r="V37" s="422"/>
      <c r="W37" s="422"/>
      <c r="X37" s="422"/>
    </row>
    <row r="38" spans="1:24" s="4" customFormat="1" ht="47.45" customHeight="1" x14ac:dyDescent="0.25">
      <c r="A38" s="5"/>
      <c r="B38" s="970" t="s">
        <v>1262</v>
      </c>
      <c r="C38" s="746">
        <v>58953</v>
      </c>
      <c r="D38" s="995" t="s">
        <v>1268</v>
      </c>
      <c r="E38" s="176"/>
      <c r="F38" s="5"/>
      <c r="G38" s="5"/>
      <c r="H38" s="5"/>
      <c r="I38" s="5"/>
      <c r="J38" s="5"/>
      <c r="K38" s="5"/>
      <c r="L38" s="5"/>
      <c r="M38" s="5"/>
      <c r="N38" s="5"/>
      <c r="O38" s="5"/>
      <c r="P38" s="5"/>
      <c r="Q38" s="5"/>
      <c r="R38" s="5"/>
      <c r="S38" s="422"/>
      <c r="T38" s="422"/>
      <c r="U38" s="150"/>
      <c r="V38" s="422"/>
      <c r="W38" s="422"/>
      <c r="X38" s="422"/>
    </row>
    <row r="39" spans="1:24" s="4" customFormat="1" ht="47.45" customHeight="1" x14ac:dyDescent="0.25">
      <c r="A39" s="5"/>
      <c r="B39" s="739" t="s">
        <v>1251</v>
      </c>
      <c r="C39" s="971">
        <v>0</v>
      </c>
      <c r="D39" s="767" t="s">
        <v>1260</v>
      </c>
      <c r="E39" s="176"/>
      <c r="F39" s="5"/>
      <c r="G39" s="5"/>
      <c r="H39" s="5"/>
      <c r="I39" s="5"/>
      <c r="J39" s="5"/>
      <c r="K39" s="5"/>
      <c r="L39" s="5"/>
      <c r="M39" s="5"/>
      <c r="N39" s="5"/>
      <c r="O39" s="5"/>
      <c r="P39" s="5"/>
      <c r="Q39" s="5"/>
      <c r="R39" s="5"/>
      <c r="S39" s="422"/>
      <c r="T39" s="422"/>
      <c r="U39" s="150"/>
      <c r="V39" s="422"/>
      <c r="W39" s="422"/>
      <c r="X39" s="422"/>
    </row>
    <row r="40" spans="1:24" s="4" customFormat="1" ht="47.45" customHeight="1" x14ac:dyDescent="0.25">
      <c r="A40" s="5"/>
      <c r="B40" s="739" t="s">
        <v>1258</v>
      </c>
      <c r="C40" s="971">
        <v>0</v>
      </c>
      <c r="D40" t="s">
        <v>1259</v>
      </c>
      <c r="E40" s="176"/>
      <c r="F40" s="5"/>
      <c r="G40" s="5"/>
      <c r="H40" s="5"/>
      <c r="I40" s="5"/>
      <c r="J40" s="5"/>
      <c r="K40" s="5"/>
      <c r="L40" s="5"/>
      <c r="M40" s="5"/>
      <c r="N40" s="5"/>
      <c r="O40" s="5"/>
      <c r="P40" s="5"/>
      <c r="Q40" s="5"/>
      <c r="R40" s="5"/>
      <c r="S40" s="422"/>
      <c r="T40" s="422"/>
      <c r="U40" s="150"/>
      <c r="V40" s="422"/>
      <c r="W40" s="422"/>
      <c r="X40" s="422"/>
    </row>
    <row r="41" spans="1:24" s="4" customFormat="1" ht="15" x14ac:dyDescent="0.25">
      <c r="A41" s="5"/>
      <c r="B41" s="816" t="s">
        <v>1247</v>
      </c>
      <c r="C41" s="5"/>
      <c r="D41" s="173"/>
      <c r="E41" s="110"/>
      <c r="F41" s="174"/>
      <c r="G41" s="175"/>
      <c r="H41" s="5"/>
      <c r="I41" s="5"/>
      <c r="J41" s="176"/>
      <c r="K41" s="175"/>
      <c r="L41" s="175"/>
      <c r="M41" s="175"/>
      <c r="N41" s="175"/>
      <c r="O41" s="175"/>
      <c r="P41" s="176"/>
      <c r="Q41" s="764"/>
      <c r="R41" s="5"/>
      <c r="S41" s="422"/>
      <c r="T41" s="422"/>
      <c r="U41" s="150"/>
      <c r="V41" s="422"/>
      <c r="W41" s="422"/>
      <c r="X41" s="422"/>
    </row>
    <row r="42" spans="1:24" s="4" customFormat="1" ht="15" x14ac:dyDescent="0.25">
      <c r="A42" s="5"/>
      <c r="B42" s="816"/>
      <c r="C42" s="5"/>
      <c r="D42" s="338"/>
      <c r="E42" s="110"/>
      <c r="F42" s="174"/>
      <c r="G42" s="175"/>
      <c r="H42" s="5"/>
      <c r="I42" s="5"/>
      <c r="J42" s="176"/>
      <c r="K42" s="175"/>
      <c r="L42" s="175"/>
      <c r="M42" s="175"/>
      <c r="N42" s="175"/>
      <c r="O42" s="175"/>
      <c r="P42" s="176"/>
      <c r="Q42" s="764"/>
      <c r="R42" s="5"/>
      <c r="S42" s="422"/>
      <c r="T42" s="422"/>
      <c r="U42" s="150"/>
      <c r="V42" s="422"/>
      <c r="W42" s="422"/>
      <c r="X42" s="422"/>
    </row>
    <row r="43" spans="1:24" s="4" customFormat="1" ht="15" x14ac:dyDescent="0.25">
      <c r="A43" s="5"/>
      <c r="B43" s="954" t="s">
        <v>1239</v>
      </c>
      <c r="C43" s="763"/>
      <c r="D43" s="173"/>
      <c r="E43" s="110"/>
      <c r="F43" s="174"/>
      <c r="G43" s="175"/>
      <c r="H43" s="5"/>
      <c r="I43" s="5"/>
      <c r="J43" s="176"/>
      <c r="K43" s="175"/>
      <c r="L43" s="175"/>
      <c r="M43" s="175"/>
      <c r="N43" s="175"/>
      <c r="O43" s="175"/>
      <c r="P43" s="176"/>
      <c r="Q43" s="764"/>
      <c r="R43" s="5"/>
      <c r="S43" s="422"/>
      <c r="T43" s="422"/>
      <c r="U43" s="150"/>
      <c r="V43" s="422"/>
      <c r="W43" s="422"/>
      <c r="X43" s="422"/>
    </row>
    <row r="44" spans="1:24" s="4" customFormat="1" ht="32.25" customHeight="1" x14ac:dyDescent="0.25">
      <c r="A44" s="5"/>
      <c r="B44" s="1029" t="s">
        <v>1266</v>
      </c>
      <c r="C44" s="1029"/>
      <c r="D44" s="1029"/>
      <c r="E44" s="1029"/>
      <c r="F44" s="1029"/>
      <c r="G44" s="1029"/>
      <c r="H44" s="1029"/>
      <c r="I44" s="1029"/>
      <c r="J44" s="1029"/>
      <c r="K44" s="1029"/>
      <c r="L44" s="1029"/>
      <c r="M44" s="1029"/>
      <c r="N44" s="1029"/>
      <c r="O44" s="1029"/>
      <c r="P44" s="176"/>
      <c r="Q44" s="764"/>
      <c r="R44" s="5"/>
      <c r="S44" s="422"/>
      <c r="T44" s="422"/>
      <c r="U44" s="150"/>
      <c r="V44" s="422"/>
      <c r="W44" s="422"/>
      <c r="X44" s="422"/>
    </row>
    <row r="45" spans="1:24" s="4" customFormat="1" ht="15" x14ac:dyDescent="0.25">
      <c r="A45" s="5"/>
      <c r="B45" s="241" t="s">
        <v>1240</v>
      </c>
      <c r="C45" s="173"/>
      <c r="D45" s="173"/>
      <c r="E45" s="110"/>
      <c r="F45" s="174"/>
      <c r="G45" s="175"/>
      <c r="H45" s="5"/>
      <c r="I45" s="5"/>
      <c r="J45" s="176"/>
      <c r="K45" s="175"/>
      <c r="L45" s="175"/>
      <c r="M45" s="175"/>
      <c r="N45" s="175"/>
      <c r="O45" s="175"/>
      <c r="P45" s="176"/>
      <c r="Q45" s="764"/>
      <c r="R45" s="5"/>
      <c r="S45" s="422"/>
      <c r="T45" s="422"/>
      <c r="U45" s="150"/>
      <c r="V45" s="422"/>
      <c r="W45" s="422"/>
      <c r="X45" s="422"/>
    </row>
    <row r="46" spans="1:24" s="4" customFormat="1" ht="15" x14ac:dyDescent="0.25">
      <c r="A46" s="5"/>
      <c r="B46" s="241" t="s">
        <v>1241</v>
      </c>
      <c r="C46" s="173"/>
      <c r="D46" s="173"/>
      <c r="E46" s="110"/>
      <c r="F46" s="174"/>
      <c r="G46" s="175"/>
      <c r="H46" s="5"/>
      <c r="I46" s="5"/>
      <c r="J46" s="176"/>
      <c r="K46" s="175"/>
      <c r="L46" s="175"/>
      <c r="M46" s="175"/>
      <c r="N46" s="175"/>
      <c r="O46" s="175"/>
      <c r="P46" s="176"/>
      <c r="Q46" s="764"/>
      <c r="R46" s="5"/>
      <c r="S46" s="422"/>
      <c r="T46" s="422"/>
      <c r="U46" s="150"/>
      <c r="V46" s="422"/>
      <c r="W46" s="422"/>
      <c r="X46" s="422"/>
    </row>
    <row r="47" spans="1:24" s="4" customFormat="1" ht="15" x14ac:dyDescent="0.25">
      <c r="A47" s="5"/>
      <c r="B47" s="816" t="s">
        <v>1265</v>
      </c>
      <c r="C47" s="173"/>
      <c r="D47" s="173"/>
      <c r="E47" s="110"/>
      <c r="F47" s="174"/>
      <c r="G47" s="175"/>
      <c r="H47" s="5"/>
      <c r="I47" s="5"/>
      <c r="J47" s="176"/>
      <c r="K47" s="175"/>
      <c r="L47" s="175"/>
      <c r="M47" s="175"/>
      <c r="N47" s="175"/>
      <c r="O47" s="175"/>
      <c r="P47" s="176"/>
      <c r="Q47" s="764"/>
      <c r="R47" s="5"/>
      <c r="S47" s="422"/>
      <c r="T47" s="422"/>
      <c r="U47" s="150"/>
      <c r="V47" s="422"/>
      <c r="W47" s="422"/>
      <c r="X47" s="422"/>
    </row>
    <row r="48" spans="1:24" s="4" customFormat="1" ht="15" x14ac:dyDescent="0.25">
      <c r="A48" s="5"/>
      <c r="B48" s="816" t="s">
        <v>1243</v>
      </c>
      <c r="C48" s="173"/>
      <c r="D48" s="173"/>
      <c r="E48" s="110"/>
      <c r="F48" s="174"/>
      <c r="G48" s="175"/>
      <c r="H48" s="5"/>
      <c r="I48" s="5"/>
      <c r="J48" s="176"/>
      <c r="K48" s="175"/>
      <c r="L48" s="175"/>
      <c r="M48" s="175"/>
      <c r="N48" s="175"/>
      <c r="O48" s="175"/>
      <c r="P48" s="176"/>
      <c r="Q48" s="764"/>
      <c r="R48" s="5"/>
      <c r="S48" s="422"/>
      <c r="T48" s="422"/>
      <c r="U48" s="150"/>
      <c r="V48" s="422"/>
      <c r="W48" s="422"/>
      <c r="X48" s="422"/>
    </row>
    <row r="49" spans="1:24" s="4" customFormat="1" ht="15" x14ac:dyDescent="0.25">
      <c r="A49" s="5"/>
      <c r="B49" s="816" t="s">
        <v>1242</v>
      </c>
      <c r="C49" s="173"/>
      <c r="D49" s="173"/>
      <c r="E49" s="110"/>
      <c r="F49" s="174"/>
      <c r="G49" s="175"/>
      <c r="H49" s="5"/>
      <c r="I49" s="5"/>
      <c r="J49" s="176"/>
      <c r="K49" s="175"/>
      <c r="L49" s="175"/>
      <c r="M49" s="175"/>
      <c r="N49" s="175"/>
      <c r="O49" s="175"/>
      <c r="P49" s="176"/>
      <c r="Q49" s="764"/>
      <c r="R49" s="5"/>
      <c r="S49" s="422"/>
      <c r="T49" s="422"/>
      <c r="U49" s="150"/>
      <c r="V49" s="422"/>
      <c r="W49" s="422"/>
      <c r="X49" s="422"/>
    </row>
    <row r="50" spans="1:24" s="4" customFormat="1" ht="15" x14ac:dyDescent="0.25">
      <c r="A50" s="5"/>
      <c r="B50" s="422"/>
      <c r="C50" s="816"/>
      <c r="D50" s="816"/>
      <c r="E50" s="816"/>
      <c r="F50" s="816"/>
      <c r="G50" s="816"/>
      <c r="H50" s="816"/>
      <c r="I50" s="816"/>
      <c r="J50" s="110"/>
      <c r="K50" s="175"/>
      <c r="L50" s="175"/>
      <c r="M50" s="175"/>
      <c r="N50" s="175"/>
      <c r="O50" s="175"/>
      <c r="P50" s="176"/>
      <c r="Q50" s="764"/>
      <c r="R50" s="5"/>
      <c r="S50" s="422"/>
      <c r="T50" s="422"/>
      <c r="U50" s="150"/>
      <c r="V50" s="422"/>
      <c r="W50" s="422"/>
      <c r="X50" s="422"/>
    </row>
    <row r="51" spans="1:24" s="4" customFormat="1" ht="15" x14ac:dyDescent="0.25">
      <c r="A51" s="5"/>
      <c r="B51" s="816"/>
      <c r="C51" s="816"/>
      <c r="D51" s="816"/>
      <c r="E51" s="816"/>
      <c r="F51" s="816"/>
      <c r="G51" s="816"/>
      <c r="H51" s="816"/>
      <c r="I51" s="816"/>
      <c r="J51" s="110"/>
      <c r="K51" s="175"/>
      <c r="L51" s="175"/>
      <c r="M51" s="175"/>
      <c r="N51" s="175"/>
      <c r="O51" s="175"/>
      <c r="P51" s="176"/>
      <c r="Q51" s="764"/>
      <c r="R51" s="5"/>
      <c r="S51" s="422"/>
      <c r="T51" s="422"/>
      <c r="U51" s="150"/>
      <c r="V51" s="422"/>
      <c r="W51" s="422"/>
      <c r="X51" s="422"/>
    </row>
    <row r="52" spans="1:24" s="4" customFormat="1" ht="15" x14ac:dyDescent="0.25">
      <c r="A52" s="5"/>
      <c r="B52" s="767"/>
      <c r="C52" s="5"/>
      <c r="D52" s="173"/>
      <c r="E52" s="5"/>
      <c r="F52" s="174"/>
      <c r="G52" s="175"/>
      <c r="H52" s="5"/>
      <c r="I52" s="5"/>
      <c r="J52" s="176"/>
      <c r="K52" s="175"/>
      <c r="L52" s="175"/>
      <c r="M52" s="175"/>
      <c r="N52" s="175"/>
      <c r="O52" s="175"/>
      <c r="P52" s="176"/>
      <c r="Q52" s="764"/>
      <c r="R52" s="5"/>
      <c r="S52" s="422"/>
      <c r="T52" s="422"/>
      <c r="U52" s="150"/>
      <c r="V52" s="422"/>
      <c r="W52" s="422"/>
      <c r="X52" s="422"/>
    </row>
    <row r="53" spans="1:24" s="4" customFormat="1" ht="15" x14ac:dyDescent="0.25">
      <c r="A53" s="5"/>
      <c r="B53" t="s">
        <v>1257</v>
      </c>
      <c r="C53"/>
      <c r="D53"/>
      <c r="E53"/>
      <c r="F53"/>
      <c r="G53"/>
      <c r="H53"/>
      <c r="I53"/>
      <c r="J53" s="176"/>
      <c r="K53" s="175"/>
      <c r="L53" s="175"/>
      <c r="M53" s="175"/>
      <c r="N53" s="175"/>
      <c r="O53" s="175"/>
      <c r="P53" s="176"/>
      <c r="Q53" s="764"/>
      <c r="R53" s="5"/>
      <c r="S53" s="422"/>
      <c r="T53" s="422"/>
      <c r="U53" s="150"/>
      <c r="V53" s="422"/>
      <c r="W53" s="422"/>
      <c r="X53" s="422"/>
    </row>
    <row r="54" spans="1:24" s="4" customFormat="1" ht="15" x14ac:dyDescent="0.25">
      <c r="A54" s="5"/>
      <c r="B54"/>
      <c r="C54"/>
      <c r="D54"/>
      <c r="E54"/>
      <c r="F54"/>
      <c r="G54"/>
      <c r="H54"/>
      <c r="I54"/>
      <c r="J54" s="176"/>
      <c r="K54" s="175"/>
      <c r="L54" s="175"/>
      <c r="M54" s="175"/>
      <c r="N54" s="175"/>
      <c r="O54" s="175"/>
      <c r="P54" s="176"/>
      <c r="Q54" s="764"/>
      <c r="R54" s="5"/>
      <c r="S54" s="422"/>
      <c r="T54" s="422"/>
      <c r="U54" s="150"/>
      <c r="V54" s="422"/>
      <c r="W54" s="422"/>
      <c r="X54" s="422"/>
    </row>
    <row r="55" spans="1:24" s="4" customFormat="1" ht="28.9" customHeight="1" x14ac:dyDescent="0.25">
      <c r="A55" s="5"/>
      <c r="B55" s="237" t="s">
        <v>1017</v>
      </c>
      <c r="C55" s="173"/>
      <c r="D55" s="175"/>
      <c r="E55" s="175"/>
      <c r="F55" s="175"/>
      <c r="G55" s="176"/>
      <c r="H55" s="768"/>
      <c r="I55" s="798"/>
      <c r="J55" s="798"/>
      <c r="K55" s="798"/>
      <c r="L55" s="798"/>
      <c r="M55" s="798"/>
      <c r="N55" s="798"/>
      <c r="O55" s="798"/>
      <c r="P55" s="798"/>
      <c r="Q55" s="798"/>
      <c r="R55" s="798"/>
      <c r="S55" s="798"/>
      <c r="T55" s="5"/>
      <c r="U55" s="422"/>
      <c r="V55" s="422"/>
      <c r="W55" s="150"/>
      <c r="X55" s="422"/>
    </row>
    <row r="56" spans="1:24" s="4" customFormat="1" ht="15" x14ac:dyDescent="0.25">
      <c r="A56" s="5"/>
      <c r="B56" s="240" t="s">
        <v>727</v>
      </c>
      <c r="C56" s="240" t="s">
        <v>1058</v>
      </c>
      <c r="D56" s="243" t="s">
        <v>729</v>
      </c>
      <c r="E56" s="243" t="s">
        <v>1018</v>
      </c>
      <c r="F56" s="240" t="s">
        <v>1001</v>
      </c>
      <c r="G56" s="242" t="s">
        <v>1076</v>
      </c>
      <c r="H56" s="240" t="s">
        <v>734</v>
      </c>
      <c r="I56" s="243" t="s">
        <v>735</v>
      </c>
      <c r="J56" s="795"/>
      <c r="K56" s="795"/>
      <c r="L56" s="801"/>
      <c r="M56" s="795"/>
      <c r="N56" s="795"/>
      <c r="O56" s="795"/>
      <c r="P56" s="795"/>
      <c r="Q56" s="795"/>
      <c r="R56" s="795"/>
      <c r="S56" s="795"/>
      <c r="T56" s="795"/>
      <c r="U56" s="422"/>
      <c r="V56" s="422"/>
      <c r="W56" s="150"/>
      <c r="X56" s="422"/>
    </row>
    <row r="57" spans="1:24" s="4" customFormat="1" ht="15" x14ac:dyDescent="0.25">
      <c r="A57" s="5"/>
      <c r="B57" s="739" t="s">
        <v>950</v>
      </c>
      <c r="C57" s="739" t="s">
        <v>1045</v>
      </c>
      <c r="D57" s="741" t="s">
        <v>736</v>
      </c>
      <c r="E57" s="769">
        <v>10</v>
      </c>
      <c r="F57" s="747">
        <f>52/6</f>
        <v>8.6666666666666661</v>
      </c>
      <c r="G57" s="748">
        <f>'Inputs and eligible population'!I95</f>
        <v>301.67</v>
      </c>
      <c r="H57" s="745">
        <f>'Inputs and eligible population'!J95</f>
        <v>0</v>
      </c>
      <c r="I57" s="746">
        <f>(G57*E57*F57)*(100%+H57)</f>
        <v>26144.733333333334</v>
      </c>
      <c r="J57" s="789"/>
      <c r="K57" s="789"/>
      <c r="L57" s="789"/>
      <c r="M57" s="789"/>
      <c r="N57" s="789"/>
      <c r="O57" s="789"/>
      <c r="P57" s="789"/>
      <c r="Q57" s="789"/>
      <c r="R57" s="789"/>
      <c r="S57" s="789"/>
      <c r="T57" s="789"/>
      <c r="U57" s="422"/>
      <c r="V57" s="422"/>
      <c r="W57" s="150"/>
      <c r="X57" s="422"/>
    </row>
    <row r="58" spans="1:24" s="4" customFormat="1" ht="15" x14ac:dyDescent="0.25">
      <c r="A58" s="5"/>
      <c r="B58" s="740"/>
      <c r="C58" s="740"/>
      <c r="D58" s="741"/>
      <c r="E58" s="742"/>
      <c r="F58" s="747"/>
      <c r="G58" s="748"/>
      <c r="H58" s="745"/>
      <c r="I58" s="749"/>
      <c r="J58" s="796"/>
      <c r="K58" s="796"/>
      <c r="L58" s="796"/>
      <c r="M58" s="796"/>
      <c r="N58" s="796"/>
      <c r="O58" s="796"/>
      <c r="P58" s="796"/>
      <c r="Q58" s="796"/>
      <c r="R58" s="796"/>
      <c r="S58" s="796"/>
      <c r="T58" s="796"/>
      <c r="U58" s="422"/>
      <c r="V58" s="422"/>
      <c r="W58" s="150"/>
      <c r="X58" s="422"/>
    </row>
    <row r="59" spans="1:24" s="4" customFormat="1" ht="15" x14ac:dyDescent="0.25">
      <c r="A59" s="5"/>
      <c r="B59" s="788"/>
      <c r="C59" s="800"/>
      <c r="D59" s="750"/>
      <c r="E59" s="750"/>
      <c r="F59" s="750"/>
      <c r="G59" s="750"/>
      <c r="H59" s="751"/>
      <c r="I59" s="752">
        <f>SUM(I57:I58)</f>
        <v>26144.733333333334</v>
      </c>
      <c r="J59" s="797"/>
      <c r="K59" s="797"/>
      <c r="L59" s="797"/>
      <c r="M59" s="797"/>
      <c r="N59" s="797"/>
      <c r="O59" s="797"/>
      <c r="P59" s="797"/>
      <c r="Q59" s="797"/>
      <c r="R59" s="797"/>
      <c r="S59" s="797"/>
      <c r="T59" s="797"/>
      <c r="U59" s="422"/>
      <c r="V59" s="422"/>
      <c r="W59" s="150"/>
      <c r="X59" s="422"/>
    </row>
    <row r="60" spans="1:24" s="4" customFormat="1" ht="15" x14ac:dyDescent="0.25">
      <c r="A60" s="5"/>
      <c r="B60" s="241"/>
      <c r="C60" s="241"/>
      <c r="D60" s="241"/>
      <c r="E60" s="241"/>
      <c r="F60" s="241"/>
      <c r="G60" s="175"/>
      <c r="H60" s="241"/>
      <c r="I60" s="241"/>
      <c r="J60" s="241"/>
      <c r="K60" s="241"/>
      <c r="L60" s="241"/>
      <c r="M60" s="241"/>
      <c r="N60" s="241"/>
      <c r="O60" s="241"/>
      <c r="P60" s="241"/>
      <c r="Q60" s="799"/>
      <c r="R60" s="799"/>
      <c r="S60" s="799"/>
      <c r="T60" s="5"/>
      <c r="U60" s="422"/>
      <c r="V60" s="422"/>
      <c r="W60" s="150"/>
      <c r="X60" s="422"/>
    </row>
    <row r="61" spans="1:24" s="4" customFormat="1" ht="15" x14ac:dyDescent="0.25">
      <c r="A61" s="5"/>
      <c r="B61" t="s">
        <v>1044</v>
      </c>
      <c r="C61" s="338" t="s">
        <v>949</v>
      </c>
      <c r="D61" s="173"/>
      <c r="E61" s="110"/>
      <c r="F61" s="174"/>
      <c r="G61" s="175"/>
      <c r="H61" s="5"/>
      <c r="I61" s="5"/>
      <c r="J61" s="176"/>
      <c r="K61" s="175"/>
      <c r="L61" s="175"/>
      <c r="M61" s="175"/>
      <c r="N61" s="175"/>
      <c r="O61" s="175"/>
      <c r="P61" s="176"/>
      <c r="Q61" s="764"/>
      <c r="R61" s="764"/>
      <c r="S61" s="764"/>
      <c r="T61" s="5"/>
      <c r="U61" s="422"/>
      <c r="V61" s="422"/>
      <c r="W61" s="150"/>
      <c r="X61" s="422"/>
    </row>
    <row r="62" spans="1:24" s="4" customFormat="1" ht="15" x14ac:dyDescent="0.25">
      <c r="A62" s="5"/>
      <c r="B62" t="s">
        <v>1075</v>
      </c>
      <c r="C62" s="338"/>
      <c r="D62" s="173"/>
      <c r="E62" s="110"/>
      <c r="F62" s="174"/>
      <c r="G62" s="175"/>
      <c r="H62" s="5"/>
      <c r="I62" s="5"/>
      <c r="J62" s="176"/>
      <c r="K62" s="175"/>
      <c r="L62" s="175"/>
      <c r="M62" s="175"/>
      <c r="N62" s="175"/>
      <c r="O62" s="175"/>
      <c r="P62" s="176"/>
      <c r="Q62" s="764"/>
      <c r="R62" s="764"/>
      <c r="S62" s="764"/>
      <c r="T62" s="5"/>
      <c r="U62" s="422"/>
      <c r="V62" s="422"/>
      <c r="W62" s="150"/>
      <c r="X62" s="422"/>
    </row>
    <row r="63" spans="1:24" s="4" customFormat="1" ht="15" x14ac:dyDescent="0.25">
      <c r="A63" s="5"/>
      <c r="B63" t="s">
        <v>1078</v>
      </c>
      <c r="C63" s="338"/>
      <c r="D63" s="1017"/>
      <c r="E63" s="338" t="s">
        <v>1077</v>
      </c>
      <c r="F63" s="174"/>
      <c r="G63" s="175"/>
      <c r="H63" s="5"/>
      <c r="I63" s="5"/>
      <c r="J63" s="176"/>
      <c r="K63" s="175"/>
      <c r="L63" s="175"/>
      <c r="M63" s="175"/>
      <c r="N63" s="175"/>
      <c r="O63" s="175"/>
      <c r="P63" s="176"/>
      <c r="Q63" s="764"/>
      <c r="R63" s="764"/>
      <c r="S63" s="764"/>
      <c r="T63" s="5"/>
      <c r="U63" s="422"/>
      <c r="V63" s="422"/>
      <c r="W63" s="150"/>
      <c r="X63" s="422"/>
    </row>
    <row r="64" spans="1:24" s="4" customFormat="1" ht="15" x14ac:dyDescent="0.25">
      <c r="A64" s="5"/>
      <c r="B64" t="s">
        <v>1079</v>
      </c>
      <c r="C64" s="338"/>
      <c r="D64" s="173"/>
      <c r="E64" s="110"/>
      <c r="F64" s="174"/>
      <c r="G64" s="175"/>
      <c r="H64" s="5"/>
      <c r="I64" s="5"/>
      <c r="J64" s="176"/>
      <c r="K64" s="175"/>
      <c r="L64" s="175"/>
      <c r="M64" s="175"/>
      <c r="N64" s="175"/>
      <c r="O64" s="175"/>
      <c r="P64" s="176"/>
      <c r="Q64" s="764"/>
      <c r="R64" s="764"/>
      <c r="S64" s="764"/>
      <c r="T64" s="5"/>
      <c r="U64" s="422"/>
      <c r="V64" s="422"/>
      <c r="W64" s="150"/>
      <c r="X64" s="422"/>
    </row>
    <row r="65" spans="1:24" s="4" customFormat="1" ht="15" x14ac:dyDescent="0.25">
      <c r="A65" s="5"/>
      <c r="B65"/>
      <c r="C65" s="338"/>
      <c r="D65" s="173"/>
      <c r="E65" s="110"/>
      <c r="F65" s="174"/>
      <c r="G65" s="175"/>
      <c r="H65" s="5"/>
      <c r="I65" s="5"/>
      <c r="J65" s="176"/>
      <c r="K65" s="175"/>
      <c r="L65" s="175"/>
      <c r="M65" s="175"/>
      <c r="N65" s="175"/>
      <c r="O65" s="175"/>
      <c r="P65" s="176"/>
      <c r="Q65" s="764"/>
      <c r="R65" s="764"/>
      <c r="S65" s="764"/>
      <c r="T65" s="5"/>
      <c r="U65" s="422"/>
      <c r="V65" s="422"/>
      <c r="W65" s="150"/>
      <c r="X65" s="422"/>
    </row>
    <row r="66" spans="1:24" s="4" customFormat="1" ht="15" x14ac:dyDescent="0.25">
      <c r="A66" s="5"/>
      <c r="B66" s="146" t="s">
        <v>1119</v>
      </c>
      <c r="C66" s="338"/>
      <c r="D66" s="173"/>
      <c r="E66" s="110"/>
      <c r="F66" s="174"/>
      <c r="G66" s="175"/>
      <c r="H66" s="5"/>
      <c r="I66" s="5"/>
      <c r="J66" s="176"/>
      <c r="K66" s="175"/>
      <c r="L66" s="175"/>
      <c r="M66" s="175"/>
      <c r="N66" s="175"/>
      <c r="O66" s="175"/>
      <c r="P66" s="176"/>
      <c r="Q66" s="764"/>
      <c r="R66" s="764"/>
      <c r="S66" s="764"/>
      <c r="T66" s="5"/>
      <c r="U66" s="422"/>
      <c r="V66" s="422"/>
      <c r="W66" s="150"/>
      <c r="X66" s="422"/>
    </row>
    <row r="67" spans="1:24" s="239" customFormat="1" ht="75" x14ac:dyDescent="0.25">
      <c r="A67" s="241"/>
      <c r="B67" s="240" t="s">
        <v>727</v>
      </c>
      <c r="C67" s="242" t="s">
        <v>728</v>
      </c>
      <c r="D67" s="243" t="s">
        <v>729</v>
      </c>
      <c r="E67" s="243" t="s">
        <v>730</v>
      </c>
      <c r="F67" s="243" t="s">
        <v>731</v>
      </c>
      <c r="G67" s="243" t="s">
        <v>732</v>
      </c>
      <c r="H67" s="243" t="s">
        <v>999</v>
      </c>
      <c r="I67" s="243" t="s">
        <v>1051</v>
      </c>
      <c r="J67" s="243" t="s">
        <v>733</v>
      </c>
      <c r="K67" s="243" t="s">
        <v>1053</v>
      </c>
      <c r="L67" s="243" t="s">
        <v>1004</v>
      </c>
      <c r="M67" s="243" t="s">
        <v>1026</v>
      </c>
      <c r="N67" s="243" t="s">
        <v>1133</v>
      </c>
      <c r="O67" s="243" t="s">
        <v>1027</v>
      </c>
      <c r="P67" s="243" t="s">
        <v>1132</v>
      </c>
      <c r="Q67" s="243" t="s">
        <v>1238</v>
      </c>
      <c r="R67" s="240" t="s">
        <v>734</v>
      </c>
      <c r="S67" s="243" t="s">
        <v>735</v>
      </c>
      <c r="T67" s="241"/>
      <c r="U67" s="770" t="s">
        <v>55</v>
      </c>
      <c r="V67" s="770" t="s">
        <v>755</v>
      </c>
      <c r="W67" s="775"/>
      <c r="X67" s="150"/>
    </row>
    <row r="68" spans="1:24" s="239" customFormat="1" ht="54.6" customHeight="1" x14ac:dyDescent="0.25">
      <c r="A68" s="241"/>
      <c r="B68" s="753" t="s">
        <v>1126</v>
      </c>
      <c r="C68" s="740" t="s">
        <v>1114</v>
      </c>
      <c r="D68" s="782" t="s">
        <v>1024</v>
      </c>
      <c r="E68" s="741" t="s">
        <v>737</v>
      </c>
      <c r="F68" s="742">
        <v>500</v>
      </c>
      <c r="G68" s="742">
        <v>10</v>
      </c>
      <c r="H68" s="742">
        <f>F68*G68</f>
        <v>5000</v>
      </c>
      <c r="I68" s="743">
        <v>40</v>
      </c>
      <c r="J68" s="802">
        <f>'Inputs and eligible population'!F103</f>
        <v>73.125999999999991</v>
      </c>
      <c r="K68" s="742">
        <f>I68*J68</f>
        <v>2925.0399999999995</v>
      </c>
      <c r="L68" s="742">
        <f>H68/K68</f>
        <v>1.7093783332877501</v>
      </c>
      <c r="M68" s="743">
        <f>5*52</f>
        <v>260</v>
      </c>
      <c r="N68" s="861">
        <f>ROUNDUP(L68*M68/G68,0)</f>
        <v>45</v>
      </c>
      <c r="O68" s="858">
        <v>6.0999999999999999E-2</v>
      </c>
      <c r="P68" s="755">
        <f>'Inputs and eligible population'!I96</f>
        <v>45.15</v>
      </c>
      <c r="Q68" s="756">
        <f>N68*O68*P68</f>
        <v>123.93675</v>
      </c>
      <c r="R68" s="745">
        <f>'Inputs and eligible population'!J96</f>
        <v>0.2</v>
      </c>
      <c r="S68" s="746">
        <f>Q68*(100%++R68)</f>
        <v>148.72409999999999</v>
      </c>
      <c r="T68" s="757"/>
      <c r="U68" s="440" t="s">
        <v>744</v>
      </c>
      <c r="V68" s="440" t="s">
        <v>756</v>
      </c>
      <c r="W68" s="775"/>
      <c r="X68" s="150"/>
    </row>
    <row r="69" spans="1:24" s="239" customFormat="1" ht="15" x14ac:dyDescent="0.25">
      <c r="A69" s="241"/>
      <c r="B69" s="753" t="s">
        <v>1127</v>
      </c>
      <c r="C69" s="740" t="s">
        <v>1130</v>
      </c>
      <c r="D69" s="741" t="s">
        <v>1125</v>
      </c>
      <c r="E69" s="741" t="s">
        <v>1131</v>
      </c>
      <c r="F69" s="742">
        <v>90</v>
      </c>
      <c r="G69" s="742">
        <v>30</v>
      </c>
      <c r="H69" s="742">
        <f t="shared" ref="H69:H70" si="0">F69*G69</f>
        <v>2700</v>
      </c>
      <c r="I69" s="742">
        <v>14</v>
      </c>
      <c r="J69" s="802">
        <f>'Inputs and eligible population'!F103</f>
        <v>73.125999999999991</v>
      </c>
      <c r="K69" s="742">
        <f t="shared" ref="K69" si="1">I69*J69</f>
        <v>1023.7639999999999</v>
      </c>
      <c r="L69" s="742">
        <f t="shared" ref="L69:L70" si="2">H69/K69</f>
        <v>2.6373265713582428</v>
      </c>
      <c r="M69" s="743">
        <v>365</v>
      </c>
      <c r="N69" s="861">
        <f t="shared" ref="N69:N70" si="3">ROUNDUP(L69*M69/G69,0)</f>
        <v>33</v>
      </c>
      <c r="O69" s="859">
        <v>0.89800000000000002</v>
      </c>
      <c r="P69" s="755">
        <f>'Inputs and eligible population'!I97</f>
        <v>126</v>
      </c>
      <c r="Q69" s="756">
        <f t="shared" ref="Q69:Q70" si="4">N69*O69*P69</f>
        <v>3733.884</v>
      </c>
      <c r="R69" s="745">
        <f>'Inputs and eligible population'!J97</f>
        <v>0.2</v>
      </c>
      <c r="S69" s="746">
        <f>Q69*(100%++R69)</f>
        <v>4480.6607999999997</v>
      </c>
      <c r="T69" s="757"/>
      <c r="U69" s="440" t="s">
        <v>745</v>
      </c>
      <c r="V69" s="440" t="s">
        <v>757</v>
      </c>
      <c r="W69" s="775"/>
      <c r="X69" s="150"/>
    </row>
    <row r="70" spans="1:24" s="239" customFormat="1" ht="30" x14ac:dyDescent="0.25">
      <c r="A70" s="241"/>
      <c r="B70" s="753" t="s">
        <v>1128</v>
      </c>
      <c r="C70" s="740" t="s">
        <v>1129</v>
      </c>
      <c r="D70" s="741" t="s">
        <v>1125</v>
      </c>
      <c r="E70" s="741" t="s">
        <v>1131</v>
      </c>
      <c r="F70" s="742">
        <v>500</v>
      </c>
      <c r="G70" s="742">
        <v>100</v>
      </c>
      <c r="H70" s="742">
        <f t="shared" si="0"/>
        <v>50000</v>
      </c>
      <c r="I70" s="860">
        <v>25</v>
      </c>
      <c r="J70" s="802">
        <f>'Inputs and eligible population'!F103</f>
        <v>73.125999999999991</v>
      </c>
      <c r="K70" s="742">
        <f>I70*J70*3</f>
        <v>5484.45</v>
      </c>
      <c r="L70" s="742">
        <f t="shared" si="2"/>
        <v>9.1166844442013328</v>
      </c>
      <c r="M70" s="743">
        <v>365</v>
      </c>
      <c r="N70" s="861">
        <f t="shared" si="3"/>
        <v>34</v>
      </c>
      <c r="O70" s="858">
        <v>4.1000000000000002E-2</v>
      </c>
      <c r="P70" s="755">
        <f>'Inputs and eligible population'!I98</f>
        <v>78.88</v>
      </c>
      <c r="Q70" s="756">
        <f t="shared" si="4"/>
        <v>109.95872</v>
      </c>
      <c r="R70" s="745">
        <f>'Inputs and eligible population'!J98</f>
        <v>0.2</v>
      </c>
      <c r="S70" s="746">
        <f>Q70*(100%++R70)</f>
        <v>131.95046399999998</v>
      </c>
      <c r="T70" s="757"/>
      <c r="U70" s="440" t="s">
        <v>746</v>
      </c>
      <c r="V70" s="440" t="s">
        <v>758</v>
      </c>
      <c r="W70" s="775"/>
      <c r="X70" s="150"/>
    </row>
    <row r="71" spans="1:24" s="239" customFormat="1" ht="15" x14ac:dyDescent="0.25">
      <c r="A71" s="241"/>
      <c r="B71" s="740"/>
      <c r="C71" s="740" t="s">
        <v>738</v>
      </c>
      <c r="D71" s="741"/>
      <c r="E71" s="741"/>
      <c r="F71" s="742"/>
      <c r="G71" s="742"/>
      <c r="H71" s="742"/>
      <c r="I71" s="742"/>
      <c r="J71" s="742"/>
      <c r="K71" s="742"/>
      <c r="L71" s="742"/>
      <c r="M71" s="743"/>
      <c r="N71" s="861"/>
      <c r="O71" s="760"/>
      <c r="P71" s="743"/>
      <c r="Q71" s="742"/>
      <c r="R71" s="745"/>
      <c r="S71" s="759"/>
      <c r="T71" s="757"/>
      <c r="U71" s="440" t="s">
        <v>747</v>
      </c>
      <c r="V71" s="440" t="s">
        <v>759</v>
      </c>
      <c r="W71" s="775"/>
      <c r="X71" s="150"/>
    </row>
    <row r="72" spans="1:24" s="239" customFormat="1" ht="15" x14ac:dyDescent="0.25">
      <c r="A72" s="241"/>
      <c r="B72" s="740"/>
      <c r="C72" s="244" t="s">
        <v>739</v>
      </c>
      <c r="D72" s="750"/>
      <c r="E72" s="750"/>
      <c r="F72" s="750"/>
      <c r="G72" s="750"/>
      <c r="H72" s="750"/>
      <c r="I72" s="750"/>
      <c r="J72" s="750"/>
      <c r="K72" s="750"/>
      <c r="L72" s="750"/>
      <c r="M72" s="750"/>
      <c r="N72" s="750"/>
      <c r="O72" s="750"/>
      <c r="P72" s="750"/>
      <c r="Q72" s="750"/>
      <c r="R72" s="750"/>
      <c r="S72" s="752">
        <f>S69+S68</f>
        <v>4629.3849</v>
      </c>
      <c r="T72" s="761"/>
      <c r="U72" s="440" t="s">
        <v>748</v>
      </c>
      <c r="V72" s="440" t="s">
        <v>760</v>
      </c>
      <c r="W72" s="775"/>
      <c r="X72" s="150"/>
    </row>
    <row r="73" spans="1:24" s="4" customFormat="1" ht="15" x14ac:dyDescent="0.25">
      <c r="A73" s="5"/>
      <c r="B73"/>
      <c r="C73" s="338"/>
      <c r="D73" s="173"/>
      <c r="E73" s="110"/>
      <c r="F73" s="174"/>
      <c r="G73" s="175"/>
      <c r="H73" s="5"/>
      <c r="I73" s="5"/>
      <c r="J73" s="176"/>
      <c r="K73" s="175"/>
      <c r="L73" s="175"/>
      <c r="M73" s="175"/>
      <c r="N73" s="175"/>
      <c r="O73" s="175"/>
      <c r="P73" s="176"/>
      <c r="Q73" s="764"/>
      <c r="R73" s="764"/>
      <c r="S73" s="764"/>
      <c r="T73" s="5"/>
      <c r="U73" s="439"/>
      <c r="V73" s="440" t="s">
        <v>761</v>
      </c>
      <c r="W73" s="150"/>
      <c r="X73" s="422"/>
    </row>
    <row r="74" spans="1:24" s="4" customFormat="1" ht="15" x14ac:dyDescent="0.25">
      <c r="A74" s="5"/>
      <c r="B74" t="s">
        <v>1215</v>
      </c>
      <c r="C74" s="338"/>
      <c r="D74" s="173"/>
      <c r="E74" s="110"/>
      <c r="F74" s="174"/>
      <c r="G74" s="175"/>
      <c r="H74" s="5"/>
      <c r="I74" s="5"/>
      <c r="J74" s="176"/>
      <c r="K74" s="175"/>
      <c r="L74" s="175"/>
      <c r="M74" s="175"/>
      <c r="N74" s="175"/>
      <c r="O74" s="175"/>
      <c r="P74" s="176"/>
      <c r="Q74" s="764"/>
      <c r="R74" s="764"/>
      <c r="S74" s="764"/>
      <c r="T74" s="5"/>
      <c r="U74" s="440" t="s">
        <v>749</v>
      </c>
      <c r="V74" s="440" t="s">
        <v>747</v>
      </c>
      <c r="W74" s="150"/>
      <c r="X74" s="422"/>
    </row>
    <row r="75" spans="1:24" s="4" customFormat="1" ht="15" x14ac:dyDescent="0.25">
      <c r="A75" s="5"/>
      <c r="B75"/>
      <c r="C75" s="338"/>
      <c r="D75" s="173"/>
      <c r="E75" s="110"/>
      <c r="F75" s="174"/>
      <c r="G75" s="175"/>
      <c r="H75" s="5"/>
      <c r="I75" s="5"/>
      <c r="J75" s="176"/>
      <c r="K75" s="175"/>
      <c r="L75" s="175"/>
      <c r="M75" s="175"/>
      <c r="N75" s="175"/>
      <c r="O75" s="175"/>
      <c r="P75" s="176"/>
      <c r="Q75" s="764"/>
      <c r="R75" s="764"/>
      <c r="S75" s="764"/>
      <c r="T75" s="5"/>
      <c r="U75" s="440" t="s">
        <v>750</v>
      </c>
      <c r="V75" s="440" t="s">
        <v>762</v>
      </c>
      <c r="W75" s="150"/>
      <c r="X75" s="422"/>
    </row>
    <row r="76" spans="1:24" s="4" customFormat="1" ht="15" x14ac:dyDescent="0.25">
      <c r="A76" s="5"/>
      <c r="B76"/>
      <c r="C76" s="338"/>
      <c r="D76" s="173"/>
      <c r="E76" s="110"/>
      <c r="F76" s="174"/>
      <c r="G76" s="175"/>
      <c r="H76" s="5"/>
      <c r="I76" s="5"/>
      <c r="J76" s="176"/>
      <c r="K76" s="175"/>
      <c r="L76" s="175"/>
      <c r="M76" s="175"/>
      <c r="N76" s="175"/>
      <c r="O76" s="175"/>
      <c r="P76" s="176"/>
      <c r="Q76" s="764"/>
      <c r="R76" s="764"/>
      <c r="S76" s="764"/>
      <c r="T76" s="5"/>
      <c r="U76" s="440" t="s">
        <v>751</v>
      </c>
      <c r="V76" s="440" t="s">
        <v>763</v>
      </c>
      <c r="W76" s="150"/>
      <c r="X76" s="422"/>
    </row>
    <row r="77" spans="1:24" s="4" customFormat="1" ht="15" x14ac:dyDescent="0.25">
      <c r="A77" s="5"/>
      <c r="B77"/>
      <c r="C77" s="338"/>
      <c r="D77" s="173"/>
      <c r="E77" s="110"/>
      <c r="F77" s="174"/>
      <c r="G77" s="175"/>
      <c r="H77" s="5"/>
      <c r="I77" s="5"/>
      <c r="J77" s="176"/>
      <c r="K77" s="175"/>
      <c r="L77" s="175"/>
      <c r="M77" s="175"/>
      <c r="N77" s="175"/>
      <c r="O77" s="175"/>
      <c r="P77" s="176"/>
      <c r="Q77" s="764"/>
      <c r="R77" s="764"/>
      <c r="S77" s="764"/>
      <c r="T77" s="5"/>
      <c r="U77" s="440" t="s">
        <v>752</v>
      </c>
      <c r="V77" s="440"/>
      <c r="W77" s="150"/>
      <c r="X77" s="422"/>
    </row>
    <row r="78" spans="1:24" s="4" customFormat="1" ht="15" x14ac:dyDescent="0.25">
      <c r="A78" s="5"/>
      <c r="B78" s="237" t="s">
        <v>740</v>
      </c>
      <c r="C78" s="241"/>
      <c r="D78" s="173"/>
      <c r="E78" s="110"/>
      <c r="F78" s="174"/>
      <c r="G78" s="175"/>
      <c r="H78" s="5"/>
      <c r="I78" s="5"/>
      <c r="J78" s="176"/>
      <c r="K78" s="175"/>
      <c r="L78" s="175"/>
      <c r="M78" s="175"/>
      <c r="N78" s="175"/>
      <c r="O78" s="175"/>
      <c r="P78" s="422"/>
      <c r="Q78" s="422"/>
      <c r="R78" s="422"/>
      <c r="S78" s="422"/>
      <c r="T78" s="5"/>
      <c r="U78" s="440" t="s">
        <v>753</v>
      </c>
      <c r="V78" s="439"/>
      <c r="W78" s="150"/>
      <c r="X78" s="422"/>
    </row>
    <row r="79" spans="1:24" s="4" customFormat="1" ht="15" x14ac:dyDescent="0.25">
      <c r="A79" s="5"/>
      <c r="B79" s="240" t="s">
        <v>741</v>
      </c>
      <c r="C79" s="242" t="s">
        <v>742</v>
      </c>
      <c r="D79" s="245" t="s">
        <v>743</v>
      </c>
      <c r="E79" s="417"/>
      <c r="F79" s="418"/>
      <c r="G79" s="419"/>
      <c r="H79" s="418"/>
      <c r="I79" s="419"/>
      <c r="J79" s="418"/>
      <c r="K79" s="419"/>
      <c r="L79" s="418"/>
      <c r="M79" s="421" t="s">
        <v>1012</v>
      </c>
      <c r="N79" s="175"/>
      <c r="O79" s="422"/>
      <c r="P79" s="422"/>
      <c r="Q79" s="422"/>
      <c r="R79" s="422"/>
      <c r="S79" s="5"/>
      <c r="T79" s="150"/>
      <c r="U79" s="1000" t="s">
        <v>754</v>
      </c>
      <c r="V79" s="441"/>
      <c r="W79" s="422"/>
      <c r="X79" s="422"/>
    </row>
    <row r="80" spans="1:24" s="4" customFormat="1" ht="14.85" customHeight="1" x14ac:dyDescent="0.25">
      <c r="A80" s="5"/>
      <c r="B80" s="739" t="s">
        <v>950</v>
      </c>
      <c r="C80" s="771" t="s">
        <v>1013</v>
      </c>
      <c r="D80" s="890" t="s">
        <v>1014</v>
      </c>
      <c r="E80" s="772"/>
      <c r="F80" s="772"/>
      <c r="G80" s="772"/>
      <c r="H80" s="772"/>
      <c r="I80" s="772"/>
      <c r="J80" s="772"/>
      <c r="K80" s="772"/>
      <c r="L80" s="773"/>
      <c r="M80" s="746">
        <v>511</v>
      </c>
      <c r="N80" s="175"/>
      <c r="O80" s="422"/>
      <c r="P80" s="422"/>
      <c r="Q80" s="422"/>
      <c r="R80" s="422"/>
      <c r="S80" s="5"/>
      <c r="T80" s="150"/>
      <c r="U80" s="422"/>
      <c r="V80" s="150"/>
      <c r="W80" s="422"/>
      <c r="X80" s="422"/>
    </row>
    <row r="81" spans="1:24" s="4" customFormat="1" ht="14.85" customHeight="1" x14ac:dyDescent="0.25">
      <c r="A81" s="5"/>
      <c r="B81" s="739" t="s">
        <v>950</v>
      </c>
      <c r="C81" s="771" t="s">
        <v>1015</v>
      </c>
      <c r="D81" s="890" t="s">
        <v>1016</v>
      </c>
      <c r="E81" s="772"/>
      <c r="F81" s="772"/>
      <c r="G81" s="772"/>
      <c r="H81" s="772"/>
      <c r="I81" s="772"/>
      <c r="J81" s="772"/>
      <c r="K81" s="772"/>
      <c r="L81" s="773"/>
      <c r="M81" s="746">
        <v>678</v>
      </c>
      <c r="N81" s="175"/>
      <c r="O81" s="422"/>
      <c r="P81" s="422"/>
      <c r="Q81" s="422"/>
      <c r="R81" s="422"/>
      <c r="S81" s="5"/>
      <c r="T81" s="150"/>
      <c r="U81" s="422"/>
      <c r="V81" s="150"/>
      <c r="W81" s="422"/>
      <c r="X81" s="422"/>
    </row>
    <row r="82" spans="1:24" s="4" customFormat="1" ht="15" x14ac:dyDescent="0.2">
      <c r="A82" s="5"/>
      <c r="B82" s="762" t="s">
        <v>1019</v>
      </c>
      <c r="C82" s="173"/>
      <c r="D82" s="173"/>
      <c r="E82" s="110"/>
      <c r="F82" s="174"/>
      <c r="G82" s="175"/>
      <c r="H82" s="5"/>
      <c r="I82" s="5"/>
      <c r="J82" s="176"/>
      <c r="K82" s="175"/>
      <c r="L82" s="175"/>
      <c r="M82" s="175"/>
      <c r="N82" s="175"/>
      <c r="O82" s="175"/>
      <c r="P82" s="422"/>
      <c r="Q82" s="422"/>
      <c r="R82" s="422"/>
      <c r="S82" s="422"/>
      <c r="T82" s="5"/>
      <c r="U82" s="150"/>
      <c r="V82" s="422"/>
      <c r="W82" s="150"/>
      <c r="X82" s="422"/>
    </row>
    <row r="83" spans="1:24" s="4" customFormat="1" ht="15" x14ac:dyDescent="0.25">
      <c r="A83" s="5"/>
      <c r="B83" s="188" t="s">
        <v>1020</v>
      </c>
      <c r="C83" s="173"/>
      <c r="D83" s="173"/>
      <c r="E83" s="110"/>
      <c r="F83" s="174"/>
      <c r="G83" s="175"/>
      <c r="H83" s="5"/>
      <c r="I83" s="5"/>
      <c r="J83" s="176"/>
      <c r="K83" s="175"/>
      <c r="L83" s="175"/>
      <c r="M83" s="175"/>
      <c r="N83" s="175"/>
      <c r="O83" s="175"/>
      <c r="P83" s="422"/>
      <c r="Q83" s="422"/>
      <c r="R83" s="422"/>
      <c r="S83" s="422"/>
      <c r="T83" s="5"/>
      <c r="U83" s="150"/>
      <c r="V83" s="422"/>
      <c r="W83" s="150"/>
      <c r="X83" s="422"/>
    </row>
    <row r="84" spans="1:24" s="4" customFormat="1" ht="14.25" x14ac:dyDescent="0.2">
      <c r="A84" s="5"/>
      <c r="B84" s="173"/>
      <c r="C84" s="173"/>
      <c r="D84" s="173"/>
      <c r="E84" s="110"/>
      <c r="F84" s="174"/>
      <c r="G84" s="175"/>
      <c r="H84" s="5"/>
      <c r="I84" s="5"/>
      <c r="J84" s="176"/>
      <c r="K84" s="175"/>
      <c r="L84" s="175"/>
      <c r="M84" s="175"/>
      <c r="N84" s="175"/>
      <c r="O84" s="175"/>
      <c r="P84" s="422"/>
      <c r="Q84" s="422"/>
      <c r="R84" s="422"/>
      <c r="S84" s="422"/>
      <c r="T84" s="5"/>
      <c r="U84" s="150"/>
      <c r="V84" s="422"/>
      <c r="W84" s="150"/>
      <c r="X84" s="422"/>
    </row>
    <row r="85" spans="1:24" s="4" customFormat="1" ht="15" x14ac:dyDescent="0.25">
      <c r="A85" s="5"/>
      <c r="B85" s="774"/>
      <c r="C85" s="5"/>
      <c r="D85" s="173"/>
      <c r="E85" s="110"/>
      <c r="F85" s="174"/>
      <c r="G85" s="175"/>
      <c r="H85" s="5"/>
      <c r="I85" s="5"/>
      <c r="J85" s="176"/>
      <c r="K85" s="175"/>
      <c r="L85" s="187"/>
      <c r="M85" s="187"/>
      <c r="N85" s="187"/>
      <c r="O85" s="175"/>
      <c r="P85" s="422"/>
      <c r="Q85" s="422"/>
      <c r="R85" s="5"/>
      <c r="S85" s="422"/>
      <c r="T85" s="422"/>
      <c r="U85" s="150"/>
      <c r="V85" s="422"/>
      <c r="W85" s="422"/>
      <c r="X85" s="422"/>
    </row>
    <row r="86" spans="1:24" x14ac:dyDescent="0.2">
      <c r="A86" s="187"/>
      <c r="B86" s="187"/>
      <c r="C86" s="187"/>
      <c r="D86" s="187"/>
      <c r="E86" s="187"/>
      <c r="F86" s="187"/>
      <c r="G86" s="187"/>
      <c r="H86" s="187"/>
      <c r="I86" s="187"/>
      <c r="J86" s="187"/>
      <c r="K86" s="187"/>
      <c r="L86" s="150"/>
      <c r="M86" s="150"/>
      <c r="N86" s="150"/>
      <c r="O86" s="187"/>
      <c r="P86" s="187"/>
      <c r="Q86" s="187"/>
      <c r="R86" s="187"/>
      <c r="S86" s="150"/>
      <c r="T86" s="150"/>
      <c r="U86" s="150"/>
      <c r="V86" s="150"/>
      <c r="W86" s="150"/>
      <c r="X86" s="150"/>
    </row>
  </sheetData>
  <sheetProtection algorithmName="SHA-512" hashValue="gwUQcJZEF92Ovsz+nz6MFBLRDc8+o38wxve0gi4TX+M+BAuZZWRGWOe6U7jpcEWZ3oQw1+tE6E24MctDrWM2Xw==" saltValue="1Rz4vgIZoqbZTUV7w/HKSg==" spinCount="100000" sheet="1" objects="1" scenarios="1"/>
  <protectedRanges>
    <protectedRange sqref="B80:M81" name="Range9"/>
    <protectedRange sqref="B57:T59" name="Range8"/>
    <protectedRange sqref="F57" name="Range7"/>
    <protectedRange sqref="B9:K11" name="Range1_1"/>
    <protectedRange sqref="B29:Q31 I68:J70" name="Range1_3"/>
    <protectedRange sqref="B38:C40" name="Range3"/>
  </protectedRanges>
  <mergeCells count="2">
    <mergeCell ref="B44:O44"/>
    <mergeCell ref="B24:M24"/>
  </mergeCells>
  <hyperlinks>
    <hyperlink ref="B83" r:id="rId1" location="National-Tariff-Payment-System" xr:uid="{F0236EF8-47F5-48FF-A759-6C48952966B3}"/>
    <hyperlink ref="C61" r:id="rId2" display="https://hospital.blood.co.uk/components/portfolio-and-prices/" xr:uid="{BA0CA30E-0963-4FC9-9C10-6B3EF7E08619}"/>
    <hyperlink ref="B21" r:id="rId3" display="https://www.england.nhs.uk/wp-content/uploads/2018/07/Plerixafor-for-stem-cell-mobilisation.pdf?UNLID=40301369320241208420" xr:uid="{64D901FA-7F33-480B-961C-F9F51021464A}"/>
    <hyperlink ref="E63" r:id="rId4" display="https://icer.org/wp-content/uploads/2021/02/ICER_SCD_Evidence-Report_031220-FOR-PUBLICATION.pdf" xr:uid="{A0C15545-FFB6-4188-8023-3BEFFFA75B1F}"/>
  </hyperlinks>
  <pageMargins left="0.70866141732283472" right="0.70866141732283472" top="0.74803149606299213" bottom="0.74803149606299213" header="0.31496062992125984" footer="0.31496062992125984"/>
  <pageSetup paperSize="9" scale="35"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A1:AH47"/>
  <sheetViews>
    <sheetView showGridLines="0" zoomScale="80" zoomScaleNormal="80" zoomScaleSheetLayoutView="80" workbookViewId="0"/>
  </sheetViews>
  <sheetFormatPr defaultColWidth="8.85546875" defaultRowHeight="15" x14ac:dyDescent="0.25"/>
  <cols>
    <col min="1" max="1" width="3.5703125" customWidth="1"/>
    <col min="2" max="2" width="103.140625" style="1" customWidth="1"/>
    <col min="3" max="3" width="19.5703125" customWidth="1"/>
    <col min="4"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503" t="str">
        <f>'Inputs and eligible population'!B1</f>
        <v>Exagamglogene autotemcel for treating severe sickle cell disease in people 12 years and over</v>
      </c>
      <c r="C1" s="125"/>
      <c r="D1" s="125"/>
      <c r="E1" s="125"/>
      <c r="F1" s="125"/>
      <c r="G1" s="125"/>
      <c r="H1" s="125"/>
      <c r="I1" s="125"/>
      <c r="J1" s="125"/>
      <c r="K1" s="125"/>
      <c r="L1" s="125"/>
      <c r="M1" s="125"/>
      <c r="N1" s="125"/>
      <c r="O1" s="125"/>
      <c r="P1" s="125"/>
      <c r="Q1" s="125"/>
      <c r="R1" s="125"/>
      <c r="S1" s="125"/>
      <c r="T1" s="125"/>
    </row>
    <row r="2" spans="2:34" ht="38.1" customHeight="1" x14ac:dyDescent="0.25">
      <c r="B2" s="358" t="s">
        <v>789</v>
      </c>
      <c r="C2" s="125" t="s">
        <v>725</v>
      </c>
      <c r="D2" s="125" t="s">
        <v>725</v>
      </c>
      <c r="E2" s="125" t="s">
        <v>725</v>
      </c>
      <c r="F2" s="125" t="s">
        <v>725</v>
      </c>
      <c r="G2" s="125" t="s">
        <v>725</v>
      </c>
      <c r="H2" s="125"/>
      <c r="I2" s="125" t="s">
        <v>725</v>
      </c>
      <c r="J2" s="125" t="s">
        <v>725</v>
      </c>
      <c r="K2" s="131"/>
      <c r="L2" s="125"/>
      <c r="M2" s="125"/>
      <c r="N2" s="125"/>
      <c r="O2" s="125"/>
      <c r="P2" s="125"/>
      <c r="Q2" s="125"/>
      <c r="R2" s="125"/>
      <c r="S2" s="125"/>
      <c r="T2" s="125"/>
    </row>
    <row r="3" spans="2:34" x14ac:dyDescent="0.25">
      <c r="B3" s="128" t="s">
        <v>725</v>
      </c>
      <c r="C3" s="131" t="s">
        <v>725</v>
      </c>
      <c r="D3" s="131" t="s">
        <v>725</v>
      </c>
      <c r="E3" s="131" t="s">
        <v>725</v>
      </c>
      <c r="F3" s="131" t="s">
        <v>725</v>
      </c>
      <c r="G3" s="131" t="s">
        <v>725</v>
      </c>
      <c r="H3" s="131" t="s">
        <v>725</v>
      </c>
      <c r="I3" s="131" t="s">
        <v>725</v>
      </c>
      <c r="J3" s="131" t="s">
        <v>725</v>
      </c>
      <c r="K3" s="131"/>
      <c r="L3" s="131"/>
      <c r="M3" s="131"/>
      <c r="N3" s="131"/>
      <c r="O3" s="131"/>
      <c r="P3" s="131"/>
      <c r="Q3" s="131"/>
      <c r="R3" s="131"/>
      <c r="S3" s="131"/>
      <c r="T3" s="131"/>
    </row>
    <row r="4" spans="2:34" s="236" customFormat="1" x14ac:dyDescent="0.25">
      <c r="B4" s="241" t="s">
        <v>790</v>
      </c>
      <c r="F4" s="131"/>
      <c r="G4" s="131"/>
      <c r="H4" s="131"/>
      <c r="I4" s="131"/>
      <c r="J4" s="131" t="s">
        <v>725</v>
      </c>
      <c r="K4" s="131"/>
      <c r="L4" s="131"/>
      <c r="M4" s="131"/>
      <c r="N4" s="131"/>
      <c r="O4" s="131"/>
      <c r="P4" s="131"/>
      <c r="Q4" s="131"/>
      <c r="R4" s="131"/>
      <c r="S4" s="131"/>
      <c r="T4" s="131"/>
    </row>
    <row r="5" spans="2:34" s="236" customFormat="1" x14ac:dyDescent="0.25">
      <c r="B5" s="241" t="s">
        <v>791</v>
      </c>
      <c r="F5" s="131"/>
      <c r="G5" s="131"/>
      <c r="H5" s="131"/>
      <c r="I5" s="131"/>
      <c r="J5" s="131"/>
      <c r="K5" s="131"/>
      <c r="L5" s="131"/>
      <c r="M5" s="131"/>
      <c r="N5" s="131"/>
      <c r="O5" s="131"/>
      <c r="P5" s="131"/>
      <c r="Q5" s="131"/>
      <c r="R5" s="131"/>
      <c r="S5" s="131"/>
      <c r="T5" s="131"/>
    </row>
    <row r="6" spans="2:34" s="236" customFormat="1" x14ac:dyDescent="0.25">
      <c r="B6" s="241"/>
      <c r="C6" s="131" t="s">
        <v>725</v>
      </c>
      <c r="D6" s="131" t="s">
        <v>725</v>
      </c>
      <c r="E6" s="131"/>
      <c r="F6" s="131"/>
      <c r="G6" s="131"/>
      <c r="H6" s="131"/>
      <c r="I6" s="131" t="s">
        <v>725</v>
      </c>
      <c r="J6" s="131" t="s">
        <v>725</v>
      </c>
      <c r="K6" s="131"/>
      <c r="L6" s="131"/>
      <c r="M6" s="131"/>
      <c r="N6" s="131"/>
      <c r="O6" s="131"/>
      <c r="P6" s="131"/>
      <c r="Q6" s="131"/>
      <c r="R6" s="131"/>
      <c r="S6" s="131"/>
      <c r="T6" s="131"/>
    </row>
    <row r="7" spans="2:34" s="236" customFormat="1" ht="45" x14ac:dyDescent="0.25">
      <c r="B7" s="252" t="s">
        <v>769</v>
      </c>
      <c r="C7" s="262"/>
      <c r="D7" s="394" t="s">
        <v>792</v>
      </c>
      <c r="E7" s="263" t="s">
        <v>672</v>
      </c>
      <c r="F7" s="263" t="s">
        <v>673</v>
      </c>
      <c r="G7" s="264" t="s">
        <v>766</v>
      </c>
      <c r="H7" s="264" t="s">
        <v>767</v>
      </c>
      <c r="I7" s="263" t="s">
        <v>768</v>
      </c>
      <c r="K7" s="131"/>
      <c r="L7" s="131"/>
      <c r="N7" s="131"/>
      <c r="O7" s="131"/>
      <c r="P7" s="131"/>
      <c r="Q7" s="131"/>
      <c r="R7" s="131"/>
      <c r="S7" s="131"/>
      <c r="T7" s="131"/>
    </row>
    <row r="8" spans="2:34" s="146" customFormat="1" x14ac:dyDescent="0.25">
      <c r="B8" s="219" t="s">
        <v>769</v>
      </c>
      <c r="C8" s="178"/>
      <c r="D8" s="177">
        <f>'Inputs and eligible population'!F46</f>
        <v>1793.8548690005489</v>
      </c>
      <c r="E8" s="177">
        <f>'Inputs and eligible population'!G46</f>
        <v>1811.1508722656836</v>
      </c>
      <c r="F8" s="177">
        <f>'Inputs and eligible population'!H46</f>
        <v>1828.6136402641962</v>
      </c>
      <c r="G8" s="177">
        <f>'Inputs and eligible population'!I46</f>
        <v>1846.2447809095377</v>
      </c>
      <c r="H8" s="177">
        <f>'Inputs and eligible population'!J46</f>
        <v>1864.045917618351</v>
      </c>
      <c r="I8" s="177">
        <f>'Inputs and eligible population'!K46</f>
        <v>1882.0186894599494</v>
      </c>
      <c r="K8" s="131"/>
      <c r="L8" s="131"/>
    </row>
    <row r="9" spans="2:34" s="236" customFormat="1" x14ac:dyDescent="0.25">
      <c r="B9" s="238" t="s">
        <v>725</v>
      </c>
      <c r="C9" s="131" t="s">
        <v>725</v>
      </c>
      <c r="D9" s="131" t="s">
        <v>725</v>
      </c>
      <c r="E9" s="131" t="s">
        <v>725</v>
      </c>
      <c r="F9" s="131" t="s">
        <v>725</v>
      </c>
      <c r="G9" s="131" t="s">
        <v>725</v>
      </c>
      <c r="H9" s="131"/>
      <c r="I9" s="131"/>
      <c r="K9" s="131"/>
      <c r="L9" s="131"/>
      <c r="N9" s="131"/>
      <c r="O9" s="131"/>
      <c r="P9" s="131"/>
      <c r="Q9" s="131"/>
      <c r="R9" s="131"/>
      <c r="S9" s="131"/>
      <c r="T9" s="131"/>
      <c r="AD9" s="265"/>
      <c r="AE9" s="265"/>
      <c r="AF9" s="265"/>
      <c r="AG9" s="265"/>
      <c r="AH9" s="265"/>
    </row>
    <row r="10" spans="2:34" s="236" customFormat="1" x14ac:dyDescent="0.25">
      <c r="B10" s="321" t="s">
        <v>772</v>
      </c>
      <c r="C10" s="322"/>
      <c r="D10" s="323"/>
      <c r="E10" s="323"/>
      <c r="F10" s="323"/>
      <c r="G10" s="323"/>
      <c r="H10" s="323"/>
      <c r="I10" s="324"/>
      <c r="K10" s="131"/>
      <c r="L10" s="131"/>
      <c r="N10" s="131"/>
      <c r="O10" s="131"/>
      <c r="P10" s="131"/>
      <c r="Q10" s="131"/>
      <c r="R10" s="131"/>
      <c r="S10" s="131"/>
      <c r="T10" s="131"/>
    </row>
    <row r="11" spans="2:34" s="236" customFormat="1" x14ac:dyDescent="0.25">
      <c r="B11" s="238"/>
      <c r="C11" s="131"/>
      <c r="D11" s="131"/>
      <c r="E11" s="131"/>
      <c r="F11" s="131"/>
      <c r="G11" s="131"/>
      <c r="H11" s="131"/>
      <c r="I11" s="131"/>
      <c r="N11" s="131"/>
      <c r="O11" s="131"/>
      <c r="P11" s="131"/>
      <c r="Q11" s="131"/>
      <c r="R11" s="131"/>
      <c r="S11" s="131"/>
      <c r="T11" s="131"/>
      <c r="AD11" s="265"/>
      <c r="AE11" s="265"/>
      <c r="AF11" s="265"/>
      <c r="AG11" s="265"/>
      <c r="AH11" s="265"/>
    </row>
    <row r="12" spans="2:34" s="236" customFormat="1" x14ac:dyDescent="0.25">
      <c r="B12" s="271" t="s">
        <v>793</v>
      </c>
      <c r="C12" s="266"/>
      <c r="D12" s="179"/>
      <c r="E12" s="179"/>
      <c r="F12" s="179"/>
      <c r="G12" s="179"/>
      <c r="H12" s="179"/>
      <c r="I12" s="180"/>
      <c r="N12" s="131"/>
      <c r="O12" s="131"/>
      <c r="P12" s="131"/>
      <c r="Q12" s="131"/>
      <c r="R12" s="131"/>
      <c r="S12" s="131"/>
      <c r="T12" s="131"/>
    </row>
    <row r="13" spans="2:34" s="236" customFormat="1" x14ac:dyDescent="0.25">
      <c r="B13" s="331" t="s">
        <v>1060</v>
      </c>
      <c r="C13" s="332"/>
      <c r="D13" s="267">
        <f>'Inputs and eligible population'!F52</f>
        <v>0</v>
      </c>
      <c r="E13" s="267">
        <f>'Inputs and eligible population'!G52</f>
        <v>0</v>
      </c>
      <c r="F13" s="267">
        <f>'Inputs and eligible population'!H52</f>
        <v>0</v>
      </c>
      <c r="G13" s="267">
        <f>'Inputs and eligible population'!I52</f>
        <v>0</v>
      </c>
      <c r="H13" s="267">
        <f>'Inputs and eligible population'!J52</f>
        <v>0</v>
      </c>
      <c r="I13" s="267">
        <f>'Inputs and eligible population'!K52</f>
        <v>0</v>
      </c>
      <c r="N13" s="131"/>
      <c r="O13" s="131"/>
      <c r="P13" s="131"/>
      <c r="Q13" s="131"/>
      <c r="R13" s="131"/>
      <c r="S13" s="131"/>
      <c r="T13" s="131"/>
      <c r="V13" s="265"/>
      <c r="W13" s="265"/>
      <c r="X13" s="265"/>
      <c r="Y13" s="265"/>
      <c r="Z13" s="265"/>
      <c r="AA13" s="265"/>
      <c r="AC13" s="265"/>
      <c r="AD13" s="265"/>
      <c r="AE13" s="265"/>
      <c r="AF13" s="265"/>
      <c r="AG13" s="265"/>
      <c r="AH13" s="265"/>
    </row>
    <row r="14" spans="2:34" s="236" customFormat="1" x14ac:dyDescent="0.25">
      <c r="B14" s="331" t="s">
        <v>1061</v>
      </c>
      <c r="C14" s="332"/>
      <c r="D14" s="267">
        <f>'Inputs and eligible population'!F67+'Inputs and eligible population'!F68</f>
        <v>0</v>
      </c>
      <c r="E14" s="267">
        <f>'Inputs and eligible population'!G67+'Inputs and eligible population'!G68</f>
        <v>0</v>
      </c>
      <c r="F14" s="267">
        <f>'Inputs and eligible population'!H67+'Inputs and eligible population'!H68</f>
        <v>0</v>
      </c>
      <c r="G14" s="267">
        <f>'Inputs and eligible population'!I67+'Inputs and eligible population'!I68</f>
        <v>0</v>
      </c>
      <c r="H14" s="267">
        <f>'Inputs and eligible population'!J67+'Inputs and eligible population'!J68</f>
        <v>0</v>
      </c>
      <c r="I14" s="267">
        <f>'Inputs and eligible population'!K67+'Inputs and eligible population'!K68</f>
        <v>0</v>
      </c>
      <c r="N14" s="131"/>
      <c r="O14" s="131"/>
      <c r="P14" s="131"/>
      <c r="Q14" s="131"/>
      <c r="R14" s="131"/>
      <c r="S14" s="131"/>
      <c r="T14" s="131"/>
      <c r="V14" s="265"/>
      <c r="W14" s="265"/>
      <c r="X14" s="265"/>
      <c r="Y14" s="265"/>
      <c r="Z14" s="265"/>
      <c r="AA14" s="265"/>
      <c r="AC14" s="265"/>
      <c r="AD14" s="265"/>
      <c r="AE14" s="265"/>
      <c r="AF14" s="265"/>
      <c r="AG14" s="265"/>
      <c r="AH14" s="265"/>
    </row>
    <row r="15" spans="2:34" s="236" customFormat="1" x14ac:dyDescent="0.25">
      <c r="B15" s="331" t="s">
        <v>1062</v>
      </c>
      <c r="C15" s="332"/>
      <c r="D15" s="267">
        <f>D13-D14</f>
        <v>0</v>
      </c>
      <c r="E15" s="267">
        <f t="shared" ref="E15:I15" si="0">E13-E14</f>
        <v>0</v>
      </c>
      <c r="F15" s="267">
        <f t="shared" si="0"/>
        <v>0</v>
      </c>
      <c r="G15" s="267">
        <f t="shared" si="0"/>
        <v>0</v>
      </c>
      <c r="H15" s="267">
        <f t="shared" si="0"/>
        <v>0</v>
      </c>
      <c r="I15" s="267">
        <f t="shared" si="0"/>
        <v>0</v>
      </c>
      <c r="N15" s="131"/>
      <c r="O15" s="131"/>
      <c r="P15" s="131"/>
      <c r="Q15" s="131"/>
      <c r="R15" s="131"/>
      <c r="S15" s="131"/>
      <c r="T15" s="131"/>
      <c r="V15" s="265"/>
      <c r="W15" s="265"/>
      <c r="X15" s="265"/>
      <c r="Y15" s="265"/>
      <c r="Z15" s="265"/>
      <c r="AA15" s="265"/>
      <c r="AC15" s="265"/>
      <c r="AD15" s="265"/>
      <c r="AE15" s="265"/>
      <c r="AF15" s="265"/>
      <c r="AG15" s="265"/>
      <c r="AH15" s="265"/>
    </row>
    <row r="16" spans="2:34" s="236" customFormat="1" x14ac:dyDescent="0.25">
      <c r="B16" s="331" t="s">
        <v>1103</v>
      </c>
      <c r="C16" s="332"/>
      <c r="D16" s="267">
        <f>D13*'Inputs and eligible population'!F53</f>
        <v>0</v>
      </c>
      <c r="E16" s="267">
        <f>E13*'Inputs and eligible population'!G53</f>
        <v>0</v>
      </c>
      <c r="F16" s="267">
        <f>F13*'Inputs and eligible population'!H53</f>
        <v>0</v>
      </c>
      <c r="G16" s="267">
        <f>G13*'Inputs and eligible population'!I53</f>
        <v>0</v>
      </c>
      <c r="H16" s="267">
        <f>H13*'Inputs and eligible population'!J53</f>
        <v>0</v>
      </c>
      <c r="I16" s="267">
        <f>I13*'Inputs and eligible population'!K53</f>
        <v>0</v>
      </c>
      <c r="N16" s="131"/>
      <c r="O16" s="131"/>
      <c r="P16" s="131"/>
      <c r="Q16" s="131"/>
      <c r="R16" s="131"/>
      <c r="S16" s="131"/>
      <c r="T16" s="131"/>
      <c r="V16" s="265"/>
      <c r="W16" s="265"/>
      <c r="X16" s="265"/>
      <c r="Y16" s="265"/>
      <c r="Z16" s="265"/>
      <c r="AA16" s="265"/>
      <c r="AC16" s="265"/>
      <c r="AD16" s="265"/>
      <c r="AE16" s="265"/>
      <c r="AF16" s="265"/>
      <c r="AG16" s="265"/>
      <c r="AH16" s="265"/>
    </row>
    <row r="17" spans="2:34" s="236" customFormat="1" x14ac:dyDescent="0.25">
      <c r="B17" s="331" t="s">
        <v>1096</v>
      </c>
      <c r="C17" s="332"/>
      <c r="D17" s="267">
        <f>D13</f>
        <v>0</v>
      </c>
      <c r="E17" s="267">
        <f t="shared" ref="E17:I17" si="1">E13</f>
        <v>0</v>
      </c>
      <c r="F17" s="267">
        <f t="shared" si="1"/>
        <v>0</v>
      </c>
      <c r="G17" s="267">
        <f t="shared" si="1"/>
        <v>0</v>
      </c>
      <c r="H17" s="267">
        <f t="shared" si="1"/>
        <v>0</v>
      </c>
      <c r="I17" s="267">
        <f t="shared" si="1"/>
        <v>0</v>
      </c>
      <c r="N17" s="131"/>
      <c r="O17" s="131"/>
      <c r="P17" s="131"/>
      <c r="Q17" s="131"/>
      <c r="R17" s="131"/>
      <c r="S17" s="131"/>
      <c r="T17" s="131"/>
      <c r="V17" s="265"/>
      <c r="W17" s="265"/>
      <c r="X17" s="265"/>
      <c r="Y17" s="265"/>
      <c r="Z17" s="265"/>
      <c r="AA17" s="265"/>
      <c r="AC17" s="265"/>
      <c r="AD17" s="265"/>
      <c r="AE17" s="265"/>
      <c r="AF17" s="265"/>
      <c r="AG17" s="265"/>
      <c r="AH17" s="265"/>
    </row>
    <row r="18" spans="2:34" s="236" customFormat="1" x14ac:dyDescent="0.25">
      <c r="B18" s="331" t="s">
        <v>1097</v>
      </c>
      <c r="C18" s="332"/>
      <c r="D18" s="267">
        <f>D13*'Unit costs'!$K$16</f>
        <v>0</v>
      </c>
      <c r="E18" s="267">
        <f>E13*'Unit costs'!$K$16</f>
        <v>0</v>
      </c>
      <c r="F18" s="267">
        <f>F13*'Unit costs'!$K$16</f>
        <v>0</v>
      </c>
      <c r="G18" s="267">
        <f>G13*'Unit costs'!$K$16</f>
        <v>0</v>
      </c>
      <c r="H18" s="267">
        <f>H13*'Unit costs'!$K$16</f>
        <v>0</v>
      </c>
      <c r="I18" s="267">
        <f>I13*'Unit costs'!$K$16</f>
        <v>0</v>
      </c>
      <c r="N18" s="131"/>
      <c r="O18" s="131"/>
      <c r="P18" s="131"/>
      <c r="Q18" s="131"/>
      <c r="R18" s="131"/>
      <c r="S18" s="131"/>
      <c r="T18" s="131"/>
      <c r="V18" s="265"/>
      <c r="W18" s="265"/>
      <c r="X18" s="265"/>
      <c r="Y18" s="265"/>
      <c r="Z18" s="265"/>
      <c r="AA18" s="265"/>
      <c r="AC18" s="265"/>
      <c r="AD18" s="265"/>
      <c r="AE18" s="265"/>
      <c r="AF18" s="265"/>
      <c r="AG18" s="265"/>
      <c r="AH18" s="265"/>
    </row>
    <row r="19" spans="2:34" s="236" customFormat="1" x14ac:dyDescent="0.25">
      <c r="B19" s="331" t="s">
        <v>1111</v>
      </c>
      <c r="C19" s="333"/>
      <c r="D19" s="267">
        <f>'Inputs and eligible population'!F64</f>
        <v>0</v>
      </c>
      <c r="E19" s="267">
        <f>'Inputs and eligible population'!G64</f>
        <v>0</v>
      </c>
      <c r="F19" s="267">
        <f>'Inputs and eligible population'!H64</f>
        <v>0</v>
      </c>
      <c r="G19" s="267">
        <f>'Inputs and eligible population'!I64</f>
        <v>0</v>
      </c>
      <c r="H19" s="267">
        <f>'Inputs and eligible population'!J64</f>
        <v>0</v>
      </c>
      <c r="I19" s="267">
        <f>'Inputs and eligible population'!K64</f>
        <v>0</v>
      </c>
      <c r="N19" s="131"/>
      <c r="O19" s="131"/>
      <c r="P19" s="131"/>
      <c r="Q19" s="131"/>
      <c r="R19" s="131"/>
      <c r="S19" s="131"/>
      <c r="T19" s="131"/>
      <c r="V19" s="265"/>
      <c r="W19" s="265"/>
      <c r="X19" s="265"/>
      <c r="Y19" s="265"/>
      <c r="Z19" s="265"/>
      <c r="AA19" s="265"/>
      <c r="AC19" s="265"/>
      <c r="AD19" s="265"/>
      <c r="AE19" s="265"/>
      <c r="AF19" s="265"/>
      <c r="AG19" s="265"/>
      <c r="AH19" s="265"/>
    </row>
    <row r="20" spans="2:34" s="236" customFormat="1" x14ac:dyDescent="0.25">
      <c r="B20" s="331" t="s">
        <v>1112</v>
      </c>
      <c r="C20" s="804"/>
      <c r="D20" s="267">
        <f>'Inputs and eligible population'!F64*'Inputs and eligible population'!F65</f>
        <v>0</v>
      </c>
      <c r="E20" s="267">
        <f>'Inputs and eligible population'!G64*'Inputs and eligible population'!G65</f>
        <v>0</v>
      </c>
      <c r="F20" s="267">
        <f>'Inputs and eligible population'!H64*'Inputs and eligible population'!H65</f>
        <v>0</v>
      </c>
      <c r="G20" s="267">
        <f>'Inputs and eligible population'!I64*'Inputs and eligible population'!I65</f>
        <v>0</v>
      </c>
      <c r="H20" s="267">
        <f>'Inputs and eligible population'!J64*'Inputs and eligible population'!J65</f>
        <v>0</v>
      </c>
      <c r="I20" s="267">
        <f>'Inputs and eligible population'!K64*'Inputs and eligible population'!K65</f>
        <v>0</v>
      </c>
      <c r="N20" s="131"/>
      <c r="O20" s="131"/>
      <c r="P20" s="131"/>
      <c r="Q20" s="131"/>
      <c r="R20" s="131"/>
      <c r="S20" s="131"/>
      <c r="T20" s="131"/>
      <c r="V20" s="265"/>
      <c r="W20" s="265"/>
      <c r="X20" s="265"/>
      <c r="Y20" s="265"/>
      <c r="Z20" s="265"/>
      <c r="AA20" s="265"/>
      <c r="AC20" s="265"/>
      <c r="AD20" s="265"/>
      <c r="AE20" s="265"/>
      <c r="AF20" s="265"/>
      <c r="AG20" s="265"/>
      <c r="AH20" s="265"/>
    </row>
    <row r="21" spans="2:34" s="236" customFormat="1" x14ac:dyDescent="0.25">
      <c r="B21" s="331" t="s">
        <v>1113</v>
      </c>
      <c r="C21" s="804"/>
      <c r="D21" s="267">
        <f>'Inputs and eligible population'!F66</f>
        <v>0</v>
      </c>
      <c r="E21" s="267">
        <f>'Inputs and eligible population'!G66</f>
        <v>0</v>
      </c>
      <c r="F21" s="267">
        <f>'Inputs and eligible population'!H66</f>
        <v>0</v>
      </c>
      <c r="G21" s="267">
        <f>'Inputs and eligible population'!I66</f>
        <v>0</v>
      </c>
      <c r="H21" s="267">
        <f>'Inputs and eligible population'!J66</f>
        <v>0</v>
      </c>
      <c r="I21" s="267">
        <f>'Inputs and eligible population'!K66</f>
        <v>0</v>
      </c>
      <c r="N21" s="131"/>
      <c r="O21" s="131"/>
      <c r="P21" s="131"/>
      <c r="Q21" s="131"/>
      <c r="R21" s="131"/>
      <c r="S21" s="131"/>
      <c r="T21" s="131"/>
      <c r="V21" s="265"/>
      <c r="W21" s="265"/>
      <c r="X21" s="265"/>
      <c r="Y21" s="265"/>
      <c r="Z21" s="265"/>
      <c r="AA21" s="265"/>
      <c r="AC21" s="265"/>
      <c r="AD21" s="265"/>
      <c r="AE21" s="265"/>
      <c r="AF21" s="265"/>
      <c r="AG21" s="265"/>
      <c r="AH21" s="265"/>
    </row>
    <row r="22" spans="2:34" s="236" customFormat="1" x14ac:dyDescent="0.25">
      <c r="B22" s="331" t="s">
        <v>1101</v>
      </c>
      <c r="C22" s="804"/>
      <c r="D22" s="267">
        <f>'Inputs and eligible population'!F46-'Inputs and eligible population'!F52</f>
        <v>1793.8548690005489</v>
      </c>
      <c r="E22" s="267">
        <f>'Inputs and eligible population'!G46-'Inputs and eligible population'!G52</f>
        <v>1811.1508722656836</v>
      </c>
      <c r="F22" s="267">
        <f>'Inputs and eligible population'!H46-'Inputs and eligible population'!H52</f>
        <v>1828.6136402641962</v>
      </c>
      <c r="G22" s="267">
        <f>'Inputs and eligible population'!I46-'Inputs and eligible population'!I52</f>
        <v>1846.2447809095377</v>
      </c>
      <c r="H22" s="267">
        <f>'Inputs and eligible population'!J46-'Inputs and eligible population'!J52</f>
        <v>1864.045917618351</v>
      </c>
      <c r="I22" s="267">
        <f>'Inputs and eligible population'!K46-'Inputs and eligible population'!K52</f>
        <v>1882.0186894599494</v>
      </c>
      <c r="N22" s="131"/>
      <c r="O22" s="131"/>
      <c r="P22" s="131"/>
      <c r="Q22" s="131"/>
      <c r="R22" s="131"/>
      <c r="S22" s="131"/>
      <c r="T22" s="131"/>
      <c r="V22" s="265"/>
      <c r="W22" s="265"/>
      <c r="X22" s="265"/>
      <c r="Y22" s="265"/>
      <c r="Z22" s="265"/>
      <c r="AA22" s="265"/>
      <c r="AC22" s="265"/>
      <c r="AD22" s="265"/>
      <c r="AE22" s="265"/>
      <c r="AF22" s="265"/>
      <c r="AG22" s="265"/>
      <c r="AH22" s="265"/>
    </row>
    <row r="23" spans="2:34" s="236" customFormat="1" x14ac:dyDescent="0.25">
      <c r="B23" s="272"/>
      <c r="C23" s="181"/>
      <c r="D23" s="182">
        <f>D13+D22</f>
        <v>1793.8548690005489</v>
      </c>
      <c r="E23" s="182">
        <f>E13+E22</f>
        <v>1811.1508722656836</v>
      </c>
      <c r="F23" s="182">
        <f>F13+F22</f>
        <v>1828.6136402641962</v>
      </c>
      <c r="G23" s="182">
        <f t="shared" ref="G23:I23" si="2">G13+G22</f>
        <v>1846.2447809095377</v>
      </c>
      <c r="H23" s="182">
        <f t="shared" si="2"/>
        <v>1864.045917618351</v>
      </c>
      <c r="I23" s="182">
        <f t="shared" si="2"/>
        <v>1882.0186894599494</v>
      </c>
      <c r="N23" s="131"/>
      <c r="O23" s="131"/>
      <c r="P23" s="131"/>
      <c r="Q23" s="131"/>
      <c r="R23" s="131"/>
      <c r="S23" s="131"/>
      <c r="T23" s="131"/>
      <c r="V23" s="265"/>
      <c r="W23" s="265"/>
      <c r="X23" s="265"/>
      <c r="Y23" s="265"/>
      <c r="Z23" s="265"/>
      <c r="AA23" s="265"/>
      <c r="AC23" s="265"/>
      <c r="AD23" s="265"/>
      <c r="AE23" s="265"/>
      <c r="AF23" s="265"/>
      <c r="AG23" s="265"/>
      <c r="AH23" s="265"/>
    </row>
    <row r="24" spans="2:34" s="236" customFormat="1" x14ac:dyDescent="0.25">
      <c r="B24" s="805" t="s">
        <v>1102</v>
      </c>
      <c r="C24" s="131"/>
      <c r="D24" s="131"/>
      <c r="E24" s="821"/>
      <c r="F24" s="131"/>
      <c r="G24" s="131"/>
      <c r="H24" s="131"/>
      <c r="I24" s="131"/>
      <c r="N24" s="131"/>
      <c r="O24" s="131"/>
      <c r="P24" s="131"/>
      <c r="Q24" s="131"/>
      <c r="R24" s="131"/>
      <c r="S24" s="131"/>
      <c r="T24" s="131"/>
      <c r="AD24" s="265"/>
      <c r="AE24" s="265"/>
      <c r="AF24" s="265"/>
      <c r="AG24" s="265"/>
      <c r="AH24" s="265"/>
    </row>
    <row r="25" spans="2:34" s="236" customFormat="1" x14ac:dyDescent="0.25">
      <c r="B25" s="273"/>
      <c r="C25" s="131"/>
      <c r="D25" s="131"/>
      <c r="E25" s="131"/>
      <c r="F25" s="131"/>
      <c r="G25" s="131"/>
      <c r="H25" s="131"/>
      <c r="I25" s="131"/>
      <c r="N25" s="131"/>
      <c r="O25" s="131"/>
      <c r="P25" s="131"/>
      <c r="Q25" s="131"/>
      <c r="R25" s="131"/>
      <c r="S25" s="131"/>
      <c r="T25" s="131"/>
      <c r="AD25" s="265"/>
      <c r="AE25" s="265"/>
      <c r="AF25" s="265"/>
      <c r="AG25" s="265"/>
      <c r="AH25" s="265"/>
    </row>
    <row r="26" spans="2:34" s="236" customFormat="1" x14ac:dyDescent="0.25">
      <c r="B26" s="273"/>
      <c r="C26" s="131"/>
      <c r="D26" s="131"/>
      <c r="E26" s="131"/>
      <c r="F26" s="131"/>
      <c r="G26" s="131"/>
      <c r="H26" s="131"/>
      <c r="I26" s="131"/>
      <c r="N26" s="131"/>
      <c r="O26" s="131"/>
      <c r="P26" s="131"/>
      <c r="Q26" s="131"/>
      <c r="R26" s="131"/>
      <c r="S26" s="131"/>
      <c r="T26" s="131"/>
      <c r="AD26" s="265"/>
      <c r="AE26" s="265"/>
      <c r="AF26" s="265"/>
      <c r="AG26" s="265"/>
      <c r="AH26" s="265"/>
    </row>
    <row r="27" spans="2:34" s="236" customFormat="1" x14ac:dyDescent="0.25">
      <c r="B27" s="274" t="s">
        <v>794</v>
      </c>
      <c r="C27" s="268" t="s">
        <v>795</v>
      </c>
      <c r="D27" s="598" t="s">
        <v>773</v>
      </c>
      <c r="E27" s="598" t="s">
        <v>773</v>
      </c>
      <c r="F27" s="598" t="s">
        <v>773</v>
      </c>
      <c r="G27" s="598" t="s">
        <v>773</v>
      </c>
      <c r="H27" s="598" t="s">
        <v>773</v>
      </c>
      <c r="I27" s="598" t="s">
        <v>773</v>
      </c>
      <c r="N27" s="131"/>
      <c r="O27" s="131"/>
      <c r="P27" s="131"/>
      <c r="Q27" s="131"/>
      <c r="R27" s="131"/>
      <c r="S27" s="131"/>
      <c r="T27" s="131"/>
      <c r="AD27" s="265"/>
      <c r="AE27" s="265"/>
      <c r="AF27" s="265"/>
      <c r="AG27" s="265"/>
      <c r="AH27" s="265"/>
    </row>
    <row r="28" spans="2:34" s="236" customFormat="1" x14ac:dyDescent="0.25">
      <c r="B28" s="330" t="s">
        <v>1063</v>
      </c>
      <c r="C28" s="269">
        <f>'Unit costs'!K9</f>
        <v>0</v>
      </c>
      <c r="D28" s="269">
        <f t="shared" ref="D28:I28" si="3">D15*$C28/1000</f>
        <v>0</v>
      </c>
      <c r="E28" s="269">
        <f t="shared" si="3"/>
        <v>0</v>
      </c>
      <c r="F28" s="269">
        <f t="shared" si="3"/>
        <v>0</v>
      </c>
      <c r="G28" s="269">
        <f t="shared" si="3"/>
        <v>0</v>
      </c>
      <c r="H28" s="269">
        <f t="shared" si="3"/>
        <v>0</v>
      </c>
      <c r="I28" s="269">
        <f t="shared" si="3"/>
        <v>0</v>
      </c>
      <c r="N28" s="131"/>
      <c r="O28" s="131"/>
      <c r="P28" s="131"/>
      <c r="Q28" s="131"/>
      <c r="R28" s="131"/>
      <c r="S28" s="131"/>
      <c r="T28" s="131"/>
      <c r="AD28" s="265"/>
      <c r="AE28" s="265"/>
      <c r="AF28" s="265"/>
      <c r="AG28" s="265"/>
      <c r="AH28" s="265"/>
    </row>
    <row r="29" spans="2:34" s="236" customFormat="1" x14ac:dyDescent="0.25">
      <c r="B29" s="330" t="s">
        <v>942</v>
      </c>
      <c r="C29" s="269">
        <f>'Unit costs'!O15</f>
        <v>13680</v>
      </c>
      <c r="D29" s="269">
        <f t="shared" ref="D29:I30" si="4">D17*$C29/1000</f>
        <v>0</v>
      </c>
      <c r="E29" s="269">
        <f t="shared" si="4"/>
        <v>0</v>
      </c>
      <c r="F29" s="269">
        <f t="shared" si="4"/>
        <v>0</v>
      </c>
      <c r="G29" s="269">
        <f t="shared" si="4"/>
        <v>0</v>
      </c>
      <c r="H29" s="269">
        <f t="shared" si="4"/>
        <v>0</v>
      </c>
      <c r="I29" s="269">
        <f t="shared" si="4"/>
        <v>0</v>
      </c>
      <c r="N29" s="131"/>
      <c r="O29" s="131"/>
      <c r="P29" s="131"/>
      <c r="Q29" s="131"/>
      <c r="R29" s="131"/>
      <c r="S29" s="131"/>
      <c r="T29" s="131"/>
      <c r="AD29" s="265"/>
      <c r="AE29" s="265"/>
      <c r="AF29" s="265"/>
      <c r="AG29" s="265"/>
      <c r="AH29" s="265"/>
    </row>
    <row r="30" spans="2:34" s="236" customFormat="1" x14ac:dyDescent="0.25">
      <c r="B30" s="330" t="s">
        <v>943</v>
      </c>
      <c r="C30" s="269">
        <f>'Unit costs'!O16</f>
        <v>0</v>
      </c>
      <c r="D30" s="269">
        <f t="shared" si="4"/>
        <v>0</v>
      </c>
      <c r="E30" s="269">
        <f t="shared" si="4"/>
        <v>0</v>
      </c>
      <c r="F30" s="269">
        <f t="shared" si="4"/>
        <v>0</v>
      </c>
      <c r="G30" s="269">
        <f t="shared" si="4"/>
        <v>0</v>
      </c>
      <c r="H30" s="269">
        <f t="shared" si="4"/>
        <v>0</v>
      </c>
      <c r="I30" s="269">
        <f t="shared" si="4"/>
        <v>0</v>
      </c>
      <c r="N30" s="131"/>
      <c r="O30" s="131"/>
      <c r="P30" s="131"/>
      <c r="Q30" s="131"/>
      <c r="R30" s="131"/>
      <c r="S30" s="131"/>
      <c r="T30" s="131"/>
      <c r="AD30" s="265"/>
      <c r="AE30" s="265"/>
      <c r="AF30" s="265"/>
      <c r="AG30" s="265"/>
      <c r="AH30" s="265"/>
    </row>
    <row r="31" spans="2:34" s="236" customFormat="1" x14ac:dyDescent="0.25">
      <c r="B31" s="330" t="s">
        <v>1100</v>
      </c>
      <c r="C31" s="269">
        <f>'Unit costs'!Q31</f>
        <v>103.896</v>
      </c>
      <c r="D31" s="269">
        <f>$C31*-D21/1000</f>
        <v>0</v>
      </c>
      <c r="E31" s="269">
        <f t="shared" ref="E31:I31" si="5">$C31*-E21/1000</f>
        <v>0</v>
      </c>
      <c r="F31" s="269">
        <f t="shared" si="5"/>
        <v>0</v>
      </c>
      <c r="G31" s="269">
        <f t="shared" si="5"/>
        <v>0</v>
      </c>
      <c r="H31" s="269">
        <f t="shared" si="5"/>
        <v>0</v>
      </c>
      <c r="I31" s="269">
        <f t="shared" si="5"/>
        <v>0</v>
      </c>
      <c r="N31" s="131"/>
      <c r="O31" s="131"/>
      <c r="P31" s="131"/>
      <c r="Q31" s="131"/>
      <c r="R31" s="131"/>
      <c r="S31" s="131"/>
      <c r="T31" s="131"/>
      <c r="AD31" s="265"/>
      <c r="AE31" s="265"/>
      <c r="AF31" s="265"/>
      <c r="AG31" s="265"/>
      <c r="AH31" s="265"/>
    </row>
    <row r="32" spans="2:34" s="236" customFormat="1" x14ac:dyDescent="0.25">
      <c r="B32" s="272" t="s">
        <v>796</v>
      </c>
      <c r="C32" s="590"/>
      <c r="D32" s="183">
        <f t="shared" ref="D32:I32" si="6">SUM(D28:D31)</f>
        <v>0</v>
      </c>
      <c r="E32" s="183">
        <f t="shared" si="6"/>
        <v>0</v>
      </c>
      <c r="F32" s="183">
        <f t="shared" si="6"/>
        <v>0</v>
      </c>
      <c r="G32" s="183">
        <f t="shared" si="6"/>
        <v>0</v>
      </c>
      <c r="H32" s="184">
        <f t="shared" si="6"/>
        <v>0</v>
      </c>
      <c r="I32" s="183">
        <f t="shared" si="6"/>
        <v>0</v>
      </c>
      <c r="J32" s="341"/>
      <c r="N32" s="131"/>
      <c r="O32" s="131"/>
      <c r="P32" s="131"/>
      <c r="Q32" s="131"/>
      <c r="R32" s="131"/>
      <c r="S32" s="131"/>
      <c r="T32" s="131"/>
      <c r="AD32" s="265"/>
      <c r="AE32" s="265"/>
      <c r="AF32" s="265"/>
      <c r="AG32" s="265"/>
      <c r="AH32" s="265"/>
    </row>
    <row r="33" spans="1:34" s="236" customFormat="1" x14ac:dyDescent="0.25">
      <c r="B33" s="273"/>
      <c r="C33" s="131"/>
      <c r="D33" s="131"/>
      <c r="E33" s="131"/>
      <c r="F33" s="131"/>
      <c r="G33" s="131"/>
      <c r="H33" s="131"/>
      <c r="I33" s="131"/>
      <c r="N33" s="131"/>
      <c r="O33" s="131"/>
      <c r="P33" s="131"/>
      <c r="Q33" s="131"/>
      <c r="R33" s="131"/>
      <c r="S33" s="131"/>
      <c r="T33" s="131"/>
      <c r="AD33" s="265"/>
      <c r="AE33" s="265"/>
      <c r="AF33" s="265"/>
      <c r="AG33" s="265"/>
      <c r="AH33" s="265"/>
    </row>
    <row r="34" spans="1:34" s="236" customFormat="1" x14ac:dyDescent="0.25">
      <c r="B34" s="808" t="s">
        <v>1117</v>
      </c>
      <c r="C34" s="809" t="s">
        <v>1109</v>
      </c>
      <c r="D34" s="810" t="s">
        <v>773</v>
      </c>
      <c r="E34" s="810" t="s">
        <v>773</v>
      </c>
      <c r="F34" s="810" t="s">
        <v>773</v>
      </c>
      <c r="G34" s="810" t="s">
        <v>773</v>
      </c>
      <c r="H34" s="810" t="s">
        <v>773</v>
      </c>
      <c r="I34" s="810" t="s">
        <v>773</v>
      </c>
      <c r="N34" s="131"/>
      <c r="O34" s="131"/>
      <c r="P34" s="131"/>
      <c r="Q34" s="131"/>
      <c r="R34" s="131"/>
      <c r="S34" s="131"/>
      <c r="T34" s="131"/>
      <c r="AD34" s="265"/>
      <c r="AE34" s="265"/>
      <c r="AF34" s="265"/>
      <c r="AG34" s="265"/>
      <c r="AH34" s="265"/>
    </row>
    <row r="35" spans="1:34" s="236" customFormat="1" x14ac:dyDescent="0.25">
      <c r="B35" s="818" t="s">
        <v>1118</v>
      </c>
      <c r="C35" s="817">
        <f>'Unit costs'!S72</f>
        <v>4629.3849</v>
      </c>
      <c r="D35" s="819">
        <f t="shared" ref="D35:I35" si="7">-D20*$C35/1000</f>
        <v>0</v>
      </c>
      <c r="E35" s="819">
        <f t="shared" si="7"/>
        <v>0</v>
      </c>
      <c r="F35" s="819">
        <f t="shared" si="7"/>
        <v>0</v>
      </c>
      <c r="G35" s="819">
        <f t="shared" si="7"/>
        <v>0</v>
      </c>
      <c r="H35" s="819">
        <f t="shared" si="7"/>
        <v>0</v>
      </c>
      <c r="I35" s="819">
        <f t="shared" si="7"/>
        <v>0</v>
      </c>
      <c r="N35" s="131"/>
      <c r="O35" s="131"/>
      <c r="P35" s="131"/>
      <c r="Q35" s="131"/>
      <c r="R35" s="131"/>
      <c r="S35" s="131"/>
      <c r="T35" s="131"/>
      <c r="AD35" s="265"/>
      <c r="AE35" s="265"/>
      <c r="AF35" s="265"/>
      <c r="AG35" s="265"/>
      <c r="AH35" s="265"/>
    </row>
    <row r="36" spans="1:34" s="236" customFormat="1" x14ac:dyDescent="0.25">
      <c r="B36" s="811" t="s">
        <v>1071</v>
      </c>
      <c r="C36" s="284">
        <f>'Unit costs'!I59</f>
        <v>26144.733333333334</v>
      </c>
      <c r="D36" s="284">
        <f t="shared" ref="D36:I36" si="8">-D19*$C36/1000</f>
        <v>0</v>
      </c>
      <c r="E36" s="284">
        <f t="shared" si="8"/>
        <v>0</v>
      </c>
      <c r="F36" s="284">
        <f t="shared" si="8"/>
        <v>0</v>
      </c>
      <c r="G36" s="284">
        <f t="shared" si="8"/>
        <v>0</v>
      </c>
      <c r="H36" s="284">
        <f t="shared" si="8"/>
        <v>0</v>
      </c>
      <c r="I36" s="284">
        <f t="shared" si="8"/>
        <v>0</v>
      </c>
      <c r="N36" s="131"/>
      <c r="O36" s="131"/>
      <c r="P36" s="131"/>
      <c r="Q36" s="131"/>
      <c r="R36" s="131"/>
      <c r="S36" s="131"/>
      <c r="T36" s="131"/>
      <c r="AD36" s="265"/>
      <c r="AE36" s="265"/>
      <c r="AF36" s="265"/>
      <c r="AG36" s="265"/>
      <c r="AH36" s="265"/>
    </row>
    <row r="37" spans="1:34" s="236" customFormat="1" x14ac:dyDescent="0.25">
      <c r="B37" s="272"/>
      <c r="C37" s="590"/>
      <c r="D37" s="183">
        <f t="shared" ref="D37:I37" si="9">SUM(D35:D36)</f>
        <v>0</v>
      </c>
      <c r="E37" s="183">
        <f t="shared" si="9"/>
        <v>0</v>
      </c>
      <c r="F37" s="183">
        <f t="shared" si="9"/>
        <v>0</v>
      </c>
      <c r="G37" s="183">
        <f t="shared" si="9"/>
        <v>0</v>
      </c>
      <c r="H37" s="183">
        <f t="shared" si="9"/>
        <v>0</v>
      </c>
      <c r="I37" s="183">
        <f t="shared" si="9"/>
        <v>0</v>
      </c>
      <c r="N37" s="131"/>
      <c r="O37" s="131"/>
      <c r="P37" s="131"/>
      <c r="Q37" s="131"/>
      <c r="R37" s="131"/>
      <c r="S37" s="131"/>
      <c r="T37" s="131"/>
      <c r="AD37" s="265"/>
      <c r="AE37" s="265"/>
      <c r="AF37" s="265"/>
      <c r="AG37" s="265"/>
      <c r="AH37" s="265"/>
    </row>
    <row r="38" spans="1:34" s="236" customFormat="1" x14ac:dyDescent="0.25">
      <c r="A38" s="812"/>
      <c r="B38" s="813"/>
      <c r="C38" s="814"/>
      <c r="D38" s="815"/>
      <c r="E38" s="815"/>
      <c r="F38" s="815"/>
      <c r="G38" s="815"/>
      <c r="H38" s="815"/>
      <c r="I38" s="815"/>
      <c r="J38" s="812"/>
      <c r="N38" s="131"/>
      <c r="O38" s="131"/>
      <c r="P38" s="131"/>
      <c r="Q38" s="131"/>
      <c r="R38" s="131"/>
      <c r="S38" s="131"/>
      <c r="T38" s="131"/>
      <c r="AD38" s="265"/>
      <c r="AE38" s="265"/>
      <c r="AF38" s="265"/>
      <c r="AG38" s="265"/>
      <c r="AH38" s="265"/>
    </row>
    <row r="39" spans="1:34" s="236" customFormat="1" x14ac:dyDescent="0.25">
      <c r="A39" s="812"/>
      <c r="B39" s="359"/>
      <c r="C39" s="850" t="s">
        <v>1107</v>
      </c>
      <c r="D39" s="183">
        <f t="shared" ref="D39:I39" si="10">D32+D37</f>
        <v>0</v>
      </c>
      <c r="E39" s="183">
        <f t="shared" si="10"/>
        <v>0</v>
      </c>
      <c r="F39" s="183">
        <f t="shared" si="10"/>
        <v>0</v>
      </c>
      <c r="G39" s="183">
        <f t="shared" si="10"/>
        <v>0</v>
      </c>
      <c r="H39" s="183">
        <f t="shared" si="10"/>
        <v>0</v>
      </c>
      <c r="I39" s="183">
        <f t="shared" si="10"/>
        <v>0</v>
      </c>
      <c r="J39" s="812"/>
      <c r="N39" s="131"/>
      <c r="O39" s="131"/>
      <c r="P39" s="131"/>
      <c r="Q39" s="131"/>
      <c r="R39" s="131"/>
      <c r="S39" s="131"/>
      <c r="T39" s="131"/>
      <c r="AD39" s="265"/>
      <c r="AE39" s="265"/>
      <c r="AF39" s="265"/>
      <c r="AG39" s="265"/>
      <c r="AH39" s="265"/>
    </row>
    <row r="40" spans="1:34" s="236" customFormat="1" x14ac:dyDescent="0.25">
      <c r="A40" s="812"/>
      <c r="B40" s="813"/>
      <c r="C40" s="814"/>
      <c r="D40" s="815"/>
      <c r="E40" s="815"/>
      <c r="F40" s="815"/>
      <c r="G40" s="815"/>
      <c r="H40" s="815"/>
      <c r="I40" s="815"/>
      <c r="J40" s="812"/>
      <c r="N40" s="131"/>
      <c r="O40" s="131"/>
      <c r="P40" s="131"/>
      <c r="Q40" s="131"/>
      <c r="R40" s="131"/>
      <c r="S40" s="131"/>
      <c r="T40" s="131"/>
      <c r="AD40" s="265"/>
      <c r="AE40" s="265"/>
      <c r="AF40" s="265"/>
      <c r="AG40" s="265"/>
      <c r="AH40" s="265"/>
    </row>
    <row r="41" spans="1:34" s="236" customFormat="1" x14ac:dyDescent="0.25">
      <c r="B41" s="359"/>
      <c r="C41" s="270"/>
      <c r="D41" s="340" t="s">
        <v>775</v>
      </c>
      <c r="E41" s="183">
        <f>E39-$D39</f>
        <v>0</v>
      </c>
      <c r="F41" s="183">
        <f t="shared" ref="F41:I41" si="11">F39-$D39</f>
        <v>0</v>
      </c>
      <c r="G41" s="183">
        <f t="shared" si="11"/>
        <v>0</v>
      </c>
      <c r="H41" s="183">
        <f t="shared" si="11"/>
        <v>0</v>
      </c>
      <c r="I41" s="183">
        <f t="shared" si="11"/>
        <v>0</v>
      </c>
      <c r="N41" s="131"/>
      <c r="O41" s="131"/>
      <c r="P41" s="131"/>
      <c r="Q41" s="131"/>
      <c r="R41" s="131"/>
      <c r="S41" s="131"/>
      <c r="T41" s="131"/>
      <c r="AD41" s="265"/>
      <c r="AE41" s="265"/>
      <c r="AF41" s="265"/>
      <c r="AG41" s="265"/>
      <c r="AH41" s="265"/>
    </row>
    <row r="42" spans="1:34" s="236" customFormat="1" x14ac:dyDescent="0.25">
      <c r="B42" s="359"/>
      <c r="C42" s="270"/>
      <c r="D42" s="276" t="s">
        <v>1072</v>
      </c>
      <c r="E42" s="183">
        <f>(E32+E37)*(D32+D37)</f>
        <v>0</v>
      </c>
      <c r="F42" s="183">
        <f>(F32+F37)-(E32+E37)</f>
        <v>0</v>
      </c>
      <c r="G42" s="183">
        <f>(G32+G37)-(F32+F37)</f>
        <v>0</v>
      </c>
      <c r="H42" s="183">
        <f>(H32+H37)-(G32+G37)</f>
        <v>0</v>
      </c>
      <c r="I42" s="183">
        <f>(I32+I37)-(H32+H37)</f>
        <v>0</v>
      </c>
      <c r="J42" s="131"/>
      <c r="K42" s="131"/>
      <c r="L42" s="131"/>
      <c r="M42" s="131"/>
      <c r="N42" s="131"/>
      <c r="O42" s="131"/>
      <c r="P42" s="131"/>
      <c r="Q42" s="131"/>
      <c r="R42" s="131"/>
      <c r="S42" s="131"/>
      <c r="T42" s="131"/>
      <c r="AD42" s="265"/>
      <c r="AE42" s="265"/>
      <c r="AF42" s="265"/>
      <c r="AG42" s="265"/>
      <c r="AH42" s="265"/>
    </row>
    <row r="44" spans="1:34" x14ac:dyDescent="0.25">
      <c r="J44" s="236"/>
      <c r="K44" s="236"/>
    </row>
    <row r="45" spans="1:34" x14ac:dyDescent="0.25">
      <c r="J45" s="236"/>
      <c r="K45" s="236"/>
    </row>
    <row r="46" spans="1:34" x14ac:dyDescent="0.25">
      <c r="B46" s="1" t="s">
        <v>1108</v>
      </c>
      <c r="J46" s="236"/>
      <c r="K46" s="236"/>
    </row>
    <row r="47" spans="1:34" x14ac:dyDescent="0.25">
      <c r="B47" s="1" t="s">
        <v>1267</v>
      </c>
    </row>
  </sheetData>
  <sheetProtection algorithmName="SHA-512" hashValue="HxWKpbWd6/vr+9rFHN1u4jgtdRSKvQqYdFuACLjCYi5P/JDZnv1RpzXUfx+fDMNnb6z5oC/MQb/0QPl2hT78jA==" saltValue="3g1pSpzlYE8o09F8ZYHZSw=="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86"/>
  <sheetViews>
    <sheetView showGridLines="0" topLeftCell="A18" zoomScale="80" zoomScaleNormal="80" zoomScaleSheetLayoutView="80" workbookViewId="0">
      <selection activeCell="G44" sqref="G44"/>
    </sheetView>
  </sheetViews>
  <sheetFormatPr defaultColWidth="8.85546875" defaultRowHeight="15" x14ac:dyDescent="0.25"/>
  <cols>
    <col min="1" max="1" width="3.5703125" customWidth="1"/>
    <col min="2" max="2" width="89.2851562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503" t="str">
        <f>'Inputs and eligible population'!B1</f>
        <v>Exagamglogene autotemcel for treating severe sickle cell disease in people 12 years and over</v>
      </c>
      <c r="C1" s="142"/>
      <c r="D1" s="139"/>
      <c r="E1" s="139"/>
      <c r="F1" s="139"/>
      <c r="G1" s="139"/>
      <c r="H1" s="139"/>
      <c r="I1" s="139"/>
      <c r="J1" s="139"/>
    </row>
    <row r="2" spans="2:10" ht="30" customHeight="1" x14ac:dyDescent="0.25">
      <c r="B2" s="361" t="s">
        <v>16</v>
      </c>
      <c r="C2" s="139"/>
      <c r="E2" s="125" t="s">
        <v>725</v>
      </c>
      <c r="F2" s="125" t="s">
        <v>725</v>
      </c>
      <c r="G2" s="125" t="s">
        <v>725</v>
      </c>
      <c r="H2" s="125" t="s">
        <v>725</v>
      </c>
      <c r="I2" s="125" t="s">
        <v>725</v>
      </c>
      <c r="J2" s="139"/>
    </row>
    <row r="3" spans="2:10" x14ac:dyDescent="0.25">
      <c r="B3" s="128" t="s">
        <v>725</v>
      </c>
      <c r="C3" s="128"/>
      <c r="D3" s="131" t="s">
        <v>725</v>
      </c>
      <c r="E3" s="131" t="s">
        <v>725</v>
      </c>
      <c r="F3" s="131" t="s">
        <v>725</v>
      </c>
      <c r="G3" s="131" t="s">
        <v>725</v>
      </c>
      <c r="H3" s="131" t="s">
        <v>725</v>
      </c>
      <c r="I3" s="131" t="s">
        <v>725</v>
      </c>
      <c r="J3" s="139"/>
    </row>
    <row r="4" spans="2:10" ht="45" x14ac:dyDescent="0.25">
      <c r="B4" s="252" t="s">
        <v>764</v>
      </c>
      <c r="C4" s="232" t="s">
        <v>765</v>
      </c>
      <c r="D4" s="263" t="s">
        <v>672</v>
      </c>
      <c r="E4" s="263" t="s">
        <v>673</v>
      </c>
      <c r="F4" s="264" t="s">
        <v>766</v>
      </c>
      <c r="G4" s="264" t="s">
        <v>767</v>
      </c>
      <c r="H4" s="263" t="s">
        <v>768</v>
      </c>
      <c r="J4" s="139"/>
    </row>
    <row r="5" spans="2:10" s="146" customFormat="1" x14ac:dyDescent="0.25">
      <c r="B5" s="164" t="s">
        <v>1064</v>
      </c>
      <c r="C5" s="126">
        <f>'Inputs and eligible population'!F44</f>
        <v>358.77097380010969</v>
      </c>
      <c r="D5" s="126">
        <f>'Inputs and eligible population'!G44</f>
        <v>362.23017445313661</v>
      </c>
      <c r="E5" s="126">
        <f>'Inputs and eligible population'!H44</f>
        <v>365.72272805283916</v>
      </c>
      <c r="F5" s="126">
        <f>'Inputs and eligible population'!I44</f>
        <v>369.24895618190743</v>
      </c>
      <c r="G5" s="126">
        <f>'Inputs and eligible population'!J44</f>
        <v>372.80918352367007</v>
      </c>
      <c r="H5" s="126">
        <f>'Inputs and eligible population'!K44</f>
        <v>376.40373789198981</v>
      </c>
      <c r="I5"/>
      <c r="J5" s="139"/>
    </row>
    <row r="6" spans="2:10" s="146" customFormat="1" x14ac:dyDescent="0.25">
      <c r="B6" s="164" t="s">
        <v>1065</v>
      </c>
      <c r="C6" s="126">
        <f>'Inputs and eligible population'!F45</f>
        <v>1435.0838952004392</v>
      </c>
      <c r="D6" s="126">
        <f>'Inputs and eligible population'!G45</f>
        <v>1448.9206978125469</v>
      </c>
      <c r="E6" s="126">
        <f>'Inputs and eligible population'!H45</f>
        <v>1462.8909122113571</v>
      </c>
      <c r="F6" s="126">
        <f>'Inputs and eligible population'!I45</f>
        <v>1476.9958247276302</v>
      </c>
      <c r="G6" s="126">
        <f>'Inputs and eligible population'!J45</f>
        <v>1491.236734094681</v>
      </c>
      <c r="H6" s="126">
        <f>'Inputs and eligible population'!K45</f>
        <v>1505.6149515679597</v>
      </c>
      <c r="I6"/>
      <c r="J6" s="139"/>
    </row>
    <row r="7" spans="2:10" s="146" customFormat="1" x14ac:dyDescent="0.25">
      <c r="B7" s="219" t="s">
        <v>1066</v>
      </c>
      <c r="C7" s="177">
        <f>C5+C6</f>
        <v>1793.8548690005489</v>
      </c>
      <c r="D7" s="177">
        <f t="shared" ref="D7:H7" si="0">D5+D6</f>
        <v>1811.1508722656836</v>
      </c>
      <c r="E7" s="177">
        <f t="shared" si="0"/>
        <v>1828.6136402641962</v>
      </c>
      <c r="F7" s="177">
        <f t="shared" si="0"/>
        <v>1846.2447809095377</v>
      </c>
      <c r="G7" s="177">
        <f t="shared" si="0"/>
        <v>1864.045917618351</v>
      </c>
      <c r="H7" s="177">
        <f t="shared" si="0"/>
        <v>1882.0186894599494</v>
      </c>
      <c r="I7"/>
      <c r="J7" s="139"/>
    </row>
    <row r="8" spans="2:10" x14ac:dyDescent="0.25">
      <c r="B8" s="254" t="s">
        <v>1067</v>
      </c>
      <c r="C8" s="806">
        <f>'Inputs and eligible population'!F50</f>
        <v>0</v>
      </c>
      <c r="D8" s="806">
        <f>'Inputs and eligible population'!G50</f>
        <v>0</v>
      </c>
      <c r="E8" s="806">
        <f>'Inputs and eligible population'!H50</f>
        <v>0</v>
      </c>
      <c r="F8" s="806">
        <f>'Inputs and eligible population'!I50</f>
        <v>0</v>
      </c>
      <c r="G8" s="806">
        <f>'Inputs and eligible population'!J50</f>
        <v>0</v>
      </c>
      <c r="H8" s="806">
        <f>'Inputs and eligible population'!K50</f>
        <v>0</v>
      </c>
      <c r="J8" s="139"/>
    </row>
    <row r="9" spans="2:10" x14ac:dyDescent="0.25">
      <c r="B9" s="254" t="s">
        <v>1068</v>
      </c>
      <c r="C9" s="806">
        <f>'Inputs and eligible population'!F51</f>
        <v>0</v>
      </c>
      <c r="D9" s="806">
        <f>'Inputs and eligible population'!G51</f>
        <v>0</v>
      </c>
      <c r="E9" s="806">
        <f>'Inputs and eligible population'!H51</f>
        <v>0</v>
      </c>
      <c r="F9" s="806">
        <f>'Inputs and eligible population'!I51</f>
        <v>0</v>
      </c>
      <c r="G9" s="806">
        <f>'Inputs and eligible population'!J51</f>
        <v>0</v>
      </c>
      <c r="H9" s="806">
        <f>'Inputs and eligible population'!K51</f>
        <v>0</v>
      </c>
      <c r="J9" s="139"/>
    </row>
    <row r="10" spans="2:10" ht="33" customHeight="1" x14ac:dyDescent="0.25">
      <c r="B10" s="219" t="s">
        <v>1069</v>
      </c>
      <c r="C10" s="177">
        <f>C8+C9</f>
        <v>0</v>
      </c>
      <c r="D10" s="177">
        <f>'Financial impact (cash)'!E13</f>
        <v>0</v>
      </c>
      <c r="E10" s="177">
        <f>'Financial impact (cash)'!F13</f>
        <v>0</v>
      </c>
      <c r="F10" s="177">
        <f>'Financial impact (cash)'!G13</f>
        <v>0</v>
      </c>
      <c r="G10" s="177">
        <f>'Financial impact (cash)'!H13</f>
        <v>0</v>
      </c>
      <c r="H10" s="177">
        <f>'Financial impact (cash)'!I13</f>
        <v>0</v>
      </c>
      <c r="J10" s="131"/>
    </row>
    <row r="11" spans="2:10" ht="33" customHeight="1" x14ac:dyDescent="0.25">
      <c r="B11" s="329" t="s">
        <v>1039</v>
      </c>
      <c r="C11" s="126">
        <f>'Inputs and eligible population'!F59</f>
        <v>0</v>
      </c>
      <c r="D11" s="126">
        <f>'Inputs and eligible population'!G59</f>
        <v>0</v>
      </c>
      <c r="E11" s="126">
        <f>'Inputs and eligible population'!H59</f>
        <v>0</v>
      </c>
      <c r="F11" s="126">
        <f>'Inputs and eligible population'!I59</f>
        <v>0</v>
      </c>
      <c r="G11" s="126">
        <f>'Inputs and eligible population'!J59</f>
        <v>0</v>
      </c>
      <c r="H11" s="126">
        <f>'Inputs and eligible population'!K59</f>
        <v>0</v>
      </c>
      <c r="J11" s="131"/>
    </row>
    <row r="12" spans="2:10" ht="33" customHeight="1" x14ac:dyDescent="0.25">
      <c r="B12" s="807" t="s">
        <v>1093</v>
      </c>
      <c r="C12" s="126">
        <f>'Inputs and eligible population'!F60</f>
        <v>0</v>
      </c>
      <c r="D12" s="126">
        <f>'Inputs and eligible population'!G60</f>
        <v>0</v>
      </c>
      <c r="E12" s="126">
        <f>'Inputs and eligible population'!H60</f>
        <v>0</v>
      </c>
      <c r="F12" s="126">
        <f>'Inputs and eligible population'!I60</f>
        <v>0</v>
      </c>
      <c r="G12" s="126">
        <f>'Inputs and eligible population'!J60</f>
        <v>0</v>
      </c>
      <c r="H12" s="126">
        <f>'Inputs and eligible population'!K60</f>
        <v>0</v>
      </c>
      <c r="J12" s="131"/>
    </row>
    <row r="13" spans="2:10" ht="33" customHeight="1" x14ac:dyDescent="0.25">
      <c r="B13" s="940" t="s">
        <v>1092</v>
      </c>
      <c r="C13" s="177">
        <f>'Inputs and eligible population'!F61</f>
        <v>0</v>
      </c>
      <c r="D13" s="177">
        <f>'Inputs and eligible population'!G61</f>
        <v>0</v>
      </c>
      <c r="E13" s="177">
        <f>'Inputs and eligible population'!H61</f>
        <v>0</v>
      </c>
      <c r="F13" s="177">
        <f>'Inputs and eligible population'!I61</f>
        <v>0</v>
      </c>
      <c r="G13" s="177">
        <f>'Inputs and eligible population'!J61</f>
        <v>0</v>
      </c>
      <c r="H13" s="177">
        <f>'Inputs and eligible population'!K61</f>
        <v>0</v>
      </c>
      <c r="J13" s="131"/>
    </row>
    <row r="14" spans="2:10" ht="33" customHeight="1" x14ac:dyDescent="0.25">
      <c r="B14" s="329" t="s">
        <v>1037</v>
      </c>
      <c r="C14" s="126">
        <f>'Inputs and eligible population'!F67</f>
        <v>0</v>
      </c>
      <c r="D14" s="126">
        <f>'Inputs and eligible population'!G67</f>
        <v>0</v>
      </c>
      <c r="E14" s="126">
        <f>'Inputs and eligible population'!H67</f>
        <v>0</v>
      </c>
      <c r="F14" s="126">
        <f>'Inputs and eligible population'!I67</f>
        <v>0</v>
      </c>
      <c r="G14" s="126">
        <f>'Inputs and eligible population'!J67</f>
        <v>0</v>
      </c>
      <c r="H14" s="126">
        <f>'Inputs and eligible population'!K67</f>
        <v>0</v>
      </c>
      <c r="J14" s="131"/>
    </row>
    <row r="15" spans="2:10" ht="33" customHeight="1" x14ac:dyDescent="0.25">
      <c r="B15" s="807" t="s">
        <v>1038</v>
      </c>
      <c r="C15" s="126">
        <f>'Inputs and eligible population'!F68</f>
        <v>0</v>
      </c>
      <c r="D15" s="126">
        <f>'Inputs and eligible population'!G68</f>
        <v>0</v>
      </c>
      <c r="E15" s="126">
        <f>'Inputs and eligible population'!H68</f>
        <v>0</v>
      </c>
      <c r="F15" s="126">
        <f>'Inputs and eligible population'!I68</f>
        <v>0</v>
      </c>
      <c r="G15" s="126">
        <f>'Inputs and eligible population'!J68</f>
        <v>0</v>
      </c>
      <c r="H15" s="126">
        <f>'Inputs and eligible population'!K68</f>
        <v>0</v>
      </c>
      <c r="J15" s="131"/>
    </row>
    <row r="16" spans="2:10" ht="14.45" customHeight="1" x14ac:dyDescent="0.25">
      <c r="B16" s="807" t="s">
        <v>1073</v>
      </c>
      <c r="C16" s="824">
        <f>C11+C12</f>
        <v>0</v>
      </c>
      <c r="D16" s="824">
        <f>C11+C12</f>
        <v>0</v>
      </c>
      <c r="E16" s="824">
        <f>D11+D12</f>
        <v>0</v>
      </c>
      <c r="F16" s="824">
        <f>E11+E12+E16</f>
        <v>0</v>
      </c>
      <c r="G16" s="824">
        <f t="shared" ref="G16:H16" si="1">F11+F12+F16</f>
        <v>0</v>
      </c>
      <c r="H16" s="824">
        <f t="shared" si="1"/>
        <v>0</v>
      </c>
      <c r="J16" s="131"/>
    </row>
    <row r="17" spans="2:10" ht="14.45" customHeight="1" x14ac:dyDescent="0.25">
      <c r="B17" s="502"/>
      <c r="C17" s="238"/>
      <c r="D17" s="131"/>
      <c r="E17" s="131"/>
      <c r="F17" s="131"/>
      <c r="G17" s="131"/>
      <c r="H17" s="131"/>
      <c r="J17" s="131"/>
    </row>
    <row r="18" spans="2:10" ht="45" x14ac:dyDescent="0.25">
      <c r="B18" s="847" t="s">
        <v>770</v>
      </c>
      <c r="C18" s="232" t="s">
        <v>765</v>
      </c>
      <c r="D18" s="264" t="s">
        <v>672</v>
      </c>
      <c r="E18" s="264" t="s">
        <v>673</v>
      </c>
      <c r="F18" s="264" t="s">
        <v>766</v>
      </c>
      <c r="G18" s="264" t="s">
        <v>767</v>
      </c>
      <c r="H18" s="264" t="s">
        <v>768</v>
      </c>
      <c r="J18" s="131"/>
    </row>
    <row r="19" spans="2:10" x14ac:dyDescent="0.25">
      <c r="B19" s="330" t="s">
        <v>1063</v>
      </c>
      <c r="C19" s="126">
        <f>'Financial impact (cash)'!D15</f>
        <v>0</v>
      </c>
      <c r="D19" s="126">
        <f>'Financial impact (cash)'!E15</f>
        <v>0</v>
      </c>
      <c r="E19" s="126">
        <f>'Financial impact (cash)'!F15</f>
        <v>0</v>
      </c>
      <c r="F19" s="126">
        <f>'Financial impact (cash)'!G15</f>
        <v>0</v>
      </c>
      <c r="G19" s="126">
        <f>'Financial impact (cash)'!H15</f>
        <v>0</v>
      </c>
      <c r="H19" s="126">
        <f>'Financial impact (cash)'!I15</f>
        <v>0</v>
      </c>
      <c r="J19" s="131"/>
    </row>
    <row r="20" spans="2:10" x14ac:dyDescent="0.25">
      <c r="B20" s="330" t="s">
        <v>942</v>
      </c>
      <c r="C20" s="126">
        <f>'Financial impact (cash)'!D17</f>
        <v>0</v>
      </c>
      <c r="D20" s="126">
        <f>'Financial impact (cash)'!E17</f>
        <v>0</v>
      </c>
      <c r="E20" s="126">
        <f>'Financial impact (cash)'!F17</f>
        <v>0</v>
      </c>
      <c r="F20" s="126">
        <f>'Financial impact (cash)'!G17</f>
        <v>0</v>
      </c>
      <c r="G20" s="126">
        <f>'Financial impact (cash)'!H17</f>
        <v>0</v>
      </c>
      <c r="H20" s="126">
        <f>'Financial impact (cash)'!I17</f>
        <v>0</v>
      </c>
      <c r="J20" s="131"/>
    </row>
    <row r="21" spans="2:10" x14ac:dyDescent="0.25">
      <c r="B21" s="330" t="s">
        <v>943</v>
      </c>
      <c r="C21" s="126">
        <f>'Financial impact (cash)'!D18</f>
        <v>0</v>
      </c>
      <c r="D21" s="126">
        <f>'Financial impact (cash)'!E18</f>
        <v>0</v>
      </c>
      <c r="E21" s="126">
        <f>'Financial impact (cash)'!F18</f>
        <v>0</v>
      </c>
      <c r="F21" s="126">
        <f>'Financial impact (cash)'!G18</f>
        <v>0</v>
      </c>
      <c r="G21" s="126">
        <f>'Financial impact (cash)'!H18</f>
        <v>0</v>
      </c>
      <c r="H21" s="126">
        <f>'Financial impact (cash)'!I18</f>
        <v>0</v>
      </c>
      <c r="J21" s="131"/>
    </row>
    <row r="22" spans="2:10" x14ac:dyDescent="0.25">
      <c r="B22" s="330" t="s">
        <v>1070</v>
      </c>
      <c r="C22" s="126">
        <f>C10</f>
        <v>0</v>
      </c>
      <c r="D22" s="126">
        <f t="shared" ref="D22:H22" si="2">D10</f>
        <v>0</v>
      </c>
      <c r="E22" s="126">
        <f t="shared" si="2"/>
        <v>0</v>
      </c>
      <c r="F22" s="126">
        <f t="shared" si="2"/>
        <v>0</v>
      </c>
      <c r="G22" s="126">
        <f t="shared" si="2"/>
        <v>0</v>
      </c>
      <c r="H22" s="126">
        <f t="shared" si="2"/>
        <v>0</v>
      </c>
      <c r="J22" s="131"/>
    </row>
    <row r="23" spans="2:10" x14ac:dyDescent="0.25">
      <c r="B23" s="846"/>
      <c r="C23" s="278"/>
      <c r="D23" s="278"/>
      <c r="E23" s="278"/>
      <c r="F23" s="278"/>
      <c r="G23" s="278"/>
      <c r="H23" s="278"/>
      <c r="J23" s="131"/>
    </row>
    <row r="24" spans="2:10" x14ac:dyDescent="0.25">
      <c r="B24" s="846"/>
      <c r="C24" s="278"/>
      <c r="D24" s="278"/>
      <c r="E24" s="278"/>
      <c r="F24" s="278"/>
      <c r="G24" s="278"/>
      <c r="H24" s="278"/>
      <c r="J24" s="131"/>
    </row>
    <row r="25" spans="2:10" x14ac:dyDescent="0.25">
      <c r="B25" s="846"/>
      <c r="C25" s="278"/>
      <c r="D25" s="278"/>
      <c r="E25" s="278"/>
      <c r="F25" s="278"/>
      <c r="G25" s="278"/>
      <c r="H25" s="278"/>
      <c r="J25" s="131"/>
    </row>
    <row r="26" spans="2:10" ht="15.75" thickBot="1" x14ac:dyDescent="0.3">
      <c r="B26" s="463"/>
      <c r="C26" s="463"/>
      <c r="D26" s="464"/>
      <c r="E26" s="464"/>
      <c r="F26" s="464"/>
      <c r="G26" s="464"/>
      <c r="H26" s="464"/>
      <c r="I26" s="465"/>
      <c r="J26" s="131"/>
    </row>
    <row r="27" spans="2:10" x14ac:dyDescent="0.25">
      <c r="B27" s="260"/>
      <c r="C27" s="260"/>
      <c r="D27" s="318"/>
      <c r="E27" s="318"/>
      <c r="F27" s="318"/>
      <c r="G27" s="318"/>
      <c r="H27" s="318"/>
      <c r="I27" s="131"/>
      <c r="J27" s="131"/>
    </row>
    <row r="28" spans="2:10" ht="45" x14ac:dyDescent="0.25">
      <c r="B28" s="255" t="s">
        <v>771</v>
      </c>
      <c r="C28" s="232" t="s">
        <v>765</v>
      </c>
      <c r="D28" s="263" t="s">
        <v>672</v>
      </c>
      <c r="E28" s="263" t="s">
        <v>673</v>
      </c>
      <c r="F28" s="264" t="s">
        <v>766</v>
      </c>
      <c r="G28" s="264" t="s">
        <v>767</v>
      </c>
      <c r="H28" s="263" t="s">
        <v>768</v>
      </c>
      <c r="I28" s="131"/>
      <c r="J28" s="131"/>
    </row>
    <row r="29" spans="2:10" x14ac:dyDescent="0.25">
      <c r="B29" s="286" t="s">
        <v>772</v>
      </c>
      <c r="C29" s="598" t="s">
        <v>773</v>
      </c>
      <c r="D29" s="598" t="s">
        <v>773</v>
      </c>
      <c r="E29" s="598" t="s">
        <v>773</v>
      </c>
      <c r="F29" s="598" t="s">
        <v>773</v>
      </c>
      <c r="G29" s="598" t="s">
        <v>773</v>
      </c>
      <c r="H29" s="598" t="s">
        <v>773</v>
      </c>
      <c r="I29" s="131"/>
      <c r="J29" s="131"/>
    </row>
    <row r="30" spans="2:10" x14ac:dyDescent="0.25">
      <c r="B30" s="259" t="s">
        <v>774</v>
      </c>
      <c r="C30" s="247">
        <f>'Financial impact (cash)'!D32</f>
        <v>0</v>
      </c>
      <c r="D30" s="247">
        <f>'Financial impact (cash)'!E32</f>
        <v>0</v>
      </c>
      <c r="E30" s="247">
        <f>'Financial impact (cash)'!F32</f>
        <v>0</v>
      </c>
      <c r="F30" s="247">
        <f>'Financial impact (cash)'!G32</f>
        <v>0</v>
      </c>
      <c r="G30" s="247">
        <f>'Financial impact (cash)'!H32</f>
        <v>0</v>
      </c>
      <c r="H30" s="247">
        <f>'Financial impact (cash)'!I32</f>
        <v>0</v>
      </c>
      <c r="I30" s="131"/>
      <c r="J30" s="131"/>
    </row>
    <row r="31" spans="2:10" x14ac:dyDescent="0.25">
      <c r="B31" s="863" t="s">
        <v>1135</v>
      </c>
      <c r="C31" s="862">
        <f>'Financial impact (cash)'!D37</f>
        <v>0</v>
      </c>
      <c r="D31" s="851">
        <f>'Financial impact (cash)'!E37</f>
        <v>0</v>
      </c>
      <c r="E31" s="851">
        <f>'Financial impact (cash)'!F37</f>
        <v>0</v>
      </c>
      <c r="F31" s="851">
        <f>'Financial impact (cash)'!G37</f>
        <v>0</v>
      </c>
      <c r="G31" s="851">
        <f>'Financial impact (cash)'!H37</f>
        <v>0</v>
      </c>
      <c r="H31" s="851">
        <f>'Financial impact (cash)'!I37</f>
        <v>0</v>
      </c>
      <c r="I31" s="131"/>
      <c r="J31" s="131"/>
    </row>
    <row r="32" spans="2:10" x14ac:dyDescent="0.25">
      <c r="C32" s="77"/>
      <c r="D32" s="190">
        <f>'Financial impact (cash)'!E41</f>
        <v>0</v>
      </c>
      <c r="E32" s="190">
        <f>'Financial impact (cash)'!F41</f>
        <v>0</v>
      </c>
      <c r="F32" s="190">
        <f>'Financial impact (cash)'!G41</f>
        <v>0</v>
      </c>
      <c r="G32" s="190">
        <f>'Financial impact (cash)'!H41</f>
        <v>0</v>
      </c>
      <c r="H32" s="190">
        <f>'Financial impact (cash)'!I41</f>
        <v>0</v>
      </c>
      <c r="I32" s="423" t="s">
        <v>775</v>
      </c>
      <c r="J32" s="131"/>
    </row>
    <row r="33" spans="1:10" x14ac:dyDescent="0.25">
      <c r="C33" s="87"/>
      <c r="D33" s="190">
        <f>'Financial impact (cash)'!E42</f>
        <v>0</v>
      </c>
      <c r="E33" s="190">
        <f>'Financial impact (cash)'!F42</f>
        <v>0</v>
      </c>
      <c r="F33" s="190">
        <f>'Financial impact (cash)'!G42</f>
        <v>0</v>
      </c>
      <c r="G33" s="190">
        <f>'Financial impact (cash)'!H42</f>
        <v>0</v>
      </c>
      <c r="H33" s="190">
        <f>'Financial impact (cash)'!I42</f>
        <v>0</v>
      </c>
      <c r="I33" s="423" t="s">
        <v>776</v>
      </c>
      <c r="J33" s="131"/>
    </row>
    <row r="34" spans="1:10" x14ac:dyDescent="0.25">
      <c r="D34" s="318"/>
      <c r="E34" s="318"/>
      <c r="F34" s="318"/>
      <c r="G34" s="318"/>
      <c r="H34" s="318"/>
      <c r="I34" s="822"/>
      <c r="J34" s="131"/>
    </row>
    <row r="35" spans="1:10" x14ac:dyDescent="0.25">
      <c r="D35" s="318"/>
      <c r="E35" s="318"/>
      <c r="F35" s="318"/>
      <c r="G35" s="318"/>
      <c r="H35" s="318"/>
      <c r="I35" s="822"/>
      <c r="J35" s="131"/>
    </row>
    <row r="36" spans="1:10" x14ac:dyDescent="0.25">
      <c r="B36" s="260"/>
      <c r="C36" s="260"/>
      <c r="D36" s="384"/>
      <c r="E36" s="384"/>
      <c r="F36" s="384"/>
      <c r="G36" s="384"/>
      <c r="H36" s="384"/>
      <c r="J36" s="131"/>
    </row>
    <row r="37" spans="1:10" x14ac:dyDescent="0.25">
      <c r="B37" t="s">
        <v>777</v>
      </c>
      <c r="C37" s="260"/>
      <c r="D37" s="384"/>
      <c r="E37" s="384"/>
      <c r="F37" s="384"/>
      <c r="G37" s="384"/>
      <c r="H37" s="384"/>
      <c r="J37" s="131"/>
    </row>
    <row r="38" spans="1:10" x14ac:dyDescent="0.25">
      <c r="B38" s="578" t="s">
        <v>49</v>
      </c>
      <c r="C38" s="260"/>
      <c r="D38" s="384"/>
      <c r="E38" s="384"/>
      <c r="F38" s="384"/>
      <c r="G38" s="384"/>
      <c r="H38" s="384"/>
      <c r="J38" s="131"/>
    </row>
    <row r="39" spans="1:10" x14ac:dyDescent="0.25">
      <c r="B39" s="260"/>
      <c r="C39" s="260"/>
      <c r="D39" s="384"/>
      <c r="E39" s="384"/>
      <c r="F39" s="384"/>
      <c r="G39" s="384"/>
      <c r="H39" s="384"/>
      <c r="J39" s="131"/>
    </row>
    <row r="40" spans="1:10" ht="45" x14ac:dyDescent="0.25">
      <c r="A40" s="384"/>
      <c r="B40" s="255" t="s">
        <v>778</v>
      </c>
      <c r="C40" s="232" t="s">
        <v>765</v>
      </c>
      <c r="D40" s="263" t="s">
        <v>672</v>
      </c>
      <c r="E40" s="263" t="s">
        <v>673</v>
      </c>
      <c r="F40" s="264" t="s">
        <v>766</v>
      </c>
      <c r="G40" s="264" t="s">
        <v>767</v>
      </c>
      <c r="H40" s="263" t="s">
        <v>768</v>
      </c>
      <c r="J40" s="131"/>
    </row>
    <row r="41" spans="1:10" x14ac:dyDescent="0.25">
      <c r="A41" s="384"/>
      <c r="B41" s="286" t="s">
        <v>779</v>
      </c>
      <c r="C41" s="598" t="s">
        <v>773</v>
      </c>
      <c r="D41" s="598" t="s">
        <v>773</v>
      </c>
      <c r="E41" s="598" t="s">
        <v>773</v>
      </c>
      <c r="F41" s="598" t="s">
        <v>773</v>
      </c>
      <c r="G41" s="598" t="s">
        <v>773</v>
      </c>
      <c r="H41" s="598" t="s">
        <v>773</v>
      </c>
      <c r="J41" s="131"/>
    </row>
    <row r="42" spans="1:10" x14ac:dyDescent="0.25">
      <c r="A42" s="384"/>
      <c r="B42" s="259" t="s">
        <v>780</v>
      </c>
      <c r="C42" s="247">
        <f>IF($B$38="national prices",'Capacity (national prices)'!L16,IF($B$38="local prices",'Capacity (local prices)'!L35,0))</f>
        <v>0</v>
      </c>
      <c r="D42" s="247">
        <f>IF($B$38="national prices",'Capacity (national prices)'!M16,IF($B$38="local prices",'Capacity (local prices)'!M35,0))</f>
        <v>0</v>
      </c>
      <c r="E42" s="247">
        <f>IF($B$38="national prices",'Capacity (national prices)'!N16,IF($B$38="local prices",'Capacity (local prices)'!N35,0))</f>
        <v>0</v>
      </c>
      <c r="F42" s="247">
        <f>IF($B$38="national prices",'Capacity (national prices)'!O16,IF($B$38="local prices",'Capacity (local prices)'!O35,0))</f>
        <v>0</v>
      </c>
      <c r="G42" s="247">
        <f>IF($B$38="national prices",'Capacity (national prices)'!P16,IF($B$38="local prices",'Capacity (local prices)'!P35,0))</f>
        <v>0</v>
      </c>
      <c r="H42" s="247">
        <f>IF($B$38="national prices",'Capacity (national prices)'!Q16,IF($B$38="local prices",'Capacity (local prices)'!Q35,0))</f>
        <v>0</v>
      </c>
      <c r="J42" s="131"/>
    </row>
    <row r="43" spans="1:10" x14ac:dyDescent="0.25">
      <c r="A43" s="384"/>
      <c r="C43" s="77"/>
      <c r="D43" s="190">
        <f>D42-$C$42</f>
        <v>0</v>
      </c>
      <c r="E43" s="190">
        <f>E42-$C$42</f>
        <v>0</v>
      </c>
      <c r="F43" s="190">
        <f>F42-$C$42</f>
        <v>0</v>
      </c>
      <c r="G43" s="190">
        <f>G42-$C$42</f>
        <v>0</v>
      </c>
      <c r="H43" s="190">
        <f>H42-$C$42</f>
        <v>0</v>
      </c>
      <c r="I43" s="423" t="s">
        <v>775</v>
      </c>
      <c r="J43" s="131"/>
    </row>
    <row r="44" spans="1:10" x14ac:dyDescent="0.25">
      <c r="A44" s="384"/>
      <c r="C44" s="87"/>
      <c r="D44" s="190">
        <f>D42-C42</f>
        <v>0</v>
      </c>
      <c r="E44" s="190">
        <f>E42-D42</f>
        <v>0</v>
      </c>
      <c r="F44" s="190">
        <f>F42-E42</f>
        <v>0</v>
      </c>
      <c r="G44" s="190">
        <f>G42-F42</f>
        <v>0</v>
      </c>
      <c r="H44" s="190">
        <f>H42-G42</f>
        <v>0</v>
      </c>
      <c r="I44" s="423" t="s">
        <v>776</v>
      </c>
      <c r="J44" s="131"/>
    </row>
    <row r="45" spans="1:10" x14ac:dyDescent="0.25">
      <c r="A45" s="384"/>
      <c r="B45" s="384"/>
      <c r="C45" s="384"/>
      <c r="D45" s="384"/>
      <c r="E45" s="384"/>
      <c r="F45" s="384"/>
      <c r="G45" s="384"/>
      <c r="H45" s="384"/>
      <c r="J45" s="131"/>
    </row>
    <row r="46" spans="1:10" ht="45" x14ac:dyDescent="0.25">
      <c r="A46" s="384"/>
      <c r="B46" s="255" t="s">
        <v>781</v>
      </c>
      <c r="C46" s="232" t="s">
        <v>765</v>
      </c>
      <c r="D46" s="263" t="s">
        <v>672</v>
      </c>
      <c r="E46" s="263" t="s">
        <v>673</v>
      </c>
      <c r="F46" s="264" t="s">
        <v>766</v>
      </c>
      <c r="G46" s="264" t="s">
        <v>767</v>
      </c>
      <c r="H46" s="263" t="s">
        <v>768</v>
      </c>
      <c r="J46" s="131"/>
    </row>
    <row r="47" spans="1:10" x14ac:dyDescent="0.25">
      <c r="B47" s="286"/>
      <c r="C47" s="598" t="s">
        <v>773</v>
      </c>
      <c r="D47" s="598" t="s">
        <v>773</v>
      </c>
      <c r="E47" s="598" t="s">
        <v>773</v>
      </c>
      <c r="F47" s="598" t="s">
        <v>773</v>
      </c>
      <c r="G47" s="598" t="s">
        <v>773</v>
      </c>
      <c r="H47" s="598" t="s">
        <v>773</v>
      </c>
      <c r="I47" s="131"/>
      <c r="J47" s="131"/>
    </row>
    <row r="48" spans="1:10" x14ac:dyDescent="0.25">
      <c r="B48" s="459" t="s">
        <v>782</v>
      </c>
      <c r="C48" s="479">
        <f t="shared" ref="C48:G48" si="3">C30+C42</f>
        <v>0</v>
      </c>
      <c r="D48" s="479">
        <f t="shared" si="3"/>
        <v>0</v>
      </c>
      <c r="E48" s="479">
        <f t="shared" si="3"/>
        <v>0</v>
      </c>
      <c r="F48" s="479">
        <f t="shared" si="3"/>
        <v>0</v>
      </c>
      <c r="G48" s="479">
        <f t="shared" si="3"/>
        <v>0</v>
      </c>
      <c r="H48" s="951">
        <f>H30+H42</f>
        <v>0</v>
      </c>
      <c r="I48" s="131"/>
      <c r="J48" s="131"/>
    </row>
    <row r="49" spans="2:10" x14ac:dyDescent="0.25">
      <c r="B49" s="458"/>
      <c r="C49" s="460"/>
      <c r="D49" s="461">
        <f>D48-$C$48</f>
        <v>0</v>
      </c>
      <c r="E49" s="461">
        <f t="shared" ref="E49:H49" si="4">E48-$C$48</f>
        <v>0</v>
      </c>
      <c r="F49" s="461">
        <f t="shared" si="4"/>
        <v>0</v>
      </c>
      <c r="G49" s="461">
        <f t="shared" si="4"/>
        <v>0</v>
      </c>
      <c r="H49" s="461">
        <f t="shared" si="4"/>
        <v>0</v>
      </c>
      <c r="I49" s="423" t="s">
        <v>775</v>
      </c>
      <c r="J49" s="131"/>
    </row>
    <row r="50" spans="2:10" x14ac:dyDescent="0.25">
      <c r="B50" s="458"/>
      <c r="C50" s="460"/>
      <c r="D50" s="462">
        <f>D48-C48</f>
        <v>0</v>
      </c>
      <c r="E50" s="462">
        <f>E48-D48</f>
        <v>0</v>
      </c>
      <c r="F50" s="462">
        <f>F48-E48</f>
        <v>0</v>
      </c>
      <c r="G50" s="462">
        <f>G48-F48</f>
        <v>0</v>
      </c>
      <c r="H50" s="462">
        <f>H48-G48</f>
        <v>0</v>
      </c>
      <c r="I50" s="423" t="s">
        <v>776</v>
      </c>
      <c r="J50" s="131"/>
    </row>
    <row r="51" spans="2:10" ht="15.75" thickBot="1" x14ac:dyDescent="0.3">
      <c r="B51" s="463"/>
      <c r="C51" s="463"/>
      <c r="D51" s="464"/>
      <c r="E51" s="464"/>
      <c r="F51" s="464"/>
      <c r="G51" s="464"/>
      <c r="H51" s="464"/>
      <c r="I51" s="465"/>
      <c r="J51" s="131"/>
    </row>
    <row r="52" spans="2:10" x14ac:dyDescent="0.25">
      <c r="B52" s="260"/>
      <c r="C52" s="260"/>
      <c r="D52" s="318"/>
      <c r="E52" s="318"/>
      <c r="F52" s="318"/>
      <c r="G52" s="318"/>
      <c r="H52" s="318"/>
      <c r="I52" s="131"/>
      <c r="J52" s="131"/>
    </row>
    <row r="53" spans="2:10" ht="45" x14ac:dyDescent="0.25">
      <c r="B53" s="255" t="s">
        <v>783</v>
      </c>
      <c r="C53" s="451"/>
      <c r="D53" s="263" t="s">
        <v>672</v>
      </c>
      <c r="E53" s="263" t="s">
        <v>673</v>
      </c>
      <c r="F53" s="264" t="s">
        <v>766</v>
      </c>
      <c r="G53" s="264" t="s">
        <v>767</v>
      </c>
      <c r="H53" s="263" t="s">
        <v>768</v>
      </c>
      <c r="I53" s="131"/>
      <c r="J53" s="131"/>
    </row>
    <row r="54" spans="2:10" x14ac:dyDescent="0.25">
      <c r="B54" s="454"/>
      <c r="C54" s="452"/>
      <c r="D54" s="453"/>
      <c r="E54" s="453"/>
      <c r="F54" s="453"/>
      <c r="G54" s="453"/>
      <c r="H54" s="453"/>
      <c r="I54" s="131"/>
      <c r="J54" s="131"/>
    </row>
    <row r="55" spans="2:10" x14ac:dyDescent="0.25">
      <c r="B55" s="255" t="s">
        <v>784</v>
      </c>
      <c r="C55" s="253"/>
      <c r="D55" s="249"/>
      <c r="E55" s="249"/>
      <c r="F55" s="249"/>
      <c r="G55" s="249"/>
      <c r="H55" s="250"/>
      <c r="I55" s="131"/>
      <c r="J55" s="131"/>
    </row>
    <row r="56" spans="2:10" x14ac:dyDescent="0.25">
      <c r="B56" s="576" t="s">
        <v>1177</v>
      </c>
      <c r="C56" s="575"/>
      <c r="D56" s="577">
        <f>'Capacity (local prices)'!E179</f>
        <v>0</v>
      </c>
      <c r="E56" s="577">
        <f>'Capacity (local prices)'!F179</f>
        <v>0</v>
      </c>
      <c r="F56" s="577">
        <f>'Capacity (local prices)'!G179</f>
        <v>0</v>
      </c>
      <c r="G56" s="577">
        <f>'Capacity (local prices)'!H179</f>
        <v>0</v>
      </c>
      <c r="H56" s="577">
        <f>'Capacity (local prices)'!I179</f>
        <v>0</v>
      </c>
      <c r="I56" s="131"/>
      <c r="J56" s="131"/>
    </row>
    <row r="57" spans="2:10" x14ac:dyDescent="0.25">
      <c r="B57" s="257" t="s">
        <v>1178</v>
      </c>
      <c r="C57" s="258"/>
      <c r="D57" s="177">
        <f>'Capacity (local prices)'!E186</f>
        <v>0</v>
      </c>
      <c r="E57" s="177">
        <f>'Capacity (local prices)'!F186</f>
        <v>0</v>
      </c>
      <c r="F57" s="177">
        <f>'Capacity (local prices)'!G186</f>
        <v>0</v>
      </c>
      <c r="G57" s="177">
        <f>'Capacity (local prices)'!H186</f>
        <v>0</v>
      </c>
      <c r="H57" s="177">
        <f>'Capacity (local prices)'!I186</f>
        <v>0</v>
      </c>
      <c r="I57" s="131"/>
      <c r="J57" s="131"/>
    </row>
    <row r="58" spans="2:10" x14ac:dyDescent="0.25">
      <c r="B58" s="257" t="s">
        <v>1190</v>
      </c>
      <c r="C58" s="258"/>
      <c r="D58" s="177">
        <f>'Capacity (local prices)'!E134+D67</f>
        <v>0</v>
      </c>
      <c r="E58" s="177">
        <f>'Capacity (local prices)'!F134+E67</f>
        <v>0</v>
      </c>
      <c r="F58" s="177">
        <f>'Capacity (local prices)'!G134+F67</f>
        <v>0</v>
      </c>
      <c r="G58" s="177">
        <f>'Capacity (local prices)'!H134+G67</f>
        <v>0</v>
      </c>
      <c r="H58" s="177">
        <f>'Capacity (local prices)'!I134+H67</f>
        <v>0</v>
      </c>
      <c r="I58" s="131"/>
      <c r="J58" s="131"/>
    </row>
    <row r="59" spans="2:10" x14ac:dyDescent="0.25">
      <c r="I59" s="131"/>
      <c r="J59" s="131"/>
    </row>
    <row r="60" spans="2:10" x14ac:dyDescent="0.25">
      <c r="B60" s="255" t="s">
        <v>785</v>
      </c>
      <c r="C60" s="256"/>
      <c r="D60" s="249"/>
      <c r="E60" s="249"/>
      <c r="F60" s="249"/>
      <c r="G60" s="249"/>
      <c r="H60" s="250"/>
      <c r="I60" s="131"/>
      <c r="J60" s="131"/>
    </row>
    <row r="61" spans="2:10" x14ac:dyDescent="0.25">
      <c r="B61" s="257" t="s">
        <v>1191</v>
      </c>
      <c r="C61" s="258"/>
      <c r="D61" s="177">
        <f>'Capacity (local prices)'!E141</f>
        <v>0</v>
      </c>
      <c r="E61" s="177">
        <f>'Capacity (local prices)'!F141</f>
        <v>0</v>
      </c>
      <c r="F61" s="177">
        <f>'Capacity (local prices)'!G141</f>
        <v>0</v>
      </c>
      <c r="G61" s="177">
        <f>'Capacity (local prices)'!H141</f>
        <v>0</v>
      </c>
      <c r="H61" s="177">
        <f>'Capacity (local prices)'!I141</f>
        <v>0</v>
      </c>
      <c r="I61" s="131"/>
      <c r="J61" s="131"/>
    </row>
    <row r="62" spans="2:10" x14ac:dyDescent="0.25">
      <c r="B62" s="257" t="s">
        <v>1158</v>
      </c>
      <c r="C62" s="258"/>
      <c r="D62" s="177">
        <f>'Capacity (local prices)'!E156</f>
        <v>0</v>
      </c>
      <c r="E62" s="177">
        <f>'Capacity (local prices)'!F156</f>
        <v>0</v>
      </c>
      <c r="F62" s="177">
        <f>'Capacity (local prices)'!G156</f>
        <v>0</v>
      </c>
      <c r="G62" s="177">
        <f>'Capacity (local prices)'!H156</f>
        <v>0</v>
      </c>
      <c r="H62" s="177">
        <f>'Capacity (local prices)'!I156</f>
        <v>0</v>
      </c>
      <c r="I62" s="131"/>
      <c r="J62" s="131"/>
    </row>
    <row r="63" spans="2:10" x14ac:dyDescent="0.25">
      <c r="B63" s="257" t="s">
        <v>1161</v>
      </c>
      <c r="C63" s="258"/>
      <c r="D63" s="177">
        <f>'Capacity (local prices)'!E171</f>
        <v>0</v>
      </c>
      <c r="E63" s="177">
        <f>'Capacity (local prices)'!F171</f>
        <v>0</v>
      </c>
      <c r="F63" s="177">
        <f>'Capacity (local prices)'!G171</f>
        <v>0</v>
      </c>
      <c r="G63" s="177">
        <f>'Capacity (local prices)'!H171</f>
        <v>0</v>
      </c>
      <c r="H63" s="177">
        <f>'Capacity (local prices)'!I171</f>
        <v>0</v>
      </c>
      <c r="I63" s="131"/>
      <c r="J63" s="131"/>
    </row>
    <row r="64" spans="2:10" x14ac:dyDescent="0.25">
      <c r="I64" s="131"/>
      <c r="J64" s="131"/>
    </row>
    <row r="65" spans="2:10" x14ac:dyDescent="0.25">
      <c r="B65" s="255" t="s">
        <v>1187</v>
      </c>
      <c r="C65" s="256"/>
      <c r="D65" s="249"/>
      <c r="E65" s="249"/>
      <c r="F65" s="249"/>
      <c r="G65" s="249"/>
      <c r="H65" s="250"/>
      <c r="I65" s="131"/>
      <c r="J65" s="131"/>
    </row>
    <row r="66" spans="2:10" x14ac:dyDescent="0.25">
      <c r="B66" s="257" t="s">
        <v>1188</v>
      </c>
      <c r="C66" s="258"/>
      <c r="D66" s="177">
        <f>'Capacity (local prices)'!E131+'Capacity (local prices)'!E132</f>
        <v>0</v>
      </c>
      <c r="E66" s="177">
        <f>'Capacity (local prices)'!F131+'Capacity (local prices)'!F132</f>
        <v>0</v>
      </c>
      <c r="F66" s="177">
        <f>'Capacity (local prices)'!G131+'Capacity (local prices)'!G132</f>
        <v>0</v>
      </c>
      <c r="G66" s="177">
        <f>'Capacity (local prices)'!H131+'Capacity (local prices)'!H132</f>
        <v>0</v>
      </c>
      <c r="H66" s="177">
        <f>'Capacity (local prices)'!I131+'Capacity (local prices)'!I132</f>
        <v>0</v>
      </c>
      <c r="I66" s="131"/>
      <c r="J66" s="131"/>
    </row>
    <row r="67" spans="2:10" x14ac:dyDescent="0.25">
      <c r="B67" s="910" t="s">
        <v>1189</v>
      </c>
      <c r="C67" s="258"/>
      <c r="D67" s="177"/>
      <c r="E67" s="177">
        <f>D66+E66</f>
        <v>0</v>
      </c>
      <c r="F67" s="177">
        <f>D66+E66+F66</f>
        <v>0</v>
      </c>
      <c r="G67" s="177">
        <f>G66+D66+E66+F66</f>
        <v>0</v>
      </c>
      <c r="H67" s="177">
        <f>D66+E66+F66+G66+H66</f>
        <v>0</v>
      </c>
      <c r="I67" s="131"/>
      <c r="J67" s="131"/>
    </row>
    <row r="68" spans="2:10" x14ac:dyDescent="0.25">
      <c r="I68" s="131"/>
      <c r="J68" s="131"/>
    </row>
    <row r="69" spans="2:10" x14ac:dyDescent="0.25">
      <c r="B69" s="255" t="s">
        <v>1185</v>
      </c>
      <c r="C69" s="256"/>
      <c r="D69" s="249"/>
      <c r="E69" s="249"/>
      <c r="F69" s="249"/>
      <c r="G69" s="249"/>
      <c r="H69" s="250"/>
      <c r="I69" s="131"/>
      <c r="J69" s="131"/>
    </row>
    <row r="70" spans="2:10" x14ac:dyDescent="0.25">
      <c r="B70" s="325" t="s">
        <v>1186</v>
      </c>
      <c r="C70" s="261"/>
      <c r="D70" s="360">
        <f>'Capacity (local prices)'!E101</f>
        <v>0</v>
      </c>
      <c r="E70" s="360">
        <f>'Capacity (local prices)'!F101</f>
        <v>0</v>
      </c>
      <c r="F70" s="360">
        <f>'Capacity (local prices)'!G101</f>
        <v>0</v>
      </c>
      <c r="G70" s="360">
        <f>'Capacity (local prices)'!H101</f>
        <v>0</v>
      </c>
      <c r="H70" s="360">
        <f>'Capacity (local prices)'!I101</f>
        <v>0</v>
      </c>
      <c r="I70" s="131"/>
      <c r="J70" s="131"/>
    </row>
    <row r="71" spans="2:10" x14ac:dyDescent="0.25">
      <c r="I71" s="131"/>
      <c r="J71" s="131"/>
    </row>
    <row r="72" spans="2:10" x14ac:dyDescent="0.25">
      <c r="B72" s="255" t="s">
        <v>1183</v>
      </c>
      <c r="C72" s="256"/>
      <c r="D72" s="249"/>
      <c r="E72" s="249"/>
      <c r="F72" s="249"/>
      <c r="G72" s="249"/>
      <c r="H72" s="250"/>
      <c r="I72" s="131"/>
      <c r="J72" s="131"/>
    </row>
    <row r="73" spans="2:10" x14ac:dyDescent="0.25">
      <c r="B73" s="325" t="s">
        <v>1184</v>
      </c>
      <c r="C73" s="261"/>
      <c r="D73" s="360">
        <f>'Capacity (local prices)'!E117</f>
        <v>0</v>
      </c>
      <c r="E73" s="360">
        <f>'Capacity (local prices)'!F117</f>
        <v>0</v>
      </c>
      <c r="F73" s="360">
        <f>'Capacity (local prices)'!G117</f>
        <v>0</v>
      </c>
      <c r="G73" s="360">
        <f>'Capacity (local prices)'!H117</f>
        <v>0</v>
      </c>
      <c r="H73" s="360">
        <f>'Capacity (local prices)'!I117</f>
        <v>0</v>
      </c>
      <c r="I73" s="131"/>
      <c r="J73" s="131"/>
    </row>
    <row r="74" spans="2:10" x14ac:dyDescent="0.25">
      <c r="I74" s="131"/>
      <c r="J74" s="131"/>
    </row>
    <row r="75" spans="2:10" x14ac:dyDescent="0.25">
      <c r="B75" s="255" t="s">
        <v>787</v>
      </c>
      <c r="C75" s="256"/>
      <c r="D75" s="249"/>
      <c r="E75" s="249"/>
      <c r="F75" s="249"/>
      <c r="G75" s="249"/>
      <c r="H75" s="250"/>
      <c r="I75" s="131"/>
      <c r="J75" s="131"/>
    </row>
    <row r="76" spans="2:10" x14ac:dyDescent="0.25">
      <c r="B76" s="325" t="s">
        <v>788</v>
      </c>
      <c r="C76" s="258"/>
      <c r="D76" s="360">
        <f>'Capacity (local prices)'!E44</f>
        <v>0</v>
      </c>
      <c r="E76" s="360">
        <f>'Capacity (local prices)'!F44</f>
        <v>0</v>
      </c>
      <c r="F76" s="360">
        <f>'Capacity (local prices)'!G44</f>
        <v>0</v>
      </c>
      <c r="G76" s="360">
        <f>'Capacity (local prices)'!H44</f>
        <v>0</v>
      </c>
      <c r="H76" s="360">
        <f>'Capacity (local prices)'!I44</f>
        <v>0</v>
      </c>
      <c r="I76" s="131"/>
      <c r="J76" s="131"/>
    </row>
    <row r="77" spans="2:10" x14ac:dyDescent="0.25">
      <c r="B77" s="325" t="s">
        <v>1180</v>
      </c>
      <c r="C77" s="258"/>
      <c r="D77" s="360">
        <f>'Capacity (local prices)'!E58</f>
        <v>0</v>
      </c>
      <c r="E77" s="360">
        <f>'Capacity (local prices)'!F58</f>
        <v>0</v>
      </c>
      <c r="F77" s="360">
        <f>'Capacity (local prices)'!G58</f>
        <v>0</v>
      </c>
      <c r="G77" s="360">
        <f>'Capacity (local prices)'!H58</f>
        <v>0</v>
      </c>
      <c r="H77" s="360">
        <f>'Capacity (local prices)'!I58</f>
        <v>0</v>
      </c>
      <c r="I77" s="131"/>
      <c r="J77" s="131"/>
    </row>
    <row r="78" spans="2:10" x14ac:dyDescent="0.25">
      <c r="B78" s="325" t="s">
        <v>1181</v>
      </c>
      <c r="C78" s="258"/>
      <c r="D78" s="360">
        <f>'Capacity (local prices)'!E72</f>
        <v>0</v>
      </c>
      <c r="E78" s="360">
        <f>'Capacity (local prices)'!F72</f>
        <v>0</v>
      </c>
      <c r="F78" s="360">
        <f>'Capacity (local prices)'!G72</f>
        <v>0</v>
      </c>
      <c r="G78" s="360">
        <f>'Capacity (local prices)'!H72</f>
        <v>0</v>
      </c>
      <c r="H78" s="360">
        <f>'Capacity (local prices)'!I72</f>
        <v>0</v>
      </c>
      <c r="I78" s="131"/>
      <c r="J78" s="131"/>
    </row>
    <row r="79" spans="2:10" x14ac:dyDescent="0.25">
      <c r="B79" s="325" t="s">
        <v>1182</v>
      </c>
      <c r="C79" s="258"/>
      <c r="D79" s="360">
        <f>'Capacity (local prices)'!E86</f>
        <v>0</v>
      </c>
      <c r="E79" s="360">
        <f>'Capacity (local prices)'!F86</f>
        <v>0</v>
      </c>
      <c r="F79" s="360">
        <f>'Capacity (local prices)'!G86</f>
        <v>0</v>
      </c>
      <c r="G79" s="360">
        <f>'Capacity (local prices)'!H86</f>
        <v>0</v>
      </c>
      <c r="H79" s="360">
        <f>'Capacity (local prices)'!I86</f>
        <v>0</v>
      </c>
      <c r="I79" s="131"/>
      <c r="J79" s="131"/>
    </row>
    <row r="80" spans="2:10" x14ac:dyDescent="0.25">
      <c r="I80" s="131"/>
      <c r="J80" s="131"/>
    </row>
    <row r="81" spans="2:14" x14ac:dyDescent="0.25">
      <c r="B81" s="260"/>
      <c r="C81" s="260"/>
      <c r="D81" s="248"/>
      <c r="E81" s="248"/>
      <c r="F81" s="248"/>
      <c r="G81" s="248"/>
      <c r="H81" s="248"/>
      <c r="I81" s="131"/>
      <c r="J81" s="131"/>
    </row>
    <row r="82" spans="2:14" x14ac:dyDescent="0.25">
      <c r="B82" s="255" t="s">
        <v>786</v>
      </c>
      <c r="C82" s="256"/>
      <c r="D82" s="249"/>
      <c r="E82" s="249"/>
      <c r="F82" s="249"/>
      <c r="G82" s="249"/>
      <c r="H82" s="250"/>
    </row>
    <row r="83" spans="2:14" x14ac:dyDescent="0.25">
      <c r="B83" s="325" t="s">
        <v>1200</v>
      </c>
      <c r="C83" s="935"/>
      <c r="D83" s="937">
        <f>'Capacity (local prices)'!E191-'Capacity (local prices)'!$D$191</f>
        <v>0</v>
      </c>
      <c r="E83" s="937">
        <f>'Capacity (local prices)'!F191-'Capacity (local prices)'!$D$191</f>
        <v>0</v>
      </c>
      <c r="F83" s="937">
        <f>'Capacity (local prices)'!G191-'Capacity (local prices)'!$D$191</f>
        <v>0</v>
      </c>
      <c r="G83" s="937">
        <f>'Capacity (local prices)'!H191-'Capacity (local prices)'!$D$191</f>
        <v>0</v>
      </c>
      <c r="H83" s="937">
        <f>'Capacity (local prices)'!I191-'Capacity (local prices)'!$D$191</f>
        <v>0</v>
      </c>
      <c r="I83" s="823"/>
      <c r="J83" s="823"/>
      <c r="K83" s="823"/>
      <c r="L83" s="823"/>
      <c r="M83" s="823"/>
      <c r="N83" s="823"/>
    </row>
    <row r="84" spans="2:14" x14ac:dyDescent="0.25">
      <c r="B84" s="325" t="s">
        <v>1201</v>
      </c>
      <c r="C84" s="935"/>
      <c r="D84" s="937">
        <f>'Capacity (local prices)'!E192-'Capacity (local prices)'!$D$192</f>
        <v>0</v>
      </c>
      <c r="E84" s="937">
        <f>'Capacity (local prices)'!F192-'Capacity (local prices)'!$D$192</f>
        <v>0</v>
      </c>
      <c r="F84" s="937">
        <f>'Capacity (local prices)'!G192-'Capacity (local prices)'!$D$192</f>
        <v>0</v>
      </c>
      <c r="G84" s="937">
        <f>'Capacity (local prices)'!H192-'Capacity (local prices)'!$D$192</f>
        <v>0</v>
      </c>
      <c r="H84" s="937">
        <f>'Capacity (local prices)'!I192-'Capacity (local prices)'!$D$192</f>
        <v>0</v>
      </c>
      <c r="I84" s="823"/>
      <c r="J84" s="823"/>
      <c r="K84" s="823"/>
      <c r="L84" s="823"/>
      <c r="M84" s="823"/>
      <c r="N84" s="823"/>
    </row>
    <row r="85" spans="2:14" x14ac:dyDescent="0.25">
      <c r="B85" s="325" t="s">
        <v>1202</v>
      </c>
      <c r="C85" s="935"/>
      <c r="D85" s="937">
        <f>'Capacity (local prices)'!E198-'Capacity (local prices)'!$D$198</f>
        <v>0</v>
      </c>
      <c r="E85" s="937">
        <f>'Capacity (local prices)'!F198-'Capacity (local prices)'!$D$198</f>
        <v>0</v>
      </c>
      <c r="F85" s="937">
        <f>'Capacity (local prices)'!G198-'Capacity (local prices)'!$D$198</f>
        <v>0</v>
      </c>
      <c r="G85" s="937">
        <f>'Capacity (local prices)'!H198-'Capacity (local prices)'!$D$198</f>
        <v>0</v>
      </c>
      <c r="H85" s="937">
        <f>'Capacity (local prices)'!I198-'Capacity (local prices)'!$D$198</f>
        <v>0</v>
      </c>
      <c r="I85" s="823"/>
      <c r="J85" s="823"/>
      <c r="K85" s="823"/>
      <c r="L85" s="823"/>
      <c r="M85" s="823"/>
      <c r="N85" s="823"/>
    </row>
    <row r="86" spans="2:14" x14ac:dyDescent="0.25">
      <c r="B86" s="325" t="s">
        <v>1203</v>
      </c>
      <c r="C86" s="935"/>
      <c r="D86" s="937">
        <f>'Capacity (local prices)'!E199-'Capacity (local prices)'!$D$199</f>
        <v>0</v>
      </c>
      <c r="E86" s="937">
        <f>'Capacity (local prices)'!F199-'Capacity (local prices)'!$D$199</f>
        <v>0</v>
      </c>
      <c r="F86" s="937">
        <f>'Capacity (local prices)'!G199-'Capacity (local prices)'!$D$199</f>
        <v>0</v>
      </c>
      <c r="G86" s="937">
        <f>'Capacity (local prices)'!H199-'Capacity (local prices)'!$D$199</f>
        <v>0</v>
      </c>
      <c r="H86" s="937">
        <f>'Capacity (local prices)'!I199-'Capacity (local prices)'!$D$199</f>
        <v>0</v>
      </c>
    </row>
  </sheetData>
  <sheetProtection algorithmName="SHA-512" hashValue="/IL3PFTXKUU6PP4MwGl/QtmCWiIqcBSV8m0fYfTsjaYoft9+ygQtH2ov6E1wxUA7p79J3M1nIPrpCrYR0LkV9g==" saltValue="wVB4Ao0eaHRi19dUMGjOTA=="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205"/>
  <sheetViews>
    <sheetView showGridLines="0" zoomScale="80" zoomScaleNormal="80" zoomScaleSheetLayoutView="30" workbookViewId="0"/>
  </sheetViews>
  <sheetFormatPr defaultColWidth="8.85546875" defaultRowHeight="15" x14ac:dyDescent="0.25"/>
  <cols>
    <col min="1" max="1" width="3.5703125" customWidth="1"/>
    <col min="2" max="2" width="73.42578125" style="1" customWidth="1"/>
    <col min="3" max="3" width="39.42578125" customWidth="1"/>
    <col min="4"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503" t="str">
        <f>'Inputs and eligible population'!B1</f>
        <v>Exagamglogene autotemcel for treating severe sickle cell disease in people 12 years and over</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x14ac:dyDescent="0.25">
      <c r="B2" s="208" t="s">
        <v>797</v>
      </c>
      <c r="C2" s="125" t="s">
        <v>725</v>
      </c>
      <c r="D2" s="125" t="s">
        <v>725</v>
      </c>
      <c r="E2" s="457"/>
      <c r="F2" s="125" t="s">
        <v>725</v>
      </c>
      <c r="G2" s="125" t="s">
        <v>725</v>
      </c>
      <c r="H2" s="125" t="s">
        <v>725</v>
      </c>
      <c r="I2" s="125" t="s">
        <v>725</v>
      </c>
      <c r="J2" s="125"/>
      <c r="K2" s="125"/>
      <c r="L2" s="125"/>
      <c r="M2" s="125"/>
      <c r="N2" s="125"/>
      <c r="O2" s="125"/>
      <c r="P2" s="125"/>
      <c r="Q2" s="125"/>
      <c r="R2" s="125"/>
      <c r="S2" s="125"/>
      <c r="T2" s="125"/>
      <c r="U2" s="125"/>
      <c r="V2" s="125"/>
      <c r="W2" s="125"/>
      <c r="X2" s="125"/>
      <c r="Y2" s="125"/>
      <c r="Z2" s="125"/>
    </row>
    <row r="3" spans="1:40" ht="14.45" customHeight="1" x14ac:dyDescent="0.25">
      <c r="B3" s="128" t="s">
        <v>725</v>
      </c>
      <c r="C3" s="131" t="s">
        <v>725</v>
      </c>
      <c r="D3" s="131" t="s">
        <v>725</v>
      </c>
      <c r="F3" s="131" t="s">
        <v>725</v>
      </c>
      <c r="G3" s="131" t="s">
        <v>725</v>
      </c>
      <c r="H3" s="131" t="s">
        <v>725</v>
      </c>
      <c r="I3" s="131" t="s">
        <v>725</v>
      </c>
      <c r="J3" s="125"/>
      <c r="K3" s="125"/>
      <c r="L3" s="125"/>
      <c r="M3" s="125"/>
      <c r="N3" s="125"/>
      <c r="O3" s="125"/>
      <c r="P3" s="125"/>
      <c r="Q3" s="131"/>
      <c r="R3" s="131"/>
      <c r="S3" s="131"/>
      <c r="T3" s="131"/>
      <c r="U3" s="131"/>
      <c r="V3" s="131"/>
      <c r="W3" s="131"/>
      <c r="X3" s="131"/>
      <c r="Y3" s="131"/>
      <c r="Z3" s="131"/>
    </row>
    <row r="4" spans="1:40" ht="14.45" customHeight="1" x14ac:dyDescent="0.25">
      <c r="B4" t="s">
        <v>798</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31"/>
      <c r="T5" s="131"/>
      <c r="U5" s="131"/>
      <c r="V5" s="131"/>
      <c r="W5" s="131"/>
      <c r="X5" s="131"/>
      <c r="Y5" s="131"/>
      <c r="Z5" s="131"/>
    </row>
    <row r="6" spans="1:40" ht="45" x14ac:dyDescent="0.25">
      <c r="B6" s="252" t="s">
        <v>769</v>
      </c>
      <c r="C6" s="204"/>
      <c r="D6" s="228" t="s">
        <v>792</v>
      </c>
      <c r="E6" s="250" t="s">
        <v>672</v>
      </c>
      <c r="F6" s="250" t="s">
        <v>673</v>
      </c>
      <c r="G6" s="162" t="s">
        <v>766</v>
      </c>
      <c r="H6" s="162" t="s">
        <v>767</v>
      </c>
      <c r="I6" s="250" t="s">
        <v>768</v>
      </c>
      <c r="L6" s="394" t="s">
        <v>792</v>
      </c>
      <c r="M6" s="250" t="s">
        <v>672</v>
      </c>
      <c r="N6" s="250" t="s">
        <v>673</v>
      </c>
      <c r="O6" s="162" t="s">
        <v>766</v>
      </c>
      <c r="P6" s="162" t="s">
        <v>767</v>
      </c>
      <c r="Q6" s="250" t="s">
        <v>768</v>
      </c>
      <c r="R6" s="131"/>
      <c r="S6" s="131"/>
      <c r="T6" s="131"/>
      <c r="U6" s="131"/>
      <c r="V6" s="131"/>
      <c r="W6" s="131"/>
      <c r="X6" s="131"/>
      <c r="Y6" s="131"/>
      <c r="Z6" s="131"/>
      <c r="AJ6" s="278"/>
      <c r="AK6" s="278"/>
      <c r="AL6" s="278"/>
      <c r="AM6" s="278"/>
      <c r="AN6" s="278"/>
    </row>
    <row r="7" spans="1:40" x14ac:dyDescent="0.25">
      <c r="B7" s="814"/>
      <c r="C7" s="720"/>
      <c r="D7" s="827"/>
      <c r="E7" s="828"/>
      <c r="F7" s="828"/>
      <c r="G7" s="828"/>
      <c r="H7" s="828"/>
      <c r="I7" s="828"/>
      <c r="L7" s="827"/>
      <c r="M7" s="828"/>
      <c r="N7" s="828"/>
      <c r="O7" s="828"/>
      <c r="P7" s="828"/>
      <c r="Q7" s="828"/>
      <c r="R7" s="131"/>
      <c r="S7" s="131"/>
      <c r="T7" s="131"/>
      <c r="U7" s="131"/>
      <c r="V7" s="131"/>
      <c r="W7" s="131"/>
      <c r="X7" s="131"/>
      <c r="Y7" s="131"/>
      <c r="Z7" s="131"/>
      <c r="AJ7" s="278"/>
      <c r="AK7" s="278"/>
      <c r="AL7" s="278"/>
      <c r="AM7" s="278"/>
      <c r="AN7" s="278"/>
    </row>
    <row r="8" spans="1:40" x14ac:dyDescent="0.25">
      <c r="B8" s="830" t="s">
        <v>1074</v>
      </c>
      <c r="C8" s="829"/>
      <c r="D8" s="833">
        <f>'Inputs and eligible population'!F44</f>
        <v>358.77097380010969</v>
      </c>
      <c r="E8" s="833">
        <f>'Inputs and eligible population'!G44</f>
        <v>362.23017445313661</v>
      </c>
      <c r="F8" s="833">
        <f>'Inputs and eligible population'!H44</f>
        <v>365.72272805283916</v>
      </c>
      <c r="G8" s="833">
        <f>'Inputs and eligible population'!I44</f>
        <v>369.24895618190743</v>
      </c>
      <c r="H8" s="833">
        <f>'Inputs and eligible population'!J44</f>
        <v>372.80918352367007</v>
      </c>
      <c r="I8" s="833">
        <f>'Inputs and eligible population'!K44</f>
        <v>376.40373789198981</v>
      </c>
      <c r="L8" s="827"/>
      <c r="M8" s="828"/>
      <c r="N8" s="828"/>
      <c r="O8" s="828"/>
      <c r="P8" s="828"/>
      <c r="Q8" s="828"/>
      <c r="R8" s="131"/>
      <c r="S8" s="131"/>
      <c r="T8" s="131"/>
      <c r="U8" s="131"/>
      <c r="V8" s="131"/>
      <c r="W8" s="131"/>
      <c r="X8" s="131"/>
      <c r="Y8" s="131"/>
      <c r="Z8" s="131"/>
      <c r="AJ8" s="278"/>
      <c r="AK8" s="278"/>
      <c r="AL8" s="278"/>
      <c r="AM8" s="278"/>
      <c r="AN8" s="278"/>
    </row>
    <row r="9" spans="1:40" x14ac:dyDescent="0.25">
      <c r="B9" s="832" t="s">
        <v>1065</v>
      </c>
      <c r="C9" s="165"/>
      <c r="D9" s="466">
        <f>'Inputs and eligible population'!F45</f>
        <v>1435.0838952004392</v>
      </c>
      <c r="E9" s="466">
        <f>'Inputs and eligible population'!G45</f>
        <v>1448.9206978125469</v>
      </c>
      <c r="F9" s="466">
        <f>'Inputs and eligible population'!H45</f>
        <v>1462.8909122113571</v>
      </c>
      <c r="G9" s="466">
        <f>'Inputs and eligible population'!I45</f>
        <v>1476.9958247276302</v>
      </c>
      <c r="H9" s="466">
        <f>'Inputs and eligible population'!J45</f>
        <v>1491.236734094681</v>
      </c>
      <c r="I9" s="466">
        <f>'Inputs and eligible population'!K45</f>
        <v>1505.6149515679597</v>
      </c>
      <c r="P9" s="131"/>
      <c r="Q9" s="131"/>
      <c r="R9" s="131"/>
      <c r="S9" s="131"/>
      <c r="T9" s="131"/>
      <c r="U9" s="131"/>
      <c r="V9" s="131"/>
      <c r="W9" s="131"/>
      <c r="X9" s="131"/>
      <c r="Y9" s="131"/>
      <c r="Z9" s="131"/>
      <c r="AJ9" s="278"/>
      <c r="AK9" s="278"/>
      <c r="AL9" s="278"/>
      <c r="AM9" s="278"/>
      <c r="AN9" s="278"/>
    </row>
    <row r="10" spans="1:40" x14ac:dyDescent="0.25">
      <c r="B10" s="831" t="s">
        <v>769</v>
      </c>
      <c r="C10" s="160"/>
      <c r="D10" s="360">
        <f>'Inputs and eligible population'!F46</f>
        <v>1793.8548690005489</v>
      </c>
      <c r="E10" s="360">
        <f>'Inputs and eligible population'!G46</f>
        <v>1811.1508722656836</v>
      </c>
      <c r="F10" s="360">
        <f>'Inputs and eligible population'!H46</f>
        <v>1828.6136402641962</v>
      </c>
      <c r="G10" s="360">
        <f>'Inputs and eligible population'!I46</f>
        <v>1846.2447809095377</v>
      </c>
      <c r="H10" s="360">
        <f>'Inputs and eligible population'!J46</f>
        <v>1864.045917618351</v>
      </c>
      <c r="I10" s="360">
        <f>'Inputs and eligible population'!K46</f>
        <v>1882.0186894599494</v>
      </c>
      <c r="P10" s="131"/>
      <c r="Q10" s="131"/>
      <c r="R10" s="131"/>
      <c r="S10" s="131"/>
      <c r="T10" s="131"/>
      <c r="U10" s="131"/>
      <c r="V10" s="131"/>
      <c r="W10" s="131"/>
      <c r="X10" s="131"/>
      <c r="Y10" s="131"/>
      <c r="Z10" s="131"/>
      <c r="AJ10" s="278"/>
      <c r="AK10" s="278"/>
      <c r="AL10" s="278"/>
      <c r="AM10" s="278"/>
      <c r="AN10" s="278"/>
    </row>
    <row r="11" spans="1:40" x14ac:dyDescent="0.25">
      <c r="B11" s="826"/>
      <c r="C11" s="191"/>
      <c r="D11" s="825"/>
      <c r="E11" s="825"/>
      <c r="F11" s="825"/>
      <c r="G11" s="825"/>
      <c r="H11" s="825"/>
      <c r="I11" s="825"/>
      <c r="P11" s="131"/>
      <c r="Q11" s="131"/>
      <c r="R11" s="131"/>
      <c r="S11" s="131"/>
      <c r="T11" s="131"/>
      <c r="U11" s="131"/>
      <c r="V11" s="131"/>
      <c r="W11" s="131"/>
      <c r="X11" s="131"/>
      <c r="Y11" s="131"/>
      <c r="Z11" s="131"/>
      <c r="AJ11" s="278"/>
      <c r="AK11" s="278"/>
      <c r="AL11" s="278"/>
      <c r="AM11" s="278"/>
      <c r="AN11" s="278"/>
    </row>
    <row r="12" spans="1:40" x14ac:dyDescent="0.25">
      <c r="B12" s="271" t="s">
        <v>799</v>
      </c>
      <c r="C12" s="407"/>
      <c r="D12" s="407"/>
      <c r="E12" s="408"/>
      <c r="F12" s="407"/>
      <c r="G12" s="409"/>
      <c r="H12" s="410"/>
      <c r="I12" s="525"/>
      <c r="L12" s="598" t="s">
        <v>773</v>
      </c>
      <c r="M12" s="598" t="s">
        <v>773</v>
      </c>
      <c r="N12" s="598" t="s">
        <v>773</v>
      </c>
      <c r="O12" s="598" t="s">
        <v>773</v>
      </c>
      <c r="P12" s="598" t="s">
        <v>773</v>
      </c>
      <c r="Q12" s="598" t="s">
        <v>773</v>
      </c>
      <c r="R12" s="131"/>
      <c r="S12" s="131"/>
      <c r="T12" s="131"/>
      <c r="U12" s="131"/>
      <c r="V12" s="131"/>
      <c r="W12" s="131"/>
      <c r="X12" s="131"/>
      <c r="Y12" s="131"/>
      <c r="Z12" s="131"/>
      <c r="AJ12" s="278"/>
      <c r="AK12" s="278"/>
      <c r="AL12" s="278"/>
      <c r="AM12" s="278"/>
      <c r="AN12" s="278"/>
    </row>
    <row r="13" spans="1:40" x14ac:dyDescent="0.25">
      <c r="A13" s="282"/>
      <c r="B13" s="413" t="str">
        <f>B39</f>
        <v xml:space="preserve">Imaging MRI scans - brain - number of scans </v>
      </c>
      <c r="C13" s="416"/>
      <c r="D13" s="398">
        <f t="shared" ref="D13:I13" si="0">D43</f>
        <v>0</v>
      </c>
      <c r="E13" s="398">
        <f t="shared" si="0"/>
        <v>0</v>
      </c>
      <c r="F13" s="398">
        <f t="shared" si="0"/>
        <v>0</v>
      </c>
      <c r="G13" s="398">
        <f t="shared" si="0"/>
        <v>0</v>
      </c>
      <c r="H13" s="398">
        <f t="shared" si="0"/>
        <v>0</v>
      </c>
      <c r="I13" s="398">
        <f t="shared" si="0"/>
        <v>0</v>
      </c>
      <c r="L13" s="202"/>
      <c r="M13" s="202"/>
      <c r="N13" s="202"/>
      <c r="O13" s="202"/>
      <c r="P13" s="392"/>
      <c r="Q13" s="392"/>
      <c r="R13" s="131"/>
      <c r="S13" s="131"/>
      <c r="T13" s="131"/>
      <c r="U13" s="131"/>
      <c r="V13" s="131"/>
      <c r="W13" s="131"/>
      <c r="X13" s="131"/>
      <c r="Y13" s="131"/>
      <c r="Z13" s="131"/>
      <c r="AJ13" s="278"/>
      <c r="AK13" s="278"/>
      <c r="AL13" s="278"/>
      <c r="AM13" s="278"/>
      <c r="AN13" s="278"/>
    </row>
    <row r="14" spans="1:40" x14ac:dyDescent="0.25">
      <c r="A14" s="282"/>
      <c r="B14" s="413" t="str">
        <f>B46</f>
        <v xml:space="preserve">Imaging MRI scans - brain - time (hours) </v>
      </c>
      <c r="C14" s="416"/>
      <c r="D14" s="398">
        <f t="shared" ref="D14:I14" si="1">D50</f>
        <v>0</v>
      </c>
      <c r="E14" s="398">
        <f t="shared" si="1"/>
        <v>0</v>
      </c>
      <c r="F14" s="398">
        <f t="shared" si="1"/>
        <v>0</v>
      </c>
      <c r="G14" s="398">
        <f t="shared" si="1"/>
        <v>0</v>
      </c>
      <c r="H14" s="398">
        <f t="shared" si="1"/>
        <v>0</v>
      </c>
      <c r="I14" s="398">
        <f t="shared" si="1"/>
        <v>0</v>
      </c>
      <c r="L14" s="284">
        <f>L50</f>
        <v>0</v>
      </c>
      <c r="M14" s="284">
        <f t="shared" ref="M14:Q14" si="2">M50</f>
        <v>0</v>
      </c>
      <c r="N14" s="284">
        <f t="shared" si="2"/>
        <v>0</v>
      </c>
      <c r="O14" s="284">
        <f t="shared" si="2"/>
        <v>0</v>
      </c>
      <c r="P14" s="284">
        <f t="shared" si="2"/>
        <v>0</v>
      </c>
      <c r="Q14" s="284">
        <f t="shared" si="2"/>
        <v>0</v>
      </c>
      <c r="R14" s="131"/>
      <c r="S14" s="131"/>
      <c r="T14" s="131"/>
      <c r="U14" s="131"/>
      <c r="V14" s="131"/>
      <c r="W14" s="131"/>
      <c r="X14" s="131"/>
      <c r="Y14" s="131"/>
      <c r="Z14" s="131"/>
      <c r="AJ14" s="278"/>
      <c r="AK14" s="278"/>
      <c r="AL14" s="278"/>
      <c r="AM14" s="278"/>
      <c r="AN14" s="278"/>
    </row>
    <row r="15" spans="1:40" x14ac:dyDescent="0.25">
      <c r="A15" s="282"/>
      <c r="B15" s="413" t="str">
        <f>B53</f>
        <v xml:space="preserve">Transcranial Doppler (TCD) ultrasound - number of tests </v>
      </c>
      <c r="C15" s="416"/>
      <c r="D15" s="398">
        <f t="shared" ref="D15:I15" si="3">D57</f>
        <v>0</v>
      </c>
      <c r="E15" s="398">
        <f t="shared" si="3"/>
        <v>0</v>
      </c>
      <c r="F15" s="398">
        <f t="shared" si="3"/>
        <v>0</v>
      </c>
      <c r="G15" s="398">
        <f t="shared" si="3"/>
        <v>0</v>
      </c>
      <c r="H15" s="398">
        <f t="shared" si="3"/>
        <v>0</v>
      </c>
      <c r="I15" s="398">
        <f t="shared" si="3"/>
        <v>0</v>
      </c>
      <c r="L15" s="202"/>
      <c r="M15" s="202"/>
      <c r="N15" s="202"/>
      <c r="O15" s="202"/>
      <c r="P15" s="392"/>
      <c r="Q15" s="392"/>
      <c r="R15" s="131"/>
      <c r="S15" s="131"/>
      <c r="T15" s="131"/>
      <c r="U15" s="131"/>
      <c r="V15" s="131"/>
      <c r="W15" s="131"/>
      <c r="X15" s="131"/>
      <c r="Y15" s="131"/>
      <c r="Z15" s="131"/>
      <c r="AJ15" s="278"/>
      <c r="AK15" s="278"/>
      <c r="AL15" s="278"/>
      <c r="AM15" s="278"/>
      <c r="AN15" s="278"/>
    </row>
    <row r="16" spans="1:40" x14ac:dyDescent="0.25">
      <c r="A16" s="282"/>
      <c r="B16" s="414" t="str">
        <f>B60</f>
        <v xml:space="preserve">Transcranial Doppler (TCD) ultrasound -hours </v>
      </c>
      <c r="C16" s="404"/>
      <c r="D16" s="398">
        <f t="shared" ref="D16:I16" si="4">D64</f>
        <v>0</v>
      </c>
      <c r="E16" s="398">
        <f t="shared" si="4"/>
        <v>0</v>
      </c>
      <c r="F16" s="398">
        <f t="shared" si="4"/>
        <v>0</v>
      </c>
      <c r="G16" s="398">
        <f t="shared" si="4"/>
        <v>0</v>
      </c>
      <c r="H16" s="398">
        <f t="shared" si="4"/>
        <v>0</v>
      </c>
      <c r="I16" s="398">
        <f t="shared" si="4"/>
        <v>0</v>
      </c>
      <c r="J16" s="131"/>
      <c r="K16" s="131"/>
      <c r="L16" s="284">
        <f>L64</f>
        <v>0</v>
      </c>
      <c r="M16" s="284">
        <f t="shared" ref="M16:Q16" si="5">M64</f>
        <v>0</v>
      </c>
      <c r="N16" s="284">
        <f t="shared" si="5"/>
        <v>0</v>
      </c>
      <c r="O16" s="284">
        <f t="shared" si="5"/>
        <v>0</v>
      </c>
      <c r="P16" s="284">
        <f t="shared" si="5"/>
        <v>0</v>
      </c>
      <c r="Q16" s="284">
        <f t="shared" si="5"/>
        <v>0</v>
      </c>
      <c r="R16" s="131"/>
      <c r="S16" s="131"/>
      <c r="T16" s="131"/>
      <c r="U16" s="131"/>
      <c r="V16" s="131"/>
      <c r="W16" s="131"/>
      <c r="X16" s="131"/>
      <c r="Y16" s="131"/>
      <c r="Z16" s="131"/>
    </row>
    <row r="17" spans="1:40" x14ac:dyDescent="0.25">
      <c r="A17" s="282"/>
      <c r="B17" s="414" t="str">
        <f>B67</f>
        <v>Lung Diffusion Testing (DLCO) - number of tests</v>
      </c>
      <c r="C17" s="404"/>
      <c r="D17" s="398">
        <f>D71</f>
        <v>0</v>
      </c>
      <c r="E17" s="398">
        <f t="shared" ref="E17:I17" si="6">E71</f>
        <v>0</v>
      </c>
      <c r="F17" s="398">
        <f t="shared" si="6"/>
        <v>0</v>
      </c>
      <c r="G17" s="398">
        <f t="shared" si="6"/>
        <v>0</v>
      </c>
      <c r="H17" s="398">
        <f t="shared" si="6"/>
        <v>0</v>
      </c>
      <c r="I17" s="398">
        <f t="shared" si="6"/>
        <v>0</v>
      </c>
      <c r="J17" s="131"/>
      <c r="K17" s="131"/>
      <c r="L17" s="202"/>
      <c r="M17" s="202"/>
      <c r="N17" s="202"/>
      <c r="O17" s="202"/>
      <c r="P17" s="392"/>
      <c r="Q17" s="392"/>
      <c r="R17" s="131"/>
      <c r="S17" s="131"/>
      <c r="T17" s="131"/>
      <c r="U17" s="131"/>
      <c r="V17" s="131"/>
      <c r="W17" s="131"/>
      <c r="X17" s="131"/>
      <c r="Y17" s="131"/>
      <c r="Z17" s="131"/>
    </row>
    <row r="18" spans="1:40" x14ac:dyDescent="0.25">
      <c r="A18" s="282"/>
      <c r="B18" s="414" t="str">
        <f>B74</f>
        <v>Lung Diffusion Testing (DLCO) - hours</v>
      </c>
      <c r="C18" s="404"/>
      <c r="D18" s="398">
        <f>D78</f>
        <v>0</v>
      </c>
      <c r="E18" s="398">
        <f t="shared" ref="E18:I18" si="7">E78</f>
        <v>0</v>
      </c>
      <c r="F18" s="398">
        <f t="shared" si="7"/>
        <v>0</v>
      </c>
      <c r="G18" s="398">
        <f t="shared" si="7"/>
        <v>0</v>
      </c>
      <c r="H18" s="398">
        <f t="shared" si="7"/>
        <v>0</v>
      </c>
      <c r="I18" s="398">
        <f t="shared" si="7"/>
        <v>0</v>
      </c>
      <c r="J18" s="131"/>
      <c r="K18" s="131"/>
      <c r="L18" s="284">
        <f>L78</f>
        <v>0</v>
      </c>
      <c r="M18" s="284">
        <f t="shared" ref="M18:Q18" si="8">M78</f>
        <v>0</v>
      </c>
      <c r="N18" s="284">
        <f t="shared" si="8"/>
        <v>0</v>
      </c>
      <c r="O18" s="284">
        <f t="shared" si="8"/>
        <v>0</v>
      </c>
      <c r="P18" s="284">
        <f t="shared" si="8"/>
        <v>0</v>
      </c>
      <c r="Q18" s="284">
        <f t="shared" si="8"/>
        <v>0</v>
      </c>
      <c r="R18" s="131"/>
      <c r="S18" s="131"/>
      <c r="T18" s="131"/>
      <c r="U18" s="131"/>
      <c r="V18" s="131"/>
      <c r="W18" s="131"/>
      <c r="X18" s="131"/>
      <c r="Y18" s="131"/>
      <c r="Z18" s="131"/>
    </row>
    <row r="19" spans="1:40" x14ac:dyDescent="0.25">
      <c r="A19" s="282"/>
      <c r="B19" s="414" t="str">
        <f>B81</f>
        <v>Echocardiogram - number of tests</v>
      </c>
      <c r="C19" s="404"/>
      <c r="D19" s="398">
        <f>D71</f>
        <v>0</v>
      </c>
      <c r="E19" s="398">
        <f t="shared" ref="E19:I19" si="9">E71</f>
        <v>0</v>
      </c>
      <c r="F19" s="398">
        <f t="shared" si="9"/>
        <v>0</v>
      </c>
      <c r="G19" s="398">
        <f t="shared" si="9"/>
        <v>0</v>
      </c>
      <c r="H19" s="398">
        <f t="shared" si="9"/>
        <v>0</v>
      </c>
      <c r="I19" s="398">
        <f t="shared" si="9"/>
        <v>0</v>
      </c>
      <c r="J19" s="131"/>
      <c r="K19" s="131"/>
      <c r="L19" s="202"/>
      <c r="M19" s="202"/>
      <c r="N19" s="202"/>
      <c r="O19" s="202"/>
      <c r="P19" s="392"/>
      <c r="Q19" s="392"/>
      <c r="R19" s="131"/>
      <c r="S19" s="131"/>
      <c r="T19" s="131"/>
      <c r="U19" s="131"/>
      <c r="V19" s="131"/>
      <c r="W19" s="131"/>
      <c r="X19" s="131"/>
      <c r="Y19" s="131"/>
      <c r="Z19" s="131"/>
    </row>
    <row r="20" spans="1:40" x14ac:dyDescent="0.25">
      <c r="A20" s="282"/>
      <c r="B20" s="865" t="str">
        <f>B88</f>
        <v>Echocardiogram - hours</v>
      </c>
      <c r="C20" s="404"/>
      <c r="D20" s="398">
        <f>D92</f>
        <v>0</v>
      </c>
      <c r="E20" s="398">
        <f t="shared" ref="E20:I20" si="10">E92</f>
        <v>0</v>
      </c>
      <c r="F20" s="398">
        <f t="shared" si="10"/>
        <v>0</v>
      </c>
      <c r="G20" s="398">
        <f t="shared" si="10"/>
        <v>0</v>
      </c>
      <c r="H20" s="398">
        <f t="shared" si="10"/>
        <v>0</v>
      </c>
      <c r="I20" s="398">
        <f t="shared" si="10"/>
        <v>0</v>
      </c>
      <c r="J20" s="131"/>
      <c r="K20" s="131"/>
      <c r="L20" s="284">
        <f>L92</f>
        <v>0</v>
      </c>
      <c r="M20" s="284">
        <f t="shared" ref="M20:Q20" si="11">M92</f>
        <v>0</v>
      </c>
      <c r="N20" s="284">
        <f t="shared" si="11"/>
        <v>0</v>
      </c>
      <c r="O20" s="284">
        <f t="shared" si="11"/>
        <v>0</v>
      </c>
      <c r="P20" s="284">
        <f t="shared" si="11"/>
        <v>0</v>
      </c>
      <c r="Q20" s="284">
        <f t="shared" si="11"/>
        <v>0</v>
      </c>
      <c r="R20" s="131"/>
      <c r="S20" s="131"/>
      <c r="T20" s="131"/>
      <c r="U20" s="131"/>
      <c r="V20" s="131"/>
      <c r="W20" s="131"/>
      <c r="X20" s="131"/>
      <c r="Y20" s="131"/>
      <c r="Z20" s="131"/>
    </row>
    <row r="21" spans="1:40" x14ac:dyDescent="0.25">
      <c r="A21" s="310"/>
      <c r="B21" s="872" t="str">
        <f>B96</f>
        <v>Screening clinicial assessment visits with haematologist</v>
      </c>
      <c r="C21" s="365"/>
      <c r="D21" s="397">
        <f>D100</f>
        <v>0</v>
      </c>
      <c r="E21" s="397">
        <f t="shared" ref="E21:I21" si="12">E100</f>
        <v>0</v>
      </c>
      <c r="F21" s="397">
        <f t="shared" si="12"/>
        <v>0</v>
      </c>
      <c r="G21" s="397">
        <f t="shared" si="12"/>
        <v>0</v>
      </c>
      <c r="H21" s="397">
        <f t="shared" si="12"/>
        <v>0</v>
      </c>
      <c r="I21" s="397">
        <f t="shared" si="12"/>
        <v>0</v>
      </c>
      <c r="J21" s="131"/>
      <c r="K21" s="131"/>
      <c r="L21" s="246"/>
      <c r="M21" s="246"/>
      <c r="N21" s="246"/>
      <c r="O21" s="246"/>
      <c r="P21" s="246"/>
      <c r="Q21" s="246"/>
      <c r="R21" s="131"/>
      <c r="S21" s="131"/>
      <c r="T21" s="131"/>
      <c r="U21" s="131"/>
      <c r="V21" s="131"/>
      <c r="W21" s="131"/>
      <c r="X21" s="131"/>
      <c r="Y21" s="131"/>
      <c r="Z21" s="131"/>
    </row>
    <row r="22" spans="1:40" x14ac:dyDescent="0.25">
      <c r="A22" s="310"/>
      <c r="B22" s="412" t="str">
        <f>B104</f>
        <v>Screening clinicial assessment visits with haematologist - hours</v>
      </c>
      <c r="C22" s="415"/>
      <c r="D22" s="397">
        <f>D108</f>
        <v>0</v>
      </c>
      <c r="E22" s="397">
        <f t="shared" ref="E22:I22" si="13">E108</f>
        <v>0</v>
      </c>
      <c r="F22" s="397">
        <f t="shared" si="13"/>
        <v>0</v>
      </c>
      <c r="G22" s="397">
        <f t="shared" si="13"/>
        <v>0</v>
      </c>
      <c r="H22" s="397">
        <f t="shared" si="13"/>
        <v>0</v>
      </c>
      <c r="I22" s="397">
        <f t="shared" si="13"/>
        <v>0</v>
      </c>
      <c r="L22" s="284">
        <f>L108</f>
        <v>0</v>
      </c>
      <c r="M22" s="284">
        <f t="shared" ref="M22:Q22" si="14">M108</f>
        <v>0</v>
      </c>
      <c r="N22" s="284">
        <f t="shared" si="14"/>
        <v>0</v>
      </c>
      <c r="O22" s="284">
        <f t="shared" si="14"/>
        <v>0</v>
      </c>
      <c r="P22" s="284">
        <f t="shared" si="14"/>
        <v>0</v>
      </c>
      <c r="Q22" s="284">
        <f t="shared" si="14"/>
        <v>0</v>
      </c>
      <c r="R22" s="131"/>
      <c r="S22" s="131"/>
      <c r="T22" s="131"/>
      <c r="U22" s="131"/>
      <c r="V22" s="131"/>
      <c r="W22" s="131"/>
      <c r="X22" s="131"/>
      <c r="Y22" s="131"/>
      <c r="Z22" s="131"/>
      <c r="AJ22" s="278"/>
      <c r="AK22" s="278"/>
      <c r="AL22" s="278"/>
      <c r="AM22" s="278"/>
      <c r="AN22" s="278"/>
    </row>
    <row r="23" spans="1:40" x14ac:dyDescent="0.25">
      <c r="A23" s="310"/>
      <c r="B23" s="873" t="str">
        <f>B112</f>
        <v>Appointments with specialist for fertility preservation  - oocyte recovery / sperm collection</v>
      </c>
      <c r="C23" s="365"/>
      <c r="D23" s="397">
        <f>D116</f>
        <v>0</v>
      </c>
      <c r="E23" s="397">
        <f t="shared" ref="E23:I23" si="15">E116</f>
        <v>0</v>
      </c>
      <c r="F23" s="397">
        <f t="shared" si="15"/>
        <v>0</v>
      </c>
      <c r="G23" s="397">
        <f t="shared" si="15"/>
        <v>0</v>
      </c>
      <c r="H23" s="397">
        <f t="shared" si="15"/>
        <v>0</v>
      </c>
      <c r="I23" s="397">
        <f t="shared" si="15"/>
        <v>0</v>
      </c>
      <c r="L23" s="246"/>
      <c r="M23" s="246"/>
      <c r="N23" s="246"/>
      <c r="O23" s="246"/>
      <c r="P23" s="246"/>
      <c r="Q23" s="246"/>
      <c r="R23" s="131"/>
      <c r="S23" s="131"/>
      <c r="T23" s="131"/>
      <c r="U23" s="131"/>
      <c r="V23" s="131"/>
      <c r="W23" s="131"/>
      <c r="X23" s="131"/>
      <c r="Y23" s="131"/>
      <c r="Z23" s="131"/>
      <c r="AJ23" s="278"/>
      <c r="AK23" s="278"/>
      <c r="AL23" s="278"/>
      <c r="AM23" s="278"/>
      <c r="AN23" s="278"/>
    </row>
    <row r="24" spans="1:40" x14ac:dyDescent="0.25">
      <c r="A24" s="310"/>
      <c r="B24" s="873" t="str">
        <f>B120</f>
        <v>Appointments with specialist for fertility preservation  - oocyte recovery / sperm collection time in hours</v>
      </c>
      <c r="C24" s="365"/>
      <c r="D24" s="397">
        <f>D124</f>
        <v>0</v>
      </c>
      <c r="E24" s="397">
        <f t="shared" ref="E24:I24" si="16">E124</f>
        <v>0</v>
      </c>
      <c r="F24" s="397">
        <f t="shared" si="16"/>
        <v>0</v>
      </c>
      <c r="G24" s="397">
        <f t="shared" si="16"/>
        <v>0</v>
      </c>
      <c r="H24" s="397">
        <f t="shared" si="16"/>
        <v>0</v>
      </c>
      <c r="I24" s="397">
        <f t="shared" si="16"/>
        <v>0</v>
      </c>
      <c r="L24" s="874">
        <f>L124</f>
        <v>0</v>
      </c>
      <c r="M24" s="874">
        <f t="shared" ref="M24:Q24" si="17">M124</f>
        <v>0</v>
      </c>
      <c r="N24" s="874">
        <f t="shared" si="17"/>
        <v>0</v>
      </c>
      <c r="O24" s="874">
        <f t="shared" si="17"/>
        <v>0</v>
      </c>
      <c r="P24" s="874">
        <f t="shared" si="17"/>
        <v>0</v>
      </c>
      <c r="Q24" s="874">
        <f t="shared" si="17"/>
        <v>0</v>
      </c>
      <c r="R24" s="131"/>
      <c r="S24" s="131"/>
      <c r="T24" s="131"/>
      <c r="U24" s="131"/>
      <c r="V24" s="131"/>
      <c r="W24" s="131"/>
      <c r="X24" s="131"/>
      <c r="Y24" s="131"/>
      <c r="Z24" s="131"/>
      <c r="AJ24" s="278"/>
      <c r="AK24" s="278"/>
      <c r="AL24" s="278"/>
      <c r="AM24" s="278"/>
      <c r="AN24" s="278"/>
    </row>
    <row r="25" spans="1:40" x14ac:dyDescent="0.25">
      <c r="A25" s="281"/>
      <c r="B25" s="891" t="str">
        <f>B127</f>
        <v xml:space="preserve">Blood transfusions- difference in number of transfusions </v>
      </c>
      <c r="C25" s="892"/>
      <c r="D25" s="393">
        <f>D133</f>
        <v>0</v>
      </c>
      <c r="E25" s="393">
        <f t="shared" ref="E25:I25" si="18">E133</f>
        <v>0</v>
      </c>
      <c r="F25" s="393">
        <f t="shared" si="18"/>
        <v>0</v>
      </c>
      <c r="G25" s="393">
        <f t="shared" si="18"/>
        <v>0</v>
      </c>
      <c r="H25" s="393">
        <f t="shared" si="18"/>
        <v>0</v>
      </c>
      <c r="I25" s="393">
        <f t="shared" si="18"/>
        <v>0</v>
      </c>
      <c r="L25" s="246"/>
      <c r="M25" s="246"/>
      <c r="N25" s="246"/>
      <c r="O25" s="246"/>
      <c r="P25" s="246"/>
      <c r="Q25" s="246"/>
      <c r="R25" s="131"/>
      <c r="S25" s="131"/>
      <c r="T25" s="131"/>
      <c r="U25" s="131"/>
      <c r="V25" s="131"/>
      <c r="W25" s="131"/>
      <c r="X25" s="131"/>
      <c r="Y25" s="131"/>
      <c r="Z25" s="131"/>
      <c r="AJ25" s="278"/>
      <c r="AK25" s="278"/>
      <c r="AL25" s="278"/>
      <c r="AM25" s="278"/>
      <c r="AN25" s="278"/>
    </row>
    <row r="26" spans="1:40" x14ac:dyDescent="0.25">
      <c r="A26" s="281"/>
      <c r="B26" s="891" t="str">
        <f>B136</f>
        <v>Blood transfusions- difference in hours</v>
      </c>
      <c r="C26" s="892"/>
      <c r="D26" s="393">
        <f>D140</f>
        <v>0</v>
      </c>
      <c r="E26" s="393">
        <f t="shared" ref="E26:I26" si="19">E140</f>
        <v>0</v>
      </c>
      <c r="F26" s="393">
        <f t="shared" si="19"/>
        <v>0</v>
      </c>
      <c r="G26" s="393">
        <f t="shared" si="19"/>
        <v>0</v>
      </c>
      <c r="H26" s="393">
        <f t="shared" si="19"/>
        <v>0</v>
      </c>
      <c r="I26" s="393">
        <f t="shared" si="19"/>
        <v>0</v>
      </c>
      <c r="L26" s="874">
        <f>L140</f>
        <v>0</v>
      </c>
      <c r="M26" s="874">
        <f t="shared" ref="M26:Q26" si="20">M140</f>
        <v>0</v>
      </c>
      <c r="N26" s="874">
        <f t="shared" si="20"/>
        <v>0</v>
      </c>
      <c r="O26" s="874">
        <f t="shared" si="20"/>
        <v>0</v>
      </c>
      <c r="P26" s="874">
        <f t="shared" si="20"/>
        <v>0</v>
      </c>
      <c r="Q26" s="874">
        <f t="shared" si="20"/>
        <v>0</v>
      </c>
      <c r="R26" s="131"/>
      <c r="S26" s="131"/>
      <c r="T26" s="131"/>
      <c r="U26" s="131"/>
      <c r="V26" s="131"/>
      <c r="W26" s="131"/>
      <c r="X26" s="131"/>
      <c r="Y26" s="131"/>
      <c r="Z26" s="131"/>
      <c r="AJ26" s="278"/>
      <c r="AK26" s="278"/>
      <c r="AL26" s="278"/>
      <c r="AM26" s="278"/>
      <c r="AN26" s="278"/>
    </row>
    <row r="27" spans="1:40" x14ac:dyDescent="0.25">
      <c r="A27" s="280"/>
      <c r="B27" s="411" t="str">
        <f>B144</f>
        <v>Harvesting procedure - apheresis</v>
      </c>
      <c r="C27" s="882"/>
      <c r="D27" s="396">
        <f>D148</f>
        <v>0</v>
      </c>
      <c r="E27" s="396">
        <f t="shared" ref="E27:I27" si="21">E148</f>
        <v>0</v>
      </c>
      <c r="F27" s="396">
        <f t="shared" si="21"/>
        <v>0</v>
      </c>
      <c r="G27" s="396">
        <f t="shared" si="21"/>
        <v>0</v>
      </c>
      <c r="H27" s="396">
        <f t="shared" si="21"/>
        <v>0</v>
      </c>
      <c r="I27" s="396">
        <f t="shared" si="21"/>
        <v>0</v>
      </c>
      <c r="L27" s="202"/>
      <c r="M27" s="202"/>
      <c r="N27" s="202"/>
      <c r="O27" s="202"/>
      <c r="P27" s="392"/>
      <c r="Q27" s="392"/>
      <c r="R27" s="131"/>
      <c r="S27" s="131"/>
      <c r="T27" s="131"/>
      <c r="U27" s="131"/>
      <c r="V27" s="131"/>
      <c r="W27" s="131"/>
      <c r="X27" s="131"/>
      <c r="Y27" s="131"/>
      <c r="Z27" s="131"/>
      <c r="AJ27" s="278"/>
      <c r="AK27" s="278"/>
      <c r="AL27" s="278"/>
      <c r="AM27" s="278"/>
      <c r="AN27" s="278"/>
    </row>
    <row r="28" spans="1:40" x14ac:dyDescent="0.25">
      <c r="A28" s="280"/>
      <c r="B28" s="411" t="str">
        <f>B151</f>
        <v xml:space="preserve">Harvesting procedure - apheresis -hours </v>
      </c>
      <c r="C28" s="883"/>
      <c r="D28" s="396">
        <f>D155</f>
        <v>0</v>
      </c>
      <c r="E28" s="396">
        <f t="shared" ref="E28:I28" si="22">E155</f>
        <v>0</v>
      </c>
      <c r="F28" s="396">
        <f t="shared" si="22"/>
        <v>0</v>
      </c>
      <c r="G28" s="396">
        <f t="shared" si="22"/>
        <v>0</v>
      </c>
      <c r="H28" s="396">
        <f t="shared" si="22"/>
        <v>0</v>
      </c>
      <c r="I28" s="396">
        <f t="shared" si="22"/>
        <v>0</v>
      </c>
      <c r="L28" s="284">
        <f>L155</f>
        <v>0</v>
      </c>
      <c r="M28" s="284">
        <f t="shared" ref="M28:Q28" si="23">M155</f>
        <v>0</v>
      </c>
      <c r="N28" s="284">
        <f t="shared" si="23"/>
        <v>0</v>
      </c>
      <c r="O28" s="284">
        <f t="shared" si="23"/>
        <v>0</v>
      </c>
      <c r="P28" s="284">
        <f t="shared" si="23"/>
        <v>0</v>
      </c>
      <c r="Q28" s="284">
        <f t="shared" si="23"/>
        <v>0</v>
      </c>
      <c r="R28" s="131"/>
      <c r="S28" s="131"/>
      <c r="T28" s="131"/>
      <c r="U28" s="131"/>
      <c r="V28" s="131"/>
      <c r="W28" s="131"/>
      <c r="X28" s="131"/>
      <c r="Y28" s="131"/>
      <c r="Z28" s="131"/>
      <c r="AJ28" s="278"/>
      <c r="AK28" s="278"/>
      <c r="AL28" s="278"/>
      <c r="AM28" s="278"/>
      <c r="AN28" s="278"/>
    </row>
    <row r="29" spans="1:40" x14ac:dyDescent="0.25">
      <c r="A29" s="280"/>
      <c r="B29" s="411" t="str">
        <f>B159</f>
        <v>Exa-cel treatments - number</v>
      </c>
      <c r="C29" s="883"/>
      <c r="D29" s="396">
        <f>D163</f>
        <v>0</v>
      </c>
      <c r="E29" s="396">
        <f t="shared" ref="E29:I29" si="24">E163</f>
        <v>0</v>
      </c>
      <c r="F29" s="396">
        <f t="shared" si="24"/>
        <v>0</v>
      </c>
      <c r="G29" s="396">
        <f t="shared" si="24"/>
        <v>0</v>
      </c>
      <c r="H29" s="396">
        <f t="shared" si="24"/>
        <v>0</v>
      </c>
      <c r="I29" s="396">
        <f t="shared" si="24"/>
        <v>0</v>
      </c>
      <c r="L29" s="202"/>
      <c r="M29" s="202"/>
      <c r="N29" s="202"/>
      <c r="O29" s="202"/>
      <c r="P29" s="392"/>
      <c r="Q29" s="392"/>
      <c r="R29" s="131"/>
      <c r="S29" s="131"/>
      <c r="T29" s="131"/>
      <c r="U29" s="131"/>
      <c r="V29" s="131"/>
      <c r="W29" s="131"/>
      <c r="X29" s="131"/>
      <c r="Y29" s="131"/>
      <c r="Z29" s="131"/>
      <c r="AJ29" s="278"/>
      <c r="AK29" s="278"/>
      <c r="AL29" s="278"/>
      <c r="AM29" s="278"/>
      <c r="AN29" s="278"/>
    </row>
    <row r="30" spans="1:40" x14ac:dyDescent="0.25">
      <c r="A30" s="280"/>
      <c r="B30" s="411" t="str">
        <f>B166</f>
        <v>Exa-cel treatments - treatment hours</v>
      </c>
      <c r="C30" s="883"/>
      <c r="D30" s="396">
        <f>D170</f>
        <v>0</v>
      </c>
      <c r="E30" s="396">
        <f t="shared" ref="E30:I30" si="25">E170</f>
        <v>0</v>
      </c>
      <c r="F30" s="396">
        <f t="shared" si="25"/>
        <v>0</v>
      </c>
      <c r="G30" s="396">
        <f t="shared" si="25"/>
        <v>0</v>
      </c>
      <c r="H30" s="396">
        <f t="shared" si="25"/>
        <v>0</v>
      </c>
      <c r="I30" s="396">
        <f t="shared" si="25"/>
        <v>0</v>
      </c>
      <c r="L30" s="284">
        <f t="shared" ref="L30:Q30" si="26">L170</f>
        <v>0</v>
      </c>
      <c r="M30" s="284">
        <f t="shared" si="26"/>
        <v>0</v>
      </c>
      <c r="N30" s="284">
        <f t="shared" si="26"/>
        <v>0</v>
      </c>
      <c r="O30" s="284">
        <f t="shared" si="26"/>
        <v>0</v>
      </c>
      <c r="P30" s="284">
        <f t="shared" si="26"/>
        <v>0</v>
      </c>
      <c r="Q30" s="284">
        <f t="shared" si="26"/>
        <v>0</v>
      </c>
      <c r="R30" s="131"/>
      <c r="S30" s="131"/>
      <c r="T30" s="131"/>
      <c r="U30" s="131"/>
      <c r="V30" s="131"/>
      <c r="W30" s="131"/>
      <c r="X30" s="131"/>
      <c r="Y30" s="131"/>
      <c r="Z30" s="131"/>
      <c r="AJ30" s="278"/>
      <c r="AK30" s="278"/>
      <c r="AL30" s="278"/>
      <c r="AM30" s="278"/>
      <c r="AN30" s="278"/>
    </row>
    <row r="31" spans="1:40" x14ac:dyDescent="0.25">
      <c r="A31" s="885"/>
      <c r="B31" s="886" t="str">
        <f>B174</f>
        <v xml:space="preserve">Mobilisation cycles  - length of stay prior to treatment  </v>
      </c>
      <c r="C31" s="887"/>
      <c r="D31" s="888">
        <f>D178</f>
        <v>0</v>
      </c>
      <c r="E31" s="888">
        <f t="shared" ref="E31:I31" si="27">E178</f>
        <v>0</v>
      </c>
      <c r="F31" s="888">
        <f t="shared" si="27"/>
        <v>0</v>
      </c>
      <c r="G31" s="888">
        <f t="shared" si="27"/>
        <v>0</v>
      </c>
      <c r="H31" s="888">
        <f t="shared" si="27"/>
        <v>0</v>
      </c>
      <c r="I31" s="888">
        <f t="shared" si="27"/>
        <v>0</v>
      </c>
      <c r="L31" s="284">
        <f>L178</f>
        <v>0</v>
      </c>
      <c r="M31" s="284">
        <f t="shared" ref="M31:Q31" si="28">M178</f>
        <v>0</v>
      </c>
      <c r="N31" s="284">
        <f t="shared" si="28"/>
        <v>0</v>
      </c>
      <c r="O31" s="284">
        <f t="shared" si="28"/>
        <v>0</v>
      </c>
      <c r="P31" s="284">
        <f t="shared" si="28"/>
        <v>0</v>
      </c>
      <c r="Q31" s="284">
        <f t="shared" si="28"/>
        <v>0</v>
      </c>
      <c r="R31" s="131"/>
      <c r="S31" s="131"/>
      <c r="T31" s="131"/>
      <c r="U31" s="131"/>
      <c r="V31" s="131"/>
      <c r="W31" s="131"/>
      <c r="X31" s="131"/>
      <c r="Y31" s="131"/>
      <c r="Z31" s="131"/>
      <c r="AJ31" s="278"/>
      <c r="AK31" s="278"/>
      <c r="AL31" s="278"/>
      <c r="AM31" s="278"/>
      <c r="AN31" s="278"/>
    </row>
    <row r="32" spans="1:40" x14ac:dyDescent="0.25">
      <c r="A32" s="885"/>
      <c r="B32" s="927" t="str">
        <f>B181</f>
        <v>Treatment  - length of stay post transplant</v>
      </c>
      <c r="C32" s="928"/>
      <c r="D32" s="929">
        <f>D185</f>
        <v>0</v>
      </c>
      <c r="E32" s="929">
        <f t="shared" ref="E32:I32" si="29">E185</f>
        <v>0</v>
      </c>
      <c r="F32" s="929">
        <f t="shared" si="29"/>
        <v>0</v>
      </c>
      <c r="G32" s="929">
        <f t="shared" si="29"/>
        <v>0</v>
      </c>
      <c r="H32" s="929">
        <f t="shared" si="29"/>
        <v>0</v>
      </c>
      <c r="I32" s="929">
        <f t="shared" si="29"/>
        <v>0</v>
      </c>
      <c r="L32" s="284">
        <f>L185</f>
        <v>0</v>
      </c>
      <c r="M32" s="284">
        <f t="shared" ref="M32:Q32" si="30">M185</f>
        <v>0</v>
      </c>
      <c r="N32" s="284">
        <f t="shared" si="30"/>
        <v>0</v>
      </c>
      <c r="O32" s="284">
        <f t="shared" si="30"/>
        <v>0</v>
      </c>
      <c r="P32" s="284">
        <f t="shared" si="30"/>
        <v>0</v>
      </c>
      <c r="Q32" s="284">
        <f t="shared" si="30"/>
        <v>0</v>
      </c>
      <c r="R32" s="131"/>
      <c r="S32" s="131"/>
      <c r="T32" s="131"/>
      <c r="U32" s="131"/>
      <c r="V32" s="131"/>
      <c r="W32" s="131"/>
      <c r="X32" s="131"/>
      <c r="Y32" s="131"/>
      <c r="Z32" s="131"/>
      <c r="AJ32" s="278"/>
      <c r="AK32" s="278"/>
      <c r="AL32" s="278"/>
      <c r="AM32" s="278"/>
      <c r="AN32" s="278"/>
    </row>
    <row r="33" spans="1:40" x14ac:dyDescent="0.25">
      <c r="A33" s="931"/>
      <c r="B33" s="933" t="str">
        <f>B189</f>
        <v xml:space="preserve">Number of aseptic pharmacy preparations </v>
      </c>
      <c r="C33" s="934"/>
      <c r="D33" s="932">
        <f>D193</f>
        <v>0</v>
      </c>
      <c r="E33" s="932">
        <f t="shared" ref="E33:I33" si="31">E193</f>
        <v>0</v>
      </c>
      <c r="F33" s="932">
        <f t="shared" si="31"/>
        <v>0</v>
      </c>
      <c r="G33" s="932">
        <f t="shared" si="31"/>
        <v>0</v>
      </c>
      <c r="H33" s="932">
        <f t="shared" si="31"/>
        <v>0</v>
      </c>
      <c r="I33" s="932">
        <f t="shared" si="31"/>
        <v>0</v>
      </c>
      <c r="L33" s="202"/>
      <c r="M33" s="202"/>
      <c r="N33" s="202"/>
      <c r="O33" s="202"/>
      <c r="P33" s="392"/>
      <c r="Q33" s="392"/>
      <c r="R33" s="131"/>
      <c r="S33" s="131"/>
      <c r="T33" s="131"/>
      <c r="U33" s="131"/>
      <c r="V33" s="131"/>
      <c r="W33" s="131"/>
      <c r="X33" s="131"/>
      <c r="Y33" s="131"/>
      <c r="Z33" s="131"/>
      <c r="AJ33" s="278"/>
      <c r="AK33" s="278"/>
      <c r="AL33" s="278"/>
      <c r="AM33" s="278"/>
      <c r="AN33" s="278"/>
    </row>
    <row r="34" spans="1:40" x14ac:dyDescent="0.25">
      <c r="A34" s="930"/>
      <c r="B34" s="933" t="str">
        <f>B196</f>
        <v>Time of aeseptic preaparations - hours</v>
      </c>
      <c r="C34" s="934"/>
      <c r="D34" s="399">
        <f>D200</f>
        <v>0</v>
      </c>
      <c r="E34" s="399">
        <f t="shared" ref="E34:I34" si="32">E200</f>
        <v>0</v>
      </c>
      <c r="F34" s="399">
        <f t="shared" si="32"/>
        <v>0</v>
      </c>
      <c r="G34" s="399">
        <f t="shared" si="32"/>
        <v>0</v>
      </c>
      <c r="H34" s="399">
        <f t="shared" si="32"/>
        <v>0</v>
      </c>
      <c r="I34" s="399">
        <f t="shared" si="32"/>
        <v>0</v>
      </c>
      <c r="L34" s="284">
        <f>L200</f>
        <v>0</v>
      </c>
      <c r="M34" s="284">
        <f t="shared" ref="M34:Q34" si="33">M200</f>
        <v>0</v>
      </c>
      <c r="N34" s="284">
        <f t="shared" si="33"/>
        <v>0</v>
      </c>
      <c r="O34" s="284">
        <f t="shared" si="33"/>
        <v>0</v>
      </c>
      <c r="P34" s="284">
        <f t="shared" si="33"/>
        <v>0</v>
      </c>
      <c r="Q34" s="284">
        <f t="shared" si="33"/>
        <v>0</v>
      </c>
      <c r="R34" s="131"/>
      <c r="S34" s="131"/>
      <c r="T34" s="131"/>
      <c r="U34" s="131"/>
      <c r="V34" s="131"/>
      <c r="W34" s="131"/>
      <c r="X34" s="131"/>
      <c r="Y34" s="131"/>
      <c r="Z34" s="131"/>
      <c r="AJ34" s="278"/>
      <c r="AK34" s="278"/>
      <c r="AL34" s="278"/>
      <c r="AM34" s="278"/>
      <c r="AN34" s="278"/>
    </row>
    <row r="35" spans="1:40" x14ac:dyDescent="0.25">
      <c r="B35" s="241"/>
      <c r="D35" s="278"/>
      <c r="F35" s="131"/>
      <c r="G35" s="131"/>
      <c r="H35" s="131"/>
      <c r="I35" s="131"/>
      <c r="J35" s="131"/>
      <c r="K35" s="131"/>
      <c r="L35" s="285">
        <f>SUM(L13:L34)</f>
        <v>0</v>
      </c>
      <c r="M35" s="285">
        <f t="shared" ref="M35:Q35" si="34">SUM(M13:M34)</f>
        <v>0</v>
      </c>
      <c r="N35" s="285">
        <f t="shared" si="34"/>
        <v>0</v>
      </c>
      <c r="O35" s="285">
        <f t="shared" si="34"/>
        <v>0</v>
      </c>
      <c r="P35" s="285">
        <f t="shared" si="34"/>
        <v>0</v>
      </c>
      <c r="Q35" s="285">
        <f t="shared" si="34"/>
        <v>0</v>
      </c>
      <c r="R35" s="131"/>
      <c r="S35" s="131"/>
      <c r="T35" s="131"/>
      <c r="U35" s="131"/>
      <c r="V35" s="131"/>
      <c r="W35" s="131"/>
      <c r="X35" s="131"/>
      <c r="Y35" s="131"/>
      <c r="Z35" s="131"/>
    </row>
    <row r="36" spans="1:40" x14ac:dyDescent="0.25">
      <c r="B36" s="302"/>
      <c r="C36" s="302"/>
      <c r="D36" s="302"/>
      <c r="E36" s="302"/>
      <c r="F36" s="302"/>
      <c r="G36" s="302"/>
      <c r="H36" s="302"/>
      <c r="I36" s="302"/>
      <c r="J36" s="302"/>
      <c r="K36" s="302"/>
      <c r="L36" s="302"/>
      <c r="P36" s="131"/>
      <c r="Q36" s="131"/>
      <c r="R36" s="131"/>
      <c r="S36" s="131"/>
      <c r="V36" s="131"/>
      <c r="W36" s="131"/>
      <c r="X36" s="131"/>
      <c r="Y36" s="131"/>
      <c r="Z36" s="131"/>
      <c r="AJ36" s="278"/>
      <c r="AK36" s="278"/>
      <c r="AL36" s="278"/>
      <c r="AM36" s="278"/>
      <c r="AN36" s="278"/>
    </row>
    <row r="37" spans="1:40" x14ac:dyDescent="0.25">
      <c r="B37" s="352" t="s">
        <v>800</v>
      </c>
      <c r="C37" s="353"/>
      <c r="D37" s="353"/>
      <c r="E37" s="354"/>
      <c r="F37" s="353"/>
      <c r="G37" s="355"/>
      <c r="H37" s="356"/>
      <c r="I37" s="356"/>
      <c r="J37" s="356"/>
      <c r="K37" s="356"/>
      <c r="L37" s="356"/>
      <c r="M37" s="356"/>
      <c r="N37" s="356"/>
      <c r="O37" s="356"/>
      <c r="P37" s="356"/>
      <c r="Q37" s="357"/>
      <c r="R37" s="131"/>
      <c r="S37" s="131"/>
      <c r="T37" s="131"/>
      <c r="U37" s="131"/>
      <c r="V37" s="131"/>
      <c r="W37" s="131"/>
      <c r="X37" s="131"/>
      <c r="Y37" s="131"/>
      <c r="Z37" s="131"/>
      <c r="AJ37" s="278"/>
      <c r="AK37" s="278"/>
      <c r="AL37" s="278"/>
      <c r="AM37" s="278"/>
      <c r="AN37" s="278"/>
    </row>
    <row r="38" spans="1:40" x14ac:dyDescent="0.25">
      <c r="A38" s="282"/>
      <c r="B38" s="306" t="s">
        <v>808</v>
      </c>
      <c r="C38" s="293"/>
      <c r="D38" s="294"/>
      <c r="E38" s="295"/>
      <c r="F38" s="296"/>
      <c r="G38" s="296"/>
      <c r="H38" s="296"/>
      <c r="I38" s="404"/>
      <c r="J38" s="282"/>
      <c r="K38" s="282"/>
      <c r="L38" s="282"/>
      <c r="M38" s="282"/>
      <c r="N38" s="282"/>
      <c r="O38" s="282"/>
      <c r="P38" s="282"/>
      <c r="Q38" s="216"/>
      <c r="R38" s="131"/>
      <c r="S38" s="131"/>
      <c r="T38" s="131"/>
      <c r="U38" s="131"/>
      <c r="V38" s="131"/>
      <c r="W38" s="131"/>
      <c r="X38" s="131"/>
      <c r="Y38" s="131"/>
      <c r="Z38" s="131"/>
      <c r="AJ38" s="278"/>
      <c r="AK38" s="278"/>
      <c r="AL38" s="278"/>
      <c r="AM38" s="278"/>
      <c r="AN38" s="278"/>
    </row>
    <row r="39" spans="1:40" x14ac:dyDescent="0.25">
      <c r="A39" s="282"/>
      <c r="B39" s="374" t="s">
        <v>1083</v>
      </c>
      <c r="C39" s="375"/>
      <c r="D39" s="375"/>
      <c r="E39" s="375"/>
      <c r="F39" s="375"/>
      <c r="G39" s="375"/>
      <c r="H39" s="375"/>
      <c r="I39" s="215"/>
      <c r="J39" s="216"/>
      <c r="K39" s="216"/>
      <c r="L39" s="216"/>
      <c r="M39" s="216"/>
      <c r="N39" s="216"/>
      <c r="O39" s="216"/>
      <c r="P39" s="216"/>
      <c r="Q39" s="216"/>
      <c r="R39" s="131"/>
      <c r="S39" s="131"/>
      <c r="T39" s="131"/>
      <c r="U39" s="131"/>
      <c r="V39" s="131"/>
      <c r="W39" s="131"/>
      <c r="X39" s="131"/>
      <c r="Y39" s="131"/>
      <c r="Z39" s="131"/>
      <c r="AJ39" s="278"/>
      <c r="AK39" s="278"/>
      <c r="AL39" s="278"/>
      <c r="AM39" s="278"/>
      <c r="AN39" s="278"/>
    </row>
    <row r="40" spans="1:40" ht="45" x14ac:dyDescent="0.25">
      <c r="A40" s="282"/>
      <c r="B40" s="271" t="s">
        <v>741</v>
      </c>
      <c r="C40" s="163" t="s">
        <v>809</v>
      </c>
      <c r="D40" s="394" t="s">
        <v>792</v>
      </c>
      <c r="E40" s="250" t="s">
        <v>672</v>
      </c>
      <c r="F40" s="250" t="s">
        <v>673</v>
      </c>
      <c r="G40" s="162" t="s">
        <v>766</v>
      </c>
      <c r="H40" s="162" t="s">
        <v>767</v>
      </c>
      <c r="I40" s="250" t="s">
        <v>768</v>
      </c>
      <c r="J40" s="282"/>
      <c r="K40" s="834"/>
      <c r="L40" s="835"/>
      <c r="M40" s="836"/>
      <c r="N40" s="836"/>
      <c r="O40" s="836"/>
      <c r="P40" s="836"/>
      <c r="Q40" s="836"/>
      <c r="R40" s="131"/>
      <c r="S40" s="131"/>
      <c r="T40" s="131"/>
      <c r="U40" s="131"/>
      <c r="V40" s="131"/>
      <c r="W40" s="131"/>
      <c r="X40" s="131"/>
      <c r="Y40" s="131"/>
      <c r="Z40" s="131"/>
      <c r="AJ40" s="278"/>
      <c r="AK40" s="278"/>
      <c r="AL40" s="278"/>
      <c r="AM40" s="278"/>
      <c r="AN40" s="278"/>
    </row>
    <row r="41" spans="1:40" x14ac:dyDescent="0.25">
      <c r="A41" s="282"/>
      <c r="B41" s="331" t="s">
        <v>1082</v>
      </c>
      <c r="C41" s="147">
        <f>'Inputs and eligible population'!H121</f>
        <v>1</v>
      </c>
      <c r="D41" s="126">
        <f>'Inputs and eligible population'!F50*'Capacity (local prices)'!$C41</f>
        <v>0</v>
      </c>
      <c r="E41" s="126">
        <f>'Inputs and eligible population'!G50*'Capacity (local prices)'!$C41</f>
        <v>0</v>
      </c>
      <c r="F41" s="126">
        <f>'Inputs and eligible population'!H50*'Capacity (local prices)'!$C41</f>
        <v>0</v>
      </c>
      <c r="G41" s="126">
        <f>'Inputs and eligible population'!I50*'Capacity (local prices)'!$C41</f>
        <v>0</v>
      </c>
      <c r="H41" s="126">
        <f>'Inputs and eligible population'!J50*'Capacity (local prices)'!$C41</f>
        <v>0</v>
      </c>
      <c r="I41" s="126">
        <f>'Inputs and eligible population'!K50*'Capacity (local prices)'!$C41</f>
        <v>0</v>
      </c>
      <c r="J41" s="282"/>
      <c r="K41" s="837"/>
      <c r="L41" s="838"/>
      <c r="M41" s="838"/>
      <c r="N41" s="838"/>
      <c r="O41" s="838"/>
      <c r="P41" s="838"/>
      <c r="Q41" s="838"/>
      <c r="R41" s="131"/>
      <c r="S41" s="131"/>
      <c r="T41" s="131"/>
      <c r="U41" s="131"/>
      <c r="V41" s="131"/>
      <c r="W41" s="131"/>
      <c r="X41" s="131"/>
      <c r="Y41" s="131"/>
      <c r="Z41" s="131"/>
      <c r="AJ41" s="278"/>
      <c r="AK41" s="278"/>
      <c r="AL41" s="278"/>
      <c r="AM41" s="278"/>
      <c r="AN41" s="278"/>
    </row>
    <row r="42" spans="1:40" x14ac:dyDescent="0.25">
      <c r="A42" s="282"/>
      <c r="B42" s="331" t="s">
        <v>1081</v>
      </c>
      <c r="C42" s="147">
        <f>'Inputs and eligible population'!G121</f>
        <v>1</v>
      </c>
      <c r="D42" s="126">
        <f>'Inputs and eligible population'!F51*'Capacity (local prices)'!$C42</f>
        <v>0</v>
      </c>
      <c r="E42" s="126">
        <f>'Inputs and eligible population'!G51*'Capacity (local prices)'!$C42</f>
        <v>0</v>
      </c>
      <c r="F42" s="126">
        <f>'Inputs and eligible population'!H51*'Capacity (local prices)'!$C42</f>
        <v>0</v>
      </c>
      <c r="G42" s="126">
        <f>'Inputs and eligible population'!I51*'Capacity (local prices)'!$C42</f>
        <v>0</v>
      </c>
      <c r="H42" s="126">
        <f>'Inputs and eligible population'!J51*'Capacity (local prices)'!$C42</f>
        <v>0</v>
      </c>
      <c r="I42" s="126">
        <f>'Inputs and eligible population'!K51*'Capacity (local prices)'!$C42</f>
        <v>0</v>
      </c>
      <c r="J42" s="282"/>
      <c r="K42" s="837"/>
      <c r="L42" s="838"/>
      <c r="M42" s="838"/>
      <c r="N42" s="838"/>
      <c r="O42" s="838"/>
      <c r="P42" s="838"/>
      <c r="Q42" s="838"/>
      <c r="R42" s="131"/>
      <c r="S42" s="131"/>
      <c r="T42" s="131"/>
      <c r="U42" s="131"/>
      <c r="V42" s="131"/>
      <c r="W42" s="131"/>
      <c r="X42" s="131"/>
      <c r="Y42" s="131"/>
      <c r="Z42" s="131"/>
      <c r="AJ42" s="278"/>
      <c r="AK42" s="278"/>
      <c r="AL42" s="278"/>
      <c r="AM42" s="278"/>
      <c r="AN42" s="278"/>
    </row>
    <row r="43" spans="1:40" x14ac:dyDescent="0.25">
      <c r="A43" s="282"/>
      <c r="B43" s="275"/>
      <c r="C43" s="202"/>
      <c r="D43" s="182">
        <f t="shared" ref="D43:I43" si="35">SUM(D41:D42)</f>
        <v>0</v>
      </c>
      <c r="E43" s="182">
        <f t="shared" si="35"/>
        <v>0</v>
      </c>
      <c r="F43" s="182">
        <f t="shared" si="35"/>
        <v>0</v>
      </c>
      <c r="G43" s="182">
        <f>SUM(G41:G42)</f>
        <v>0</v>
      </c>
      <c r="H43" s="182">
        <f t="shared" si="35"/>
        <v>0</v>
      </c>
      <c r="I43" s="182">
        <f t="shared" si="35"/>
        <v>0</v>
      </c>
      <c r="J43" s="282"/>
      <c r="K43" s="282"/>
      <c r="L43" s="839"/>
      <c r="M43" s="839"/>
      <c r="N43" s="839"/>
      <c r="O43" s="839"/>
      <c r="P43" s="839"/>
      <c r="Q43" s="839"/>
      <c r="R43" s="131"/>
      <c r="S43" s="131"/>
      <c r="T43" s="131"/>
      <c r="U43" s="131"/>
      <c r="V43" s="131"/>
      <c r="W43" s="131"/>
      <c r="X43" s="131"/>
      <c r="Y43" s="131"/>
      <c r="Z43" s="131"/>
      <c r="AJ43" s="278"/>
      <c r="AK43" s="278"/>
      <c r="AL43" s="278"/>
      <c r="AM43" s="278"/>
      <c r="AN43" s="278"/>
    </row>
    <row r="44" spans="1:40" x14ac:dyDescent="0.25">
      <c r="A44" s="282"/>
      <c r="B44" s="291"/>
      <c r="C44" s="251"/>
      <c r="D44" s="277" t="s">
        <v>788</v>
      </c>
      <c r="E44" s="182">
        <f>E43-$D$43</f>
        <v>0</v>
      </c>
      <c r="F44" s="182">
        <f>F43-$D$43</f>
        <v>0</v>
      </c>
      <c r="G44" s="182">
        <f>G43-$D$43</f>
        <v>0</v>
      </c>
      <c r="H44" s="182">
        <f>H43-$D$43</f>
        <v>0</v>
      </c>
      <c r="I44" s="182">
        <f>I43-$D$43</f>
        <v>0</v>
      </c>
      <c r="J44" s="282"/>
      <c r="K44" s="282"/>
      <c r="L44" s="282"/>
      <c r="M44" s="839"/>
      <c r="N44" s="839"/>
      <c r="O44" s="839"/>
      <c r="P44" s="839"/>
      <c r="Q44" s="839"/>
      <c r="V44" s="131"/>
    </row>
    <row r="45" spans="1:40" x14ac:dyDescent="0.25">
      <c r="A45" s="282"/>
      <c r="B45" s="307"/>
      <c r="C45" s="216"/>
      <c r="D45" s="216"/>
      <c r="E45" s="216"/>
      <c r="F45" s="216"/>
      <c r="G45" s="216"/>
      <c r="H45" s="216"/>
      <c r="I45" s="216"/>
      <c r="J45" s="282"/>
      <c r="K45" s="282"/>
      <c r="L45" s="216"/>
      <c r="M45" s="216"/>
      <c r="N45" s="216"/>
      <c r="O45" s="216"/>
      <c r="P45" s="216"/>
      <c r="Q45" s="216"/>
      <c r="V45" s="131"/>
    </row>
    <row r="46" spans="1:40" x14ac:dyDescent="0.25">
      <c r="A46" s="282"/>
      <c r="B46" s="374" t="s">
        <v>1084</v>
      </c>
      <c r="C46" s="375"/>
      <c r="D46" s="375"/>
      <c r="E46" s="375"/>
      <c r="F46" s="375"/>
      <c r="G46" s="375"/>
      <c r="H46" s="375"/>
      <c r="I46" s="215"/>
      <c r="J46" s="282"/>
      <c r="K46" s="282"/>
      <c r="L46" s="401"/>
      <c r="M46" s="401"/>
      <c r="N46" s="401"/>
      <c r="O46" s="401"/>
      <c r="P46" s="401"/>
      <c r="Q46" s="401"/>
      <c r="R46" s="131"/>
      <c r="S46" s="131"/>
      <c r="T46" s="131"/>
      <c r="U46" s="131"/>
      <c r="V46" s="131"/>
      <c r="W46" s="131"/>
      <c r="X46" s="131"/>
      <c r="Y46" s="131"/>
      <c r="Z46" s="131"/>
      <c r="AJ46" s="278"/>
      <c r="AK46" s="278"/>
      <c r="AL46" s="278"/>
      <c r="AM46" s="278"/>
      <c r="AN46" s="278"/>
    </row>
    <row r="47" spans="1:40" ht="45" x14ac:dyDescent="0.25">
      <c r="A47" s="282"/>
      <c r="B47" s="271" t="s">
        <v>741</v>
      </c>
      <c r="C47" s="163" t="s">
        <v>1085</v>
      </c>
      <c r="D47" s="394" t="s">
        <v>792</v>
      </c>
      <c r="E47" s="250" t="s">
        <v>672</v>
      </c>
      <c r="F47" s="250" t="s">
        <v>673</v>
      </c>
      <c r="G47" s="162" t="s">
        <v>766</v>
      </c>
      <c r="H47" s="162" t="s">
        <v>767</v>
      </c>
      <c r="I47" s="250" t="s">
        <v>768</v>
      </c>
      <c r="J47" s="282"/>
      <c r="K47" s="506" t="s">
        <v>802</v>
      </c>
      <c r="L47" s="394" t="s">
        <v>792</v>
      </c>
      <c r="M47" s="250" t="s">
        <v>672</v>
      </c>
      <c r="N47" s="250" t="s">
        <v>673</v>
      </c>
      <c r="O47" s="162" t="s">
        <v>766</v>
      </c>
      <c r="P47" s="162" t="s">
        <v>767</v>
      </c>
      <c r="Q47" s="250" t="s">
        <v>768</v>
      </c>
      <c r="R47" s="131"/>
      <c r="S47" s="131"/>
      <c r="T47" s="131"/>
      <c r="U47" s="131"/>
      <c r="V47" s="131"/>
      <c r="W47" s="131"/>
      <c r="X47" s="131"/>
      <c r="Y47" s="131"/>
      <c r="Z47" s="131"/>
      <c r="AJ47" s="278"/>
      <c r="AK47" s="278"/>
      <c r="AL47" s="278"/>
      <c r="AM47" s="278"/>
      <c r="AN47" s="278"/>
    </row>
    <row r="48" spans="1:40" x14ac:dyDescent="0.25">
      <c r="A48" s="282"/>
      <c r="B48" s="331" t="s">
        <v>1082</v>
      </c>
      <c r="C48" s="147">
        <f>'Inputs and eligible population'!H122</f>
        <v>30</v>
      </c>
      <c r="D48" s="126">
        <f>D41*'Capacity (local prices)'!$C48/60</f>
        <v>0</v>
      </c>
      <c r="E48" s="126">
        <f>E41*'Capacity (local prices)'!$C48/60</f>
        <v>0</v>
      </c>
      <c r="F48" s="126">
        <f>F41*'Capacity (local prices)'!$C48/60</f>
        <v>0</v>
      </c>
      <c r="G48" s="126">
        <f>G41*'Capacity (local prices)'!$C48/60</f>
        <v>0</v>
      </c>
      <c r="H48" s="126">
        <f>H41*'Capacity (local prices)'!$C48/60</f>
        <v>0</v>
      </c>
      <c r="I48" s="126">
        <f>I41*'Capacity (local prices)'!$C48/60</f>
        <v>0</v>
      </c>
      <c r="J48" s="282"/>
      <c r="K48" s="522">
        <f>'Inputs and eligible population'!L122</f>
        <v>42.84</v>
      </c>
      <c r="L48" s="284">
        <f>(D48*$K48/1000)</f>
        <v>0</v>
      </c>
      <c r="M48" s="284">
        <f t="shared" ref="M48:Q49" si="36">(E48*$K48/1000)</f>
        <v>0</v>
      </c>
      <c r="N48" s="284">
        <f t="shared" si="36"/>
        <v>0</v>
      </c>
      <c r="O48" s="284">
        <f t="shared" si="36"/>
        <v>0</v>
      </c>
      <c r="P48" s="284">
        <f t="shared" si="36"/>
        <v>0</v>
      </c>
      <c r="Q48" s="284">
        <f t="shared" si="36"/>
        <v>0</v>
      </c>
      <c r="R48" s="131"/>
      <c r="S48" s="131"/>
      <c r="T48" s="131"/>
      <c r="U48" s="131"/>
      <c r="V48" s="131"/>
      <c r="W48" s="131"/>
      <c r="X48" s="131"/>
      <c r="Y48" s="131"/>
      <c r="Z48" s="131"/>
      <c r="AJ48" s="278"/>
      <c r="AK48" s="278"/>
      <c r="AL48" s="278"/>
      <c r="AM48" s="278"/>
      <c r="AN48" s="278"/>
    </row>
    <row r="49" spans="1:40" x14ac:dyDescent="0.25">
      <c r="A49" s="282"/>
      <c r="B49" s="331" t="s">
        <v>1081</v>
      </c>
      <c r="C49" s="147">
        <f>'Inputs and eligible population'!G122</f>
        <v>20</v>
      </c>
      <c r="D49" s="126">
        <f>D42*'Capacity (local prices)'!$C49/60</f>
        <v>0</v>
      </c>
      <c r="E49" s="126">
        <f>E42*'Capacity (local prices)'!$C49/60</f>
        <v>0</v>
      </c>
      <c r="F49" s="126">
        <f>F42*'Capacity (local prices)'!$C49/60</f>
        <v>0</v>
      </c>
      <c r="G49" s="126">
        <f>G42*'Capacity (local prices)'!$C49/60</f>
        <v>0</v>
      </c>
      <c r="H49" s="126">
        <f>H42*'Capacity (local prices)'!$C49/60</f>
        <v>0</v>
      </c>
      <c r="I49" s="126">
        <f>I42*'Capacity (local prices)'!$C49/60</f>
        <v>0</v>
      </c>
      <c r="J49" s="282"/>
      <c r="K49" s="522">
        <f>'Inputs and eligible population'!L122</f>
        <v>42.84</v>
      </c>
      <c r="L49" s="284">
        <f t="shared" ref="L49" si="37">(D49*$K49/1000)</f>
        <v>0</v>
      </c>
      <c r="M49" s="284">
        <f t="shared" si="36"/>
        <v>0</v>
      </c>
      <c r="N49" s="284">
        <f t="shared" si="36"/>
        <v>0</v>
      </c>
      <c r="O49" s="284">
        <f t="shared" si="36"/>
        <v>0</v>
      </c>
      <c r="P49" s="284">
        <f t="shared" si="36"/>
        <v>0</v>
      </c>
      <c r="Q49" s="284">
        <f t="shared" si="36"/>
        <v>0</v>
      </c>
      <c r="R49" s="131"/>
      <c r="S49" s="131"/>
      <c r="T49" s="131"/>
      <c r="U49" s="131"/>
      <c r="V49" s="131"/>
      <c r="W49" s="131"/>
      <c r="X49" s="131"/>
      <c r="Y49" s="131"/>
      <c r="Z49" s="131"/>
      <c r="AJ49" s="278"/>
      <c r="AK49" s="278"/>
      <c r="AL49" s="278"/>
      <c r="AM49" s="278"/>
      <c r="AN49" s="278"/>
    </row>
    <row r="50" spans="1:40" x14ac:dyDescent="0.25">
      <c r="A50" s="282"/>
      <c r="B50" s="275"/>
      <c r="C50" s="202"/>
      <c r="D50" s="182">
        <f t="shared" ref="D50:I50" si="38">SUM(D48:D49)</f>
        <v>0</v>
      </c>
      <c r="E50" s="182">
        <f t="shared" si="38"/>
        <v>0</v>
      </c>
      <c r="F50" s="182">
        <f t="shared" si="38"/>
        <v>0</v>
      </c>
      <c r="G50" s="182">
        <f t="shared" si="38"/>
        <v>0</v>
      </c>
      <c r="H50" s="182">
        <f t="shared" si="38"/>
        <v>0</v>
      </c>
      <c r="I50" s="182">
        <f t="shared" si="38"/>
        <v>0</v>
      </c>
      <c r="J50" s="282"/>
      <c r="K50" s="282"/>
      <c r="L50" s="285">
        <f t="shared" ref="L50:Q50" si="39">SUM(L48:L49)</f>
        <v>0</v>
      </c>
      <c r="M50" s="285">
        <f t="shared" si="39"/>
        <v>0</v>
      </c>
      <c r="N50" s="285">
        <f t="shared" si="39"/>
        <v>0</v>
      </c>
      <c r="O50" s="285">
        <f t="shared" si="39"/>
        <v>0</v>
      </c>
      <c r="P50" s="285">
        <f t="shared" si="39"/>
        <v>0</v>
      </c>
      <c r="Q50" s="285">
        <f t="shared" si="39"/>
        <v>0</v>
      </c>
      <c r="R50" s="131"/>
      <c r="S50" s="131"/>
      <c r="T50" s="131"/>
      <c r="U50" s="131"/>
      <c r="V50" s="131"/>
      <c r="W50" s="131"/>
      <c r="X50" s="131"/>
      <c r="Y50" s="131"/>
      <c r="Z50" s="131"/>
      <c r="AJ50" s="278"/>
      <c r="AK50" s="278"/>
      <c r="AL50" s="278"/>
      <c r="AM50" s="278"/>
      <c r="AN50" s="278"/>
    </row>
    <row r="51" spans="1:40" x14ac:dyDescent="0.25">
      <c r="A51" s="282"/>
      <c r="B51" s="291"/>
      <c r="C51" s="251"/>
      <c r="D51" s="277" t="s">
        <v>1141</v>
      </c>
      <c r="E51" s="182">
        <f>E50-$D$50</f>
        <v>0</v>
      </c>
      <c r="F51" s="182">
        <f>F50-$D$50</f>
        <v>0</v>
      </c>
      <c r="G51" s="182">
        <f>G50-$D$50</f>
        <v>0</v>
      </c>
      <c r="H51" s="182">
        <f>H50-$D$50</f>
        <v>0</v>
      </c>
      <c r="I51" s="182">
        <f>I50-$D$50</f>
        <v>0</v>
      </c>
      <c r="J51" s="282"/>
      <c r="K51" s="282"/>
      <c r="L51" s="499"/>
      <c r="M51" s="285">
        <f>M50-$L$50</f>
        <v>0</v>
      </c>
      <c r="N51" s="285">
        <f>N50-$L$50</f>
        <v>0</v>
      </c>
      <c r="O51" s="285">
        <f>O50-$L$50</f>
        <v>0</v>
      </c>
      <c r="P51" s="285">
        <f>P50-$L$50</f>
        <v>0</v>
      </c>
      <c r="Q51" s="285">
        <f>Q50-$L$50</f>
        <v>0</v>
      </c>
      <c r="V51" s="131"/>
    </row>
    <row r="52" spans="1:40" x14ac:dyDescent="0.25">
      <c r="A52" s="282"/>
      <c r="B52" s="307"/>
      <c r="C52" s="216"/>
      <c r="D52" s="216"/>
      <c r="E52" s="216"/>
      <c r="F52" s="216"/>
      <c r="G52" s="216"/>
      <c r="H52" s="216"/>
      <c r="I52" s="216"/>
      <c r="J52" s="216"/>
      <c r="K52" s="216"/>
      <c r="L52" s="216"/>
      <c r="M52" s="216"/>
      <c r="N52" s="216"/>
      <c r="O52" s="216"/>
      <c r="P52" s="216"/>
      <c r="Q52" s="216"/>
      <c r="V52" s="131"/>
    </row>
    <row r="53" spans="1:40" x14ac:dyDescent="0.25">
      <c r="A53" s="282"/>
      <c r="B53" s="374" t="s">
        <v>1086</v>
      </c>
      <c r="C53" s="375"/>
      <c r="D53" s="375"/>
      <c r="E53" s="375"/>
      <c r="F53" s="375"/>
      <c r="G53" s="375"/>
      <c r="H53" s="375"/>
      <c r="I53" s="215"/>
      <c r="J53" s="216"/>
      <c r="K53" s="216"/>
      <c r="L53" s="216"/>
      <c r="M53" s="216"/>
      <c r="N53" s="216"/>
      <c r="O53" s="216"/>
      <c r="P53" s="216"/>
      <c r="Q53" s="216"/>
      <c r="R53" s="131"/>
      <c r="S53" s="131"/>
      <c r="T53" s="131"/>
      <c r="U53" s="131"/>
      <c r="V53" s="131"/>
      <c r="W53" s="131"/>
      <c r="X53" s="131"/>
      <c r="Y53" s="131"/>
      <c r="Z53" s="131"/>
      <c r="AJ53" s="278"/>
      <c r="AK53" s="278"/>
      <c r="AL53" s="278"/>
      <c r="AM53" s="278"/>
      <c r="AN53" s="278"/>
    </row>
    <row r="54" spans="1:40" ht="45" x14ac:dyDescent="0.25">
      <c r="A54" s="282"/>
      <c r="B54" s="271" t="s">
        <v>741</v>
      </c>
      <c r="C54" s="163" t="s">
        <v>1087</v>
      </c>
      <c r="D54" s="394" t="s">
        <v>792</v>
      </c>
      <c r="E54" s="250" t="s">
        <v>672</v>
      </c>
      <c r="F54" s="250" t="s">
        <v>673</v>
      </c>
      <c r="G54" s="162" t="s">
        <v>766</v>
      </c>
      <c r="H54" s="162" t="s">
        <v>767</v>
      </c>
      <c r="I54" s="250" t="s">
        <v>768</v>
      </c>
      <c r="J54" s="282"/>
      <c r="K54" s="282"/>
      <c r="L54" s="216"/>
      <c r="M54" s="216"/>
      <c r="N54" s="216"/>
      <c r="O54" s="216"/>
      <c r="P54" s="216"/>
      <c r="Q54" s="216"/>
      <c r="R54" s="131"/>
      <c r="S54" s="131"/>
      <c r="T54" s="131"/>
      <c r="U54" s="131"/>
      <c r="V54" s="131"/>
      <c r="W54" s="131"/>
      <c r="X54" s="131"/>
      <c r="Y54" s="131"/>
      <c r="Z54" s="131"/>
      <c r="AJ54" s="278"/>
      <c r="AK54" s="278"/>
      <c r="AL54" s="278"/>
      <c r="AM54" s="278"/>
      <c r="AN54" s="278"/>
    </row>
    <row r="55" spans="1:40" x14ac:dyDescent="0.25">
      <c r="A55" s="282"/>
      <c r="B55" s="331" t="s">
        <v>1082</v>
      </c>
      <c r="C55" s="147">
        <f>'Inputs and eligible population'!H123</f>
        <v>1</v>
      </c>
      <c r="D55" s="126">
        <f>'Inputs and eligible population'!F50*'Capacity (local prices)'!$C55</f>
        <v>0</v>
      </c>
      <c r="E55" s="126">
        <f>'Inputs and eligible population'!G50*'Capacity (local prices)'!$C55</f>
        <v>0</v>
      </c>
      <c r="F55" s="126">
        <f>'Inputs and eligible population'!H50*'Capacity (local prices)'!$C55</f>
        <v>0</v>
      </c>
      <c r="G55" s="126">
        <f>'Inputs and eligible population'!I50*'Capacity (local prices)'!$C55</f>
        <v>0</v>
      </c>
      <c r="H55" s="126">
        <f>'Inputs and eligible population'!J50*'Capacity (local prices)'!$C55</f>
        <v>0</v>
      </c>
      <c r="I55" s="126">
        <f>'Inputs and eligible population'!K50*'Capacity (local prices)'!$C55</f>
        <v>0</v>
      </c>
      <c r="J55" s="282"/>
      <c r="K55" s="282"/>
      <c r="L55" s="216"/>
      <c r="M55" s="216"/>
      <c r="N55" s="216"/>
      <c r="O55" s="216"/>
      <c r="P55" s="216"/>
      <c r="Q55" s="216"/>
      <c r="R55" s="131"/>
      <c r="S55" s="131"/>
      <c r="T55" s="131"/>
      <c r="U55" s="131"/>
      <c r="V55" s="131"/>
      <c r="W55" s="131"/>
      <c r="X55" s="131"/>
      <c r="Y55" s="131"/>
      <c r="Z55" s="131"/>
      <c r="AJ55" s="278"/>
      <c r="AK55" s="278"/>
      <c r="AL55" s="278"/>
      <c r="AM55" s="278"/>
      <c r="AN55" s="278"/>
    </row>
    <row r="56" spans="1:40" x14ac:dyDescent="0.25">
      <c r="A56" s="282"/>
      <c r="B56" s="331" t="s">
        <v>1081</v>
      </c>
      <c r="C56" s="147">
        <f>'Inputs and eligible population'!G123</f>
        <v>1</v>
      </c>
      <c r="D56" s="126">
        <f>'Inputs and eligible population'!F51*'Capacity (local prices)'!$C56</f>
        <v>0</v>
      </c>
      <c r="E56" s="126">
        <f>'Inputs and eligible population'!G51*'Capacity (local prices)'!$C56</f>
        <v>0</v>
      </c>
      <c r="F56" s="126">
        <f>'Inputs and eligible population'!H51*'Capacity (local prices)'!$C56</f>
        <v>0</v>
      </c>
      <c r="G56" s="126">
        <f>'Inputs and eligible population'!I51*'Capacity (local prices)'!$C56</f>
        <v>0</v>
      </c>
      <c r="H56" s="126">
        <f>'Inputs and eligible population'!J51*'Capacity (local prices)'!$C56</f>
        <v>0</v>
      </c>
      <c r="I56" s="126">
        <f>'Inputs and eligible population'!K51*'Capacity (local prices)'!$C56</f>
        <v>0</v>
      </c>
      <c r="J56" s="282"/>
      <c r="K56" s="282"/>
      <c r="L56" s="216"/>
      <c r="M56" s="216"/>
      <c r="N56" s="216"/>
      <c r="O56" s="216"/>
      <c r="P56" s="216"/>
      <c r="Q56" s="216"/>
      <c r="R56" s="131"/>
      <c r="S56" s="131"/>
      <c r="T56" s="131"/>
      <c r="U56" s="131"/>
      <c r="V56" s="131"/>
      <c r="W56" s="131"/>
      <c r="X56" s="131"/>
      <c r="Y56" s="131"/>
      <c r="Z56" s="131"/>
      <c r="AJ56" s="278"/>
      <c r="AK56" s="278"/>
      <c r="AL56" s="278"/>
      <c r="AM56" s="278"/>
      <c r="AN56" s="278"/>
    </row>
    <row r="57" spans="1:40" x14ac:dyDescent="0.25">
      <c r="A57" s="282"/>
      <c r="B57" s="275"/>
      <c r="C57" s="202"/>
      <c r="D57" s="182">
        <f t="shared" ref="D57:I57" si="40">SUM(D55:D56)</f>
        <v>0</v>
      </c>
      <c r="E57" s="182">
        <f t="shared" si="40"/>
        <v>0</v>
      </c>
      <c r="F57" s="182">
        <f t="shared" si="40"/>
        <v>0</v>
      </c>
      <c r="G57" s="182">
        <f t="shared" si="40"/>
        <v>0</v>
      </c>
      <c r="H57" s="182">
        <f t="shared" si="40"/>
        <v>0</v>
      </c>
      <c r="I57" s="182">
        <f t="shared" si="40"/>
        <v>0</v>
      </c>
      <c r="J57" s="282"/>
      <c r="K57" s="282"/>
      <c r="L57" s="216"/>
      <c r="M57" s="216"/>
      <c r="N57" s="216"/>
      <c r="O57" s="216"/>
      <c r="P57" s="216"/>
      <c r="Q57" s="216"/>
      <c r="R57" s="131"/>
      <c r="S57" s="131"/>
      <c r="T57" s="131"/>
      <c r="U57" s="131"/>
      <c r="V57" s="131"/>
      <c r="W57" s="131"/>
      <c r="X57" s="131"/>
      <c r="Y57" s="131"/>
      <c r="Z57" s="131"/>
      <c r="AJ57" s="278"/>
      <c r="AK57" s="278"/>
      <c r="AL57" s="278"/>
      <c r="AM57" s="278"/>
      <c r="AN57" s="278"/>
    </row>
    <row r="58" spans="1:40" x14ac:dyDescent="0.25">
      <c r="A58" s="282"/>
      <c r="B58" s="291"/>
      <c r="C58" s="251"/>
      <c r="D58" s="277" t="s">
        <v>1089</v>
      </c>
      <c r="E58" s="182">
        <f>E57-$D$57</f>
        <v>0</v>
      </c>
      <c r="F58" s="182">
        <f>F57-$D$57</f>
        <v>0</v>
      </c>
      <c r="G58" s="182">
        <f>G57-$D$57</f>
        <v>0</v>
      </c>
      <c r="H58" s="182">
        <f>H57-$D$57</f>
        <v>0</v>
      </c>
      <c r="I58" s="182">
        <f>I57-$D$57</f>
        <v>0</v>
      </c>
      <c r="J58" s="282"/>
      <c r="K58" s="282"/>
      <c r="L58" s="216"/>
      <c r="M58" s="216"/>
      <c r="N58" s="216"/>
      <c r="O58" s="216"/>
      <c r="P58" s="216"/>
      <c r="Q58" s="216"/>
      <c r="V58" s="131"/>
    </row>
    <row r="59" spans="1:40" x14ac:dyDescent="0.25">
      <c r="A59" s="282"/>
      <c r="B59" s="296"/>
      <c r="C59" s="296"/>
      <c r="D59" s="840"/>
      <c r="E59" s="841"/>
      <c r="F59" s="841"/>
      <c r="G59" s="841"/>
      <c r="H59" s="841"/>
      <c r="I59" s="841"/>
      <c r="J59" s="282"/>
      <c r="K59" s="282"/>
      <c r="L59" s="216"/>
      <c r="M59" s="216"/>
      <c r="N59" s="216"/>
      <c r="O59" s="216"/>
      <c r="P59" s="216"/>
      <c r="Q59" s="216"/>
      <c r="V59" s="131"/>
    </row>
    <row r="60" spans="1:40" x14ac:dyDescent="0.25">
      <c r="A60" s="282"/>
      <c r="B60" s="374" t="s">
        <v>1088</v>
      </c>
      <c r="C60" s="375"/>
      <c r="D60" s="375"/>
      <c r="E60" s="375"/>
      <c r="F60" s="375"/>
      <c r="G60" s="375"/>
      <c r="H60" s="375"/>
      <c r="I60" s="215"/>
      <c r="J60" s="282"/>
      <c r="K60" s="282"/>
      <c r="L60" s="401"/>
      <c r="M60" s="401"/>
      <c r="N60" s="401"/>
      <c r="O60" s="401"/>
      <c r="P60" s="401"/>
      <c r="Q60" s="401"/>
      <c r="R60" s="131"/>
      <c r="S60" s="131"/>
      <c r="T60" s="131"/>
      <c r="U60" s="131"/>
      <c r="V60" s="131"/>
      <c r="W60" s="131"/>
      <c r="X60" s="131"/>
      <c r="Y60" s="131"/>
      <c r="Z60" s="131"/>
      <c r="AJ60" s="278"/>
      <c r="AK60" s="278"/>
      <c r="AL60" s="278"/>
      <c r="AM60" s="278"/>
      <c r="AN60" s="278"/>
    </row>
    <row r="61" spans="1:40" ht="45" x14ac:dyDescent="0.25">
      <c r="A61" s="282"/>
      <c r="B61" s="271" t="s">
        <v>741</v>
      </c>
      <c r="C61" s="163" t="s">
        <v>1085</v>
      </c>
      <c r="D61" s="394" t="s">
        <v>792</v>
      </c>
      <c r="E61" s="250" t="s">
        <v>672</v>
      </c>
      <c r="F61" s="250" t="s">
        <v>673</v>
      </c>
      <c r="G61" s="162" t="s">
        <v>766</v>
      </c>
      <c r="H61" s="162" t="s">
        <v>767</v>
      </c>
      <c r="I61" s="250" t="s">
        <v>768</v>
      </c>
      <c r="J61" s="282"/>
      <c r="K61" s="506" t="s">
        <v>802</v>
      </c>
      <c r="L61" s="394" t="s">
        <v>792</v>
      </c>
      <c r="M61" s="250" t="s">
        <v>672</v>
      </c>
      <c r="N61" s="250" t="s">
        <v>673</v>
      </c>
      <c r="O61" s="162" t="s">
        <v>766</v>
      </c>
      <c r="P61" s="162" t="s">
        <v>767</v>
      </c>
      <c r="Q61" s="250" t="s">
        <v>768</v>
      </c>
      <c r="R61" s="131"/>
      <c r="S61" s="131"/>
      <c r="T61" s="131"/>
      <c r="U61" s="131"/>
      <c r="V61" s="131"/>
      <c r="W61" s="131"/>
      <c r="X61" s="131"/>
      <c r="Y61" s="131"/>
      <c r="Z61" s="131"/>
      <c r="AJ61" s="278"/>
      <c r="AK61" s="278"/>
      <c r="AL61" s="278"/>
      <c r="AM61" s="278"/>
      <c r="AN61" s="278"/>
    </row>
    <row r="62" spans="1:40" x14ac:dyDescent="0.25">
      <c r="A62" s="282"/>
      <c r="B62" s="331" t="s">
        <v>1082</v>
      </c>
      <c r="C62" s="147">
        <f>'Inputs and eligible population'!H124</f>
        <v>30</v>
      </c>
      <c r="D62" s="126">
        <f>D55*'Capacity (local prices)'!$C62/60</f>
        <v>0</v>
      </c>
      <c r="E62" s="126">
        <f>E55*'Capacity (local prices)'!$C62/60</f>
        <v>0</v>
      </c>
      <c r="F62" s="126">
        <f>F55*'Capacity (local prices)'!$C62/60</f>
        <v>0</v>
      </c>
      <c r="G62" s="126">
        <f>G55*'Capacity (local prices)'!$C62/60</f>
        <v>0</v>
      </c>
      <c r="H62" s="126">
        <f>H55*'Capacity (local prices)'!$C62/60</f>
        <v>0</v>
      </c>
      <c r="I62" s="126">
        <f>I55*'Capacity (local prices)'!$C62/60</f>
        <v>0</v>
      </c>
      <c r="J62" s="282"/>
      <c r="K62" s="522">
        <f>'Inputs and eligible population'!L124</f>
        <v>28.38</v>
      </c>
      <c r="L62" s="284">
        <f>(D62*$K62/1000)</f>
        <v>0</v>
      </c>
      <c r="M62" s="284">
        <f t="shared" ref="M62:M63" si="41">(E62*$K62/1000)</f>
        <v>0</v>
      </c>
      <c r="N62" s="284">
        <f t="shared" ref="N62:N63" si="42">(F62*$K62/1000)</f>
        <v>0</v>
      </c>
      <c r="O62" s="284">
        <f t="shared" ref="O62:O63" si="43">(G62*$K62/1000)</f>
        <v>0</v>
      </c>
      <c r="P62" s="284">
        <f t="shared" ref="P62:P63" si="44">(H62*$K62/1000)</f>
        <v>0</v>
      </c>
      <c r="Q62" s="284">
        <f t="shared" ref="Q62:Q63" si="45">(I62*$K62/1000)</f>
        <v>0</v>
      </c>
      <c r="R62" s="131"/>
      <c r="S62" s="131"/>
      <c r="T62" s="131"/>
      <c r="U62" s="131"/>
      <c r="V62" s="131"/>
      <c r="W62" s="131"/>
      <c r="X62" s="131"/>
      <c r="Y62" s="131"/>
      <c r="Z62" s="131"/>
      <c r="AJ62" s="278"/>
      <c r="AK62" s="278"/>
      <c r="AL62" s="278"/>
      <c r="AM62" s="278"/>
      <c r="AN62" s="278"/>
    </row>
    <row r="63" spans="1:40" x14ac:dyDescent="0.25">
      <c r="A63" s="282"/>
      <c r="B63" s="331" t="s">
        <v>1081</v>
      </c>
      <c r="C63" s="147">
        <f>'Inputs and eligible population'!G124</f>
        <v>20</v>
      </c>
      <c r="D63" s="126">
        <f>D56*'Capacity (local prices)'!$C63/60</f>
        <v>0</v>
      </c>
      <c r="E63" s="126">
        <f>E56*'Capacity (local prices)'!$C63/60</f>
        <v>0</v>
      </c>
      <c r="F63" s="126">
        <f>F56*'Capacity (local prices)'!$C63/60</f>
        <v>0</v>
      </c>
      <c r="G63" s="126">
        <f>G56*'Capacity (local prices)'!$C63/60</f>
        <v>0</v>
      </c>
      <c r="H63" s="126">
        <f>H56*'Capacity (local prices)'!$C63/60</f>
        <v>0</v>
      </c>
      <c r="I63" s="126">
        <f>I56*'Capacity (local prices)'!$C63/60</f>
        <v>0</v>
      </c>
      <c r="J63" s="282"/>
      <c r="K63" s="522">
        <f>'Inputs and eligible population'!L124</f>
        <v>28.38</v>
      </c>
      <c r="L63" s="284">
        <f t="shared" ref="L63" si="46">(D63*$K63/1000)</f>
        <v>0</v>
      </c>
      <c r="M63" s="284">
        <f t="shared" si="41"/>
        <v>0</v>
      </c>
      <c r="N63" s="284">
        <f t="shared" si="42"/>
        <v>0</v>
      </c>
      <c r="O63" s="284">
        <f t="shared" si="43"/>
        <v>0</v>
      </c>
      <c r="P63" s="284">
        <f t="shared" si="44"/>
        <v>0</v>
      </c>
      <c r="Q63" s="284">
        <f t="shared" si="45"/>
        <v>0</v>
      </c>
      <c r="R63" s="131"/>
      <c r="S63" s="131"/>
      <c r="T63" s="131"/>
      <c r="U63" s="131"/>
      <c r="V63" s="131"/>
      <c r="W63" s="131"/>
      <c r="X63" s="131"/>
      <c r="Y63" s="131"/>
      <c r="Z63" s="131"/>
      <c r="AJ63" s="278"/>
      <c r="AK63" s="278"/>
      <c r="AL63" s="278"/>
      <c r="AM63" s="278"/>
      <c r="AN63" s="278"/>
    </row>
    <row r="64" spans="1:40" x14ac:dyDescent="0.25">
      <c r="A64" s="282"/>
      <c r="B64" s="275"/>
      <c r="C64" s="202"/>
      <c r="D64" s="182">
        <f t="shared" ref="D64:I64" si="47">SUM(D62:D63)</f>
        <v>0</v>
      </c>
      <c r="E64" s="182">
        <f t="shared" si="47"/>
        <v>0</v>
      </c>
      <c r="F64" s="182">
        <f t="shared" si="47"/>
        <v>0</v>
      </c>
      <c r="G64" s="182">
        <f t="shared" si="47"/>
        <v>0</v>
      </c>
      <c r="H64" s="182">
        <f t="shared" si="47"/>
        <v>0</v>
      </c>
      <c r="I64" s="182">
        <f t="shared" si="47"/>
        <v>0</v>
      </c>
      <c r="J64" s="282"/>
      <c r="K64" s="282"/>
      <c r="L64" s="285">
        <f t="shared" ref="L64:Q64" si="48">SUM(L62:L63)</f>
        <v>0</v>
      </c>
      <c r="M64" s="285">
        <f t="shared" si="48"/>
        <v>0</v>
      </c>
      <c r="N64" s="285">
        <f t="shared" si="48"/>
        <v>0</v>
      </c>
      <c r="O64" s="285">
        <f t="shared" si="48"/>
        <v>0</v>
      </c>
      <c r="P64" s="285">
        <f t="shared" si="48"/>
        <v>0</v>
      </c>
      <c r="Q64" s="285">
        <f t="shared" si="48"/>
        <v>0</v>
      </c>
      <c r="R64" s="131"/>
      <c r="S64" s="131"/>
      <c r="T64" s="131"/>
      <c r="U64" s="131"/>
      <c r="V64" s="131"/>
      <c r="W64" s="131"/>
      <c r="X64" s="131"/>
      <c r="Y64" s="131"/>
      <c r="Z64" s="131"/>
      <c r="AJ64" s="278"/>
      <c r="AK64" s="278"/>
      <c r="AL64" s="278"/>
      <c r="AM64" s="278"/>
      <c r="AN64" s="278"/>
    </row>
    <row r="65" spans="1:40" x14ac:dyDescent="0.25">
      <c r="A65" s="282"/>
      <c r="B65" s="291"/>
      <c r="C65" s="251"/>
      <c r="D65" s="277" t="s">
        <v>1141</v>
      </c>
      <c r="E65" s="182">
        <f>E64-$D$64</f>
        <v>0</v>
      </c>
      <c r="F65" s="182">
        <f>F64-$D$64</f>
        <v>0</v>
      </c>
      <c r="G65" s="182">
        <f>G64-$D$64</f>
        <v>0</v>
      </c>
      <c r="H65" s="182">
        <f>H64-$D$64</f>
        <v>0</v>
      </c>
      <c r="I65" s="182">
        <f>I64-$D$64</f>
        <v>0</v>
      </c>
      <c r="J65" s="282"/>
      <c r="K65" s="282"/>
      <c r="L65" s="499"/>
      <c r="M65" s="285">
        <f>M64-$L$64</f>
        <v>0</v>
      </c>
      <c r="N65" s="285">
        <f>N64-$L$64</f>
        <v>0</v>
      </c>
      <c r="O65" s="285">
        <f>O64-$L$64</f>
        <v>0</v>
      </c>
      <c r="P65" s="285">
        <f>P64-$L$64</f>
        <v>0</v>
      </c>
      <c r="Q65" s="285">
        <f>Q64-$L$64</f>
        <v>0</v>
      </c>
      <c r="V65" s="131"/>
    </row>
    <row r="66" spans="1:40" x14ac:dyDescent="0.25">
      <c r="A66" s="282"/>
      <c r="B66" s="282"/>
      <c r="C66" s="216"/>
      <c r="D66" s="282"/>
      <c r="E66" s="282"/>
      <c r="F66" s="282"/>
      <c r="G66" s="282"/>
      <c r="H66" s="282"/>
      <c r="I66" s="216"/>
      <c r="J66" s="216"/>
      <c r="K66" s="216"/>
      <c r="L66" s="216"/>
      <c r="M66" s="216"/>
      <c r="N66" s="216"/>
      <c r="O66" s="216"/>
      <c r="P66" s="216"/>
      <c r="Q66" s="216"/>
      <c r="V66" s="131"/>
    </row>
    <row r="67" spans="1:40" x14ac:dyDescent="0.25">
      <c r="A67" s="282"/>
      <c r="B67" s="374" t="s">
        <v>1136</v>
      </c>
      <c r="C67" s="375"/>
      <c r="D67" s="375"/>
      <c r="E67" s="375"/>
      <c r="F67" s="375"/>
      <c r="G67" s="375"/>
      <c r="H67" s="375"/>
      <c r="I67" s="215"/>
      <c r="J67" s="216"/>
      <c r="K67" s="216"/>
      <c r="L67" s="216"/>
      <c r="M67" s="216"/>
      <c r="N67" s="216"/>
      <c r="O67" s="216"/>
      <c r="P67" s="216"/>
      <c r="Q67" s="216"/>
      <c r="R67" s="131"/>
      <c r="S67" s="131"/>
      <c r="T67" s="131"/>
      <c r="U67" s="131"/>
      <c r="V67" s="131"/>
      <c r="W67" s="131"/>
      <c r="X67" s="131"/>
      <c r="Y67" s="131"/>
      <c r="Z67" s="131"/>
      <c r="AJ67" s="278"/>
      <c r="AK67" s="278"/>
      <c r="AL67" s="278"/>
      <c r="AM67" s="278"/>
      <c r="AN67" s="278"/>
    </row>
    <row r="68" spans="1:40" ht="45" x14ac:dyDescent="0.25">
      <c r="A68" s="282"/>
      <c r="B68" s="271" t="s">
        <v>741</v>
      </c>
      <c r="C68" s="163" t="s">
        <v>1137</v>
      </c>
      <c r="D68" s="394" t="s">
        <v>792</v>
      </c>
      <c r="E68" s="250" t="s">
        <v>672</v>
      </c>
      <c r="F68" s="250" t="s">
        <v>673</v>
      </c>
      <c r="G68" s="162" t="s">
        <v>766</v>
      </c>
      <c r="H68" s="162" t="s">
        <v>767</v>
      </c>
      <c r="I68" s="250" t="s">
        <v>768</v>
      </c>
      <c r="J68" s="282"/>
      <c r="K68" s="282"/>
      <c r="L68" s="216"/>
      <c r="M68" s="216"/>
      <c r="N68" s="216"/>
      <c r="O68" s="216"/>
      <c r="P68" s="216"/>
      <c r="Q68" s="216"/>
      <c r="R68" s="131"/>
      <c r="S68" s="131"/>
      <c r="T68" s="131"/>
      <c r="U68" s="131"/>
      <c r="V68" s="131"/>
      <c r="W68" s="131"/>
      <c r="X68" s="131"/>
      <c r="Y68" s="131"/>
      <c r="Z68" s="131"/>
      <c r="AJ68" s="278"/>
      <c r="AK68" s="278"/>
      <c r="AL68" s="278"/>
      <c r="AM68" s="278"/>
      <c r="AN68" s="278"/>
    </row>
    <row r="69" spans="1:40" x14ac:dyDescent="0.25">
      <c r="A69" s="282"/>
      <c r="B69" s="331" t="s">
        <v>1082</v>
      </c>
      <c r="C69" s="147">
        <f>'Inputs and eligible population'!H125</f>
        <v>1</v>
      </c>
      <c r="D69" s="126">
        <f>'Inputs and eligible population'!F50*'Capacity (local prices)'!$C69</f>
        <v>0</v>
      </c>
      <c r="E69" s="126">
        <f>'Inputs and eligible population'!G50*'Capacity (local prices)'!$C69</f>
        <v>0</v>
      </c>
      <c r="F69" s="126">
        <f>'Inputs and eligible population'!H50*'Capacity (local prices)'!$C69</f>
        <v>0</v>
      </c>
      <c r="G69" s="126">
        <f>'Inputs and eligible population'!I50*'Capacity (local prices)'!$C69</f>
        <v>0</v>
      </c>
      <c r="H69" s="126">
        <f>'Inputs and eligible population'!J50*'Capacity (local prices)'!$C69</f>
        <v>0</v>
      </c>
      <c r="I69" s="126">
        <f>'Inputs and eligible population'!K50*'Capacity (local prices)'!$C69</f>
        <v>0</v>
      </c>
      <c r="J69" s="282"/>
      <c r="K69" s="282"/>
      <c r="L69" s="216"/>
      <c r="M69" s="216"/>
      <c r="N69" s="216"/>
      <c r="O69" s="216"/>
      <c r="P69" s="216"/>
      <c r="Q69" s="216"/>
      <c r="R69" s="131"/>
      <c r="S69" s="131"/>
      <c r="T69" s="131"/>
      <c r="U69" s="131"/>
      <c r="V69" s="131"/>
      <c r="W69" s="131"/>
      <c r="X69" s="131"/>
      <c r="Y69" s="131"/>
      <c r="Z69" s="131"/>
      <c r="AJ69" s="278"/>
      <c r="AK69" s="278"/>
      <c r="AL69" s="278"/>
      <c r="AM69" s="278"/>
      <c r="AN69" s="278"/>
    </row>
    <row r="70" spans="1:40" x14ac:dyDescent="0.25">
      <c r="A70" s="282"/>
      <c r="B70" s="331" t="s">
        <v>1081</v>
      </c>
      <c r="C70" s="147">
        <f>'Inputs and eligible population'!G125</f>
        <v>1</v>
      </c>
      <c r="D70" s="126">
        <f>'Inputs and eligible population'!F51*'Capacity (local prices)'!$C70</f>
        <v>0</v>
      </c>
      <c r="E70" s="126">
        <f>'Inputs and eligible population'!G51*'Capacity (local prices)'!$C70</f>
        <v>0</v>
      </c>
      <c r="F70" s="126">
        <f>'Inputs and eligible population'!H51*'Capacity (local prices)'!$C70</f>
        <v>0</v>
      </c>
      <c r="G70" s="126">
        <f>'Inputs and eligible population'!I51*'Capacity (local prices)'!$C70</f>
        <v>0</v>
      </c>
      <c r="H70" s="126">
        <f>'Inputs and eligible population'!J51*'Capacity (local prices)'!$C70</f>
        <v>0</v>
      </c>
      <c r="I70" s="126">
        <f>'Inputs and eligible population'!K51*'Capacity (local prices)'!$C70</f>
        <v>0</v>
      </c>
      <c r="J70" s="282"/>
      <c r="K70" s="282"/>
      <c r="L70" s="216"/>
      <c r="M70" s="216"/>
      <c r="N70" s="216"/>
      <c r="O70" s="216"/>
      <c r="P70" s="216"/>
      <c r="Q70" s="216"/>
      <c r="R70" s="131"/>
      <c r="S70" s="131"/>
      <c r="T70" s="131"/>
      <c r="U70" s="131"/>
      <c r="V70" s="131"/>
      <c r="W70" s="131"/>
      <c r="X70" s="131"/>
      <c r="Y70" s="131"/>
      <c r="Z70" s="131"/>
      <c r="AJ70" s="278"/>
      <c r="AK70" s="278"/>
      <c r="AL70" s="278"/>
      <c r="AM70" s="278"/>
      <c r="AN70" s="278"/>
    </row>
    <row r="71" spans="1:40" x14ac:dyDescent="0.25">
      <c r="A71" s="282"/>
      <c r="B71" s="275"/>
      <c r="C71" s="202"/>
      <c r="D71" s="182">
        <f t="shared" ref="D71" si="49">SUM(D69:D70)</f>
        <v>0</v>
      </c>
      <c r="E71" s="182">
        <f t="shared" ref="E71" si="50">SUM(E69:E70)</f>
        <v>0</v>
      </c>
      <c r="F71" s="182">
        <f t="shared" ref="F71" si="51">SUM(F69:F70)</f>
        <v>0</v>
      </c>
      <c r="G71" s="182">
        <f t="shared" ref="G71" si="52">SUM(G69:G70)</f>
        <v>0</v>
      </c>
      <c r="H71" s="182">
        <f t="shared" ref="H71" si="53">SUM(H69:H70)</f>
        <v>0</v>
      </c>
      <c r="I71" s="182">
        <f t="shared" ref="I71" si="54">SUM(I69:I70)</f>
        <v>0</v>
      </c>
      <c r="J71" s="282"/>
      <c r="K71" s="282"/>
      <c r="L71" s="216"/>
      <c r="M71" s="216"/>
      <c r="N71" s="216"/>
      <c r="O71" s="216"/>
      <c r="P71" s="216"/>
      <c r="Q71" s="216"/>
      <c r="R71" s="131"/>
      <c r="S71" s="131"/>
      <c r="T71" s="131"/>
      <c r="U71" s="131"/>
      <c r="V71" s="131"/>
      <c r="W71" s="131"/>
      <c r="X71" s="131"/>
      <c r="Y71" s="131"/>
      <c r="Z71" s="131"/>
      <c r="AJ71" s="278"/>
      <c r="AK71" s="278"/>
      <c r="AL71" s="278"/>
      <c r="AM71" s="278"/>
      <c r="AN71" s="278"/>
    </row>
    <row r="72" spans="1:40" x14ac:dyDescent="0.25">
      <c r="A72" s="282"/>
      <c r="B72" s="291"/>
      <c r="C72" s="251"/>
      <c r="D72" s="277" t="s">
        <v>1138</v>
      </c>
      <c r="E72" s="182">
        <f>E71-$D$71</f>
        <v>0</v>
      </c>
      <c r="F72" s="182">
        <f>F71-$D$71</f>
        <v>0</v>
      </c>
      <c r="G72" s="182">
        <f>G71-$D$71</f>
        <v>0</v>
      </c>
      <c r="H72" s="182">
        <f>H71-$D$71</f>
        <v>0</v>
      </c>
      <c r="I72" s="182">
        <f>I71-$D$71</f>
        <v>0</v>
      </c>
      <c r="J72" s="282"/>
      <c r="K72" s="282"/>
      <c r="L72" s="216"/>
      <c r="M72" s="216"/>
      <c r="N72" s="216"/>
      <c r="O72" s="216"/>
      <c r="P72" s="216"/>
      <c r="Q72" s="216"/>
      <c r="V72" s="131"/>
    </row>
    <row r="73" spans="1:40" x14ac:dyDescent="0.25">
      <c r="A73" s="282"/>
      <c r="B73" s="296"/>
      <c r="C73" s="296"/>
      <c r="D73" s="840"/>
      <c r="E73" s="841"/>
      <c r="F73" s="841"/>
      <c r="G73" s="841"/>
      <c r="H73" s="841"/>
      <c r="I73" s="841"/>
      <c r="J73" s="282"/>
      <c r="K73" s="282"/>
      <c r="L73" s="216"/>
      <c r="M73" s="216"/>
      <c r="N73" s="216"/>
      <c r="O73" s="216"/>
      <c r="P73" s="216"/>
      <c r="Q73" s="216"/>
      <c r="V73" s="131"/>
    </row>
    <row r="74" spans="1:40" x14ac:dyDescent="0.25">
      <c r="A74" s="282"/>
      <c r="B74" s="374" t="s">
        <v>1139</v>
      </c>
      <c r="C74" s="375"/>
      <c r="D74" s="375"/>
      <c r="E74" s="375"/>
      <c r="F74" s="375"/>
      <c r="G74" s="375"/>
      <c r="H74" s="375"/>
      <c r="I74" s="215"/>
      <c r="J74" s="282"/>
      <c r="K74" s="282"/>
      <c r="L74" s="401"/>
      <c r="M74" s="401"/>
      <c r="N74" s="401"/>
      <c r="O74" s="401"/>
      <c r="P74" s="401"/>
      <c r="Q74" s="401"/>
      <c r="R74" s="131"/>
      <c r="S74" s="131"/>
      <c r="T74" s="131"/>
      <c r="U74" s="131"/>
      <c r="V74" s="131"/>
      <c r="W74" s="131"/>
      <c r="X74" s="131"/>
      <c r="Y74" s="131"/>
      <c r="Z74" s="131"/>
      <c r="AJ74" s="278"/>
      <c r="AK74" s="278"/>
      <c r="AL74" s="278"/>
      <c r="AM74" s="278"/>
      <c r="AN74" s="278"/>
    </row>
    <row r="75" spans="1:40" ht="45" x14ac:dyDescent="0.25">
      <c r="A75" s="282"/>
      <c r="B75" s="271" t="s">
        <v>741</v>
      </c>
      <c r="C75" s="163" t="s">
        <v>1140</v>
      </c>
      <c r="D75" s="394" t="s">
        <v>792</v>
      </c>
      <c r="E75" s="250" t="s">
        <v>672</v>
      </c>
      <c r="F75" s="250" t="s">
        <v>673</v>
      </c>
      <c r="G75" s="162" t="s">
        <v>766</v>
      </c>
      <c r="H75" s="162" t="s">
        <v>767</v>
      </c>
      <c r="I75" s="250" t="s">
        <v>768</v>
      </c>
      <c r="J75" s="282"/>
      <c r="K75" s="506" t="s">
        <v>802</v>
      </c>
      <c r="L75" s="394" t="s">
        <v>792</v>
      </c>
      <c r="M75" s="250" t="s">
        <v>672</v>
      </c>
      <c r="N75" s="250" t="s">
        <v>673</v>
      </c>
      <c r="O75" s="162" t="s">
        <v>766</v>
      </c>
      <c r="P75" s="162" t="s">
        <v>767</v>
      </c>
      <c r="Q75" s="250" t="s">
        <v>768</v>
      </c>
      <c r="R75" s="131"/>
      <c r="S75" s="131"/>
      <c r="T75" s="131"/>
      <c r="U75" s="131"/>
      <c r="V75" s="131"/>
      <c r="W75" s="131"/>
      <c r="X75" s="131"/>
      <c r="Y75" s="131"/>
      <c r="Z75" s="131"/>
      <c r="AJ75" s="278"/>
      <c r="AK75" s="278"/>
      <c r="AL75" s="278"/>
      <c r="AM75" s="278"/>
      <c r="AN75" s="278"/>
    </row>
    <row r="76" spans="1:40" x14ac:dyDescent="0.25">
      <c r="A76" s="282"/>
      <c r="B76" s="331" t="s">
        <v>1082</v>
      </c>
      <c r="C76" s="147">
        <f>'Inputs and eligible population'!H126</f>
        <v>30</v>
      </c>
      <c r="D76" s="126">
        <f>D69*'Capacity (local prices)'!$C76/60</f>
        <v>0</v>
      </c>
      <c r="E76" s="126">
        <f>E69*'Capacity (local prices)'!$C76/60</f>
        <v>0</v>
      </c>
      <c r="F76" s="126">
        <f>F69*'Capacity (local prices)'!$C76/60</f>
        <v>0</v>
      </c>
      <c r="G76" s="126">
        <f>G69*'Capacity (local prices)'!$C76/60</f>
        <v>0</v>
      </c>
      <c r="H76" s="126">
        <f>H69*'Capacity (local prices)'!$C76/60</f>
        <v>0</v>
      </c>
      <c r="I76" s="126">
        <f>I69*'Capacity (local prices)'!$C76/60</f>
        <v>0</v>
      </c>
      <c r="J76" s="282"/>
      <c r="K76" s="522">
        <f>'Inputs and eligible population'!L126</f>
        <v>28.38</v>
      </c>
      <c r="L76" s="284">
        <f>(D76*$K76/1000)</f>
        <v>0</v>
      </c>
      <c r="M76" s="284">
        <f t="shared" ref="M76:M77" si="55">(E76*$K76/1000)</f>
        <v>0</v>
      </c>
      <c r="N76" s="284">
        <f t="shared" ref="N76:N77" si="56">(F76*$K76/1000)</f>
        <v>0</v>
      </c>
      <c r="O76" s="284">
        <f t="shared" ref="O76:O77" si="57">(G76*$K76/1000)</f>
        <v>0</v>
      </c>
      <c r="P76" s="284">
        <f t="shared" ref="P76:P77" si="58">(H76*$K76/1000)</f>
        <v>0</v>
      </c>
      <c r="Q76" s="284">
        <f t="shared" ref="Q76:Q77" si="59">(I76*$K76/1000)</f>
        <v>0</v>
      </c>
      <c r="R76" s="131"/>
      <c r="S76" s="131"/>
      <c r="T76" s="131"/>
      <c r="U76" s="131"/>
      <c r="V76" s="131"/>
      <c r="W76" s="131"/>
      <c r="X76" s="131"/>
      <c r="Y76" s="131"/>
      <c r="Z76" s="131"/>
      <c r="AJ76" s="278"/>
      <c r="AK76" s="278"/>
      <c r="AL76" s="278"/>
      <c r="AM76" s="278"/>
      <c r="AN76" s="278"/>
    </row>
    <row r="77" spans="1:40" x14ac:dyDescent="0.25">
      <c r="A77" s="282"/>
      <c r="B77" s="331" t="s">
        <v>1081</v>
      </c>
      <c r="C77" s="147">
        <f>'Inputs and eligible population'!G126</f>
        <v>20</v>
      </c>
      <c r="D77" s="126">
        <f>D70*'Capacity (local prices)'!$C77/60</f>
        <v>0</v>
      </c>
      <c r="E77" s="126">
        <f>E70*'Capacity (local prices)'!$C77/60</f>
        <v>0</v>
      </c>
      <c r="F77" s="126">
        <f>F70*'Capacity (local prices)'!$C77/60</f>
        <v>0</v>
      </c>
      <c r="G77" s="126">
        <f>G70*'Capacity (local prices)'!$C77/60</f>
        <v>0</v>
      </c>
      <c r="H77" s="126">
        <f>H70*'Capacity (local prices)'!$C77/60</f>
        <v>0</v>
      </c>
      <c r="I77" s="126">
        <f>I70*'Capacity (local prices)'!$C77/60</f>
        <v>0</v>
      </c>
      <c r="J77" s="282"/>
      <c r="K77" s="522">
        <f>'Inputs and eligible population'!L126</f>
        <v>28.38</v>
      </c>
      <c r="L77" s="284">
        <f t="shared" ref="L77" si="60">(D77*$K77/1000)</f>
        <v>0</v>
      </c>
      <c r="M77" s="284">
        <f t="shared" si="55"/>
        <v>0</v>
      </c>
      <c r="N77" s="284">
        <f t="shared" si="56"/>
        <v>0</v>
      </c>
      <c r="O77" s="284">
        <f t="shared" si="57"/>
        <v>0</v>
      </c>
      <c r="P77" s="284">
        <f t="shared" si="58"/>
        <v>0</v>
      </c>
      <c r="Q77" s="284">
        <f t="shared" si="59"/>
        <v>0</v>
      </c>
      <c r="R77" s="131"/>
      <c r="S77" s="131"/>
      <c r="T77" s="131"/>
      <c r="U77" s="131"/>
      <c r="V77" s="131"/>
      <c r="W77" s="131"/>
      <c r="X77" s="131"/>
      <c r="Y77" s="131"/>
      <c r="Z77" s="131"/>
      <c r="AJ77" s="278"/>
      <c r="AK77" s="278"/>
      <c r="AL77" s="278"/>
      <c r="AM77" s="278"/>
      <c r="AN77" s="278"/>
    </row>
    <row r="78" spans="1:40" x14ac:dyDescent="0.25">
      <c r="A78" s="282"/>
      <c r="B78" s="275"/>
      <c r="C78" s="202"/>
      <c r="D78" s="182">
        <f t="shared" ref="D78" si="61">SUM(D76:D77)</f>
        <v>0</v>
      </c>
      <c r="E78" s="182">
        <f t="shared" ref="E78" si="62">SUM(E76:E77)</f>
        <v>0</v>
      </c>
      <c r="F78" s="182">
        <f t="shared" ref="F78" si="63">SUM(F76:F77)</f>
        <v>0</v>
      </c>
      <c r="G78" s="182">
        <f t="shared" ref="G78" si="64">SUM(G76:G77)</f>
        <v>0</v>
      </c>
      <c r="H78" s="182">
        <f t="shared" ref="H78" si="65">SUM(H76:H77)</f>
        <v>0</v>
      </c>
      <c r="I78" s="182">
        <f t="shared" ref="I78" si="66">SUM(I76:I77)</f>
        <v>0</v>
      </c>
      <c r="J78" s="282"/>
      <c r="K78" s="282"/>
      <c r="L78" s="285">
        <f t="shared" ref="L78" si="67">SUM(L76:L77)</f>
        <v>0</v>
      </c>
      <c r="M78" s="285">
        <f t="shared" ref="M78" si="68">SUM(M76:M77)</f>
        <v>0</v>
      </c>
      <c r="N78" s="285">
        <f t="shared" ref="N78" si="69">SUM(N76:N77)</f>
        <v>0</v>
      </c>
      <c r="O78" s="285">
        <f t="shared" ref="O78" si="70">SUM(O76:O77)</f>
        <v>0</v>
      </c>
      <c r="P78" s="285">
        <f t="shared" ref="P78" si="71">SUM(P76:P77)</f>
        <v>0</v>
      </c>
      <c r="Q78" s="285">
        <f t="shared" ref="Q78" si="72">SUM(Q76:Q77)</f>
        <v>0</v>
      </c>
      <c r="R78" s="131"/>
      <c r="S78" s="131"/>
      <c r="T78" s="131"/>
      <c r="U78" s="131"/>
      <c r="V78" s="131"/>
      <c r="W78" s="131"/>
      <c r="X78" s="131"/>
      <c r="Y78" s="131"/>
      <c r="Z78" s="131"/>
      <c r="AJ78" s="278"/>
      <c r="AK78" s="278"/>
      <c r="AL78" s="278"/>
      <c r="AM78" s="278"/>
      <c r="AN78" s="278"/>
    </row>
    <row r="79" spans="1:40" x14ac:dyDescent="0.25">
      <c r="A79" s="282"/>
      <c r="B79" s="291"/>
      <c r="C79" s="251"/>
      <c r="D79" s="277" t="s">
        <v>1141</v>
      </c>
      <c r="E79" s="182">
        <f>E78-$D$78</f>
        <v>0</v>
      </c>
      <c r="F79" s="182">
        <f>F78-$D$78</f>
        <v>0</v>
      </c>
      <c r="G79" s="182">
        <f>G78-$D$78</f>
        <v>0</v>
      </c>
      <c r="H79" s="182">
        <f>H78-$D$78</f>
        <v>0</v>
      </c>
      <c r="I79" s="182">
        <f>I78-$D$78</f>
        <v>0</v>
      </c>
      <c r="J79" s="282"/>
      <c r="K79" s="282"/>
      <c r="L79" s="499"/>
      <c r="M79" s="285">
        <f>M78-$L$78</f>
        <v>0</v>
      </c>
      <c r="N79" s="285">
        <f>N78-$L$78</f>
        <v>0</v>
      </c>
      <c r="O79" s="285">
        <f>O78-$L$78</f>
        <v>0</v>
      </c>
      <c r="P79" s="285">
        <f>P78-$L$78</f>
        <v>0</v>
      </c>
      <c r="Q79" s="285">
        <f>Q78-$L$78</f>
        <v>0</v>
      </c>
      <c r="V79" s="131"/>
    </row>
    <row r="80" spans="1:40" x14ac:dyDescent="0.25">
      <c r="A80" s="282"/>
      <c r="B80" s="864"/>
      <c r="C80" s="296"/>
      <c r="D80" s="840"/>
      <c r="E80" s="841"/>
      <c r="F80" s="841"/>
      <c r="G80" s="841"/>
      <c r="H80" s="841"/>
      <c r="I80" s="416"/>
      <c r="J80" s="282"/>
      <c r="K80" s="282"/>
      <c r="L80" s="282"/>
      <c r="M80" s="839"/>
      <c r="N80" s="839"/>
      <c r="O80" s="839"/>
      <c r="P80" s="839"/>
      <c r="Q80" s="839"/>
      <c r="V80" s="131"/>
    </row>
    <row r="81" spans="1:40" x14ac:dyDescent="0.25">
      <c r="A81" s="282"/>
      <c r="B81" s="374" t="s">
        <v>1142</v>
      </c>
      <c r="C81" s="375"/>
      <c r="D81" s="375"/>
      <c r="E81" s="375"/>
      <c r="F81" s="375"/>
      <c r="G81" s="375"/>
      <c r="H81" s="375"/>
      <c r="I81" s="215"/>
      <c r="J81" s="216"/>
      <c r="K81" s="216"/>
      <c r="L81" s="216"/>
      <c r="M81" s="216"/>
      <c r="N81" s="216"/>
      <c r="O81" s="216"/>
      <c r="P81" s="216"/>
      <c r="Q81" s="216"/>
      <c r="R81" s="131"/>
      <c r="S81" s="131"/>
      <c r="T81" s="131"/>
      <c r="U81" s="131"/>
      <c r="V81" s="131"/>
      <c r="W81" s="131"/>
      <c r="X81" s="131"/>
      <c r="Y81" s="131"/>
      <c r="Z81" s="131"/>
      <c r="AJ81" s="278"/>
      <c r="AK81" s="278"/>
      <c r="AL81" s="278"/>
      <c r="AM81" s="278"/>
      <c r="AN81" s="278"/>
    </row>
    <row r="82" spans="1:40" ht="45" x14ac:dyDescent="0.25">
      <c r="A82" s="282"/>
      <c r="B82" s="271" t="s">
        <v>741</v>
      </c>
      <c r="C82" s="163" t="s">
        <v>1143</v>
      </c>
      <c r="D82" s="394" t="s">
        <v>792</v>
      </c>
      <c r="E82" s="250" t="s">
        <v>672</v>
      </c>
      <c r="F82" s="250" t="s">
        <v>673</v>
      </c>
      <c r="G82" s="162" t="s">
        <v>766</v>
      </c>
      <c r="H82" s="162" t="s">
        <v>767</v>
      </c>
      <c r="I82" s="250" t="s">
        <v>768</v>
      </c>
      <c r="J82" s="282"/>
      <c r="K82" s="282"/>
      <c r="L82" s="216"/>
      <c r="M82" s="216"/>
      <c r="N82" s="216"/>
      <c r="O82" s="216"/>
      <c r="P82" s="216"/>
      <c r="Q82" s="216"/>
      <c r="R82" s="131"/>
      <c r="S82" s="131"/>
      <c r="T82" s="131"/>
      <c r="U82" s="131"/>
      <c r="V82" s="131"/>
      <c r="W82" s="131"/>
      <c r="X82" s="131"/>
      <c r="Y82" s="131"/>
      <c r="Z82" s="131"/>
      <c r="AJ82" s="278"/>
      <c r="AK82" s="278"/>
      <c r="AL82" s="278"/>
      <c r="AM82" s="278"/>
      <c r="AN82" s="278"/>
    </row>
    <row r="83" spans="1:40" x14ac:dyDescent="0.25">
      <c r="A83" s="282"/>
      <c r="B83" s="331" t="s">
        <v>1082</v>
      </c>
      <c r="C83" s="147">
        <f>'Inputs and eligible population'!H127</f>
        <v>1</v>
      </c>
      <c r="D83" s="126">
        <f>'Inputs and eligible population'!F50*'Capacity (local prices)'!$C83</f>
        <v>0</v>
      </c>
      <c r="E83" s="126">
        <f>'Inputs and eligible population'!G50*'Capacity (local prices)'!$C83</f>
        <v>0</v>
      </c>
      <c r="F83" s="126">
        <f>'Inputs and eligible population'!H50*'Capacity (local prices)'!$C83</f>
        <v>0</v>
      </c>
      <c r="G83" s="126">
        <f>'Inputs and eligible population'!I50*'Capacity (local prices)'!$C83</f>
        <v>0</v>
      </c>
      <c r="H83" s="126">
        <f>'Inputs and eligible population'!J50*'Capacity (local prices)'!$C83</f>
        <v>0</v>
      </c>
      <c r="I83" s="126">
        <f>'Inputs and eligible population'!K50*'Capacity (local prices)'!$C83</f>
        <v>0</v>
      </c>
      <c r="J83" s="282"/>
      <c r="K83" s="282"/>
      <c r="L83" s="216"/>
      <c r="M83" s="216"/>
      <c r="N83" s="216"/>
      <c r="O83" s="216"/>
      <c r="P83" s="216"/>
      <c r="Q83" s="216"/>
      <c r="R83" s="131"/>
      <c r="S83" s="131"/>
      <c r="T83" s="131"/>
      <c r="U83" s="131"/>
      <c r="V83" s="131"/>
      <c r="W83" s="131"/>
      <c r="X83" s="131"/>
      <c r="Y83" s="131"/>
      <c r="Z83" s="131"/>
      <c r="AJ83" s="278"/>
      <c r="AK83" s="278"/>
      <c r="AL83" s="278"/>
      <c r="AM83" s="278"/>
      <c r="AN83" s="278"/>
    </row>
    <row r="84" spans="1:40" x14ac:dyDescent="0.25">
      <c r="A84" s="282"/>
      <c r="B84" s="331" t="s">
        <v>1081</v>
      </c>
      <c r="C84" s="147">
        <f>'Inputs and eligible population'!G127</f>
        <v>1</v>
      </c>
      <c r="D84" s="126">
        <f>'Inputs and eligible population'!F51*'Capacity (local prices)'!$C84</f>
        <v>0</v>
      </c>
      <c r="E84" s="126">
        <f>'Inputs and eligible population'!G51*'Capacity (local prices)'!$C84</f>
        <v>0</v>
      </c>
      <c r="F84" s="126">
        <f>'Inputs and eligible population'!H51*'Capacity (local prices)'!$C84</f>
        <v>0</v>
      </c>
      <c r="G84" s="126">
        <f>'Inputs and eligible population'!I51*'Capacity (local prices)'!$C84</f>
        <v>0</v>
      </c>
      <c r="H84" s="126">
        <f>'Inputs and eligible population'!J51*'Capacity (local prices)'!$C84</f>
        <v>0</v>
      </c>
      <c r="I84" s="126">
        <f>'Inputs and eligible population'!K51*'Capacity (local prices)'!$C84</f>
        <v>0</v>
      </c>
      <c r="J84" s="282"/>
      <c r="K84" s="282"/>
      <c r="L84" s="216"/>
      <c r="M84" s="216"/>
      <c r="N84" s="216"/>
      <c r="O84" s="216"/>
      <c r="P84" s="216"/>
      <c r="Q84" s="216"/>
      <c r="R84" s="131"/>
      <c r="S84" s="131"/>
      <c r="T84" s="131"/>
      <c r="U84" s="131"/>
      <c r="V84" s="131"/>
      <c r="W84" s="131"/>
      <c r="X84" s="131"/>
      <c r="Y84" s="131"/>
      <c r="Z84" s="131"/>
      <c r="AJ84" s="278"/>
      <c r="AK84" s="278"/>
      <c r="AL84" s="278"/>
      <c r="AM84" s="278"/>
      <c r="AN84" s="278"/>
    </row>
    <row r="85" spans="1:40" x14ac:dyDescent="0.25">
      <c r="A85" s="282"/>
      <c r="B85" s="275"/>
      <c r="C85" s="202"/>
      <c r="D85" s="182">
        <f t="shared" ref="D85" si="73">SUM(D83:D84)</f>
        <v>0</v>
      </c>
      <c r="E85" s="182">
        <f t="shared" ref="E85" si="74">SUM(E83:E84)</f>
        <v>0</v>
      </c>
      <c r="F85" s="182">
        <f t="shared" ref="F85" si="75">SUM(F83:F84)</f>
        <v>0</v>
      </c>
      <c r="G85" s="182">
        <f t="shared" ref="G85" si="76">SUM(G83:G84)</f>
        <v>0</v>
      </c>
      <c r="H85" s="182">
        <f t="shared" ref="H85" si="77">SUM(H83:H84)</f>
        <v>0</v>
      </c>
      <c r="I85" s="182">
        <f t="shared" ref="I85" si="78">SUM(I83:I84)</f>
        <v>0</v>
      </c>
      <c r="J85" s="282"/>
      <c r="K85" s="282"/>
      <c r="L85" s="216"/>
      <c r="M85" s="216"/>
      <c r="N85" s="216"/>
      <c r="O85" s="216"/>
      <c r="P85" s="216"/>
      <c r="Q85" s="216"/>
      <c r="R85" s="131"/>
      <c r="S85" s="131"/>
      <c r="T85" s="131"/>
      <c r="U85" s="131"/>
      <c r="V85" s="131"/>
      <c r="W85" s="131"/>
      <c r="X85" s="131"/>
      <c r="Y85" s="131"/>
      <c r="Z85" s="131"/>
      <c r="AJ85" s="278"/>
      <c r="AK85" s="278"/>
      <c r="AL85" s="278"/>
      <c r="AM85" s="278"/>
      <c r="AN85" s="278"/>
    </row>
    <row r="86" spans="1:40" x14ac:dyDescent="0.25">
      <c r="A86" s="282"/>
      <c r="B86" s="291"/>
      <c r="C86" s="251"/>
      <c r="D86" s="277" t="s">
        <v>1138</v>
      </c>
      <c r="E86" s="182">
        <f>E85-$D$85</f>
        <v>0</v>
      </c>
      <c r="F86" s="182">
        <f>F85-$D$85</f>
        <v>0</v>
      </c>
      <c r="G86" s="182">
        <f>G85-$D$85</f>
        <v>0</v>
      </c>
      <c r="H86" s="182">
        <f>H85-$D$85</f>
        <v>0</v>
      </c>
      <c r="I86" s="182">
        <f>I85-$D$85</f>
        <v>0</v>
      </c>
      <c r="J86" s="282"/>
      <c r="K86" s="282"/>
      <c r="L86" s="216"/>
      <c r="M86" s="216"/>
      <c r="N86" s="216"/>
      <c r="O86" s="216"/>
      <c r="P86" s="216"/>
      <c r="Q86" s="216"/>
      <c r="V86" s="131"/>
    </row>
    <row r="87" spans="1:40" x14ac:dyDescent="0.25">
      <c r="A87" s="282"/>
      <c r="B87" s="296"/>
      <c r="C87" s="296"/>
      <c r="D87" s="840"/>
      <c r="E87" s="841"/>
      <c r="F87" s="841"/>
      <c r="G87" s="841"/>
      <c r="H87" s="841"/>
      <c r="I87" s="841"/>
      <c r="J87" s="282"/>
      <c r="K87" s="282"/>
      <c r="L87" s="216"/>
      <c r="M87" s="216"/>
      <c r="N87" s="216"/>
      <c r="O87" s="216"/>
      <c r="P87" s="216"/>
      <c r="Q87" s="216"/>
      <c r="V87" s="131"/>
    </row>
    <row r="88" spans="1:40" x14ac:dyDescent="0.25">
      <c r="A88" s="282"/>
      <c r="B88" s="374" t="s">
        <v>1144</v>
      </c>
      <c r="C88" s="375"/>
      <c r="D88" s="375"/>
      <c r="E88" s="375"/>
      <c r="F88" s="375"/>
      <c r="G88" s="375"/>
      <c r="H88" s="375"/>
      <c r="I88" s="215"/>
      <c r="J88" s="282"/>
      <c r="K88" s="282"/>
      <c r="L88" s="401"/>
      <c r="M88" s="401"/>
      <c r="N88" s="401"/>
      <c r="O88" s="401"/>
      <c r="P88" s="401"/>
      <c r="Q88" s="401"/>
      <c r="R88" s="131"/>
      <c r="S88" s="131"/>
      <c r="T88" s="131"/>
      <c r="U88" s="131"/>
      <c r="V88" s="131"/>
      <c r="W88" s="131"/>
      <c r="X88" s="131"/>
      <c r="Y88" s="131"/>
      <c r="Z88" s="131"/>
      <c r="AJ88" s="278"/>
      <c r="AK88" s="278"/>
      <c r="AL88" s="278"/>
      <c r="AM88" s="278"/>
      <c r="AN88" s="278"/>
    </row>
    <row r="89" spans="1:40" ht="45" x14ac:dyDescent="0.25">
      <c r="A89" s="282"/>
      <c r="B89" s="271" t="s">
        <v>741</v>
      </c>
      <c r="C89" s="163" t="s">
        <v>1140</v>
      </c>
      <c r="D89" s="394" t="s">
        <v>792</v>
      </c>
      <c r="E89" s="250" t="s">
        <v>672</v>
      </c>
      <c r="F89" s="250" t="s">
        <v>673</v>
      </c>
      <c r="G89" s="162" t="s">
        <v>766</v>
      </c>
      <c r="H89" s="162" t="s">
        <v>767</v>
      </c>
      <c r="I89" s="250" t="s">
        <v>768</v>
      </c>
      <c r="J89" s="282"/>
      <c r="K89" s="506" t="s">
        <v>802</v>
      </c>
      <c r="L89" s="394" t="s">
        <v>792</v>
      </c>
      <c r="M89" s="250" t="s">
        <v>672</v>
      </c>
      <c r="N89" s="250" t="s">
        <v>673</v>
      </c>
      <c r="O89" s="162" t="s">
        <v>766</v>
      </c>
      <c r="P89" s="162" t="s">
        <v>767</v>
      </c>
      <c r="Q89" s="250" t="s">
        <v>768</v>
      </c>
      <c r="R89" s="131"/>
      <c r="S89" s="131"/>
      <c r="T89" s="131"/>
      <c r="U89" s="131"/>
      <c r="V89" s="131"/>
      <c r="W89" s="131"/>
      <c r="X89" s="131"/>
      <c r="Y89" s="131"/>
      <c r="Z89" s="131"/>
      <c r="AJ89" s="278"/>
      <c r="AK89" s="278"/>
      <c r="AL89" s="278"/>
      <c r="AM89" s="278"/>
      <c r="AN89" s="278"/>
    </row>
    <row r="90" spans="1:40" x14ac:dyDescent="0.25">
      <c r="A90" s="282"/>
      <c r="B90" s="331" t="s">
        <v>1082</v>
      </c>
      <c r="C90" s="147">
        <f>'Inputs and eligible population'!H128</f>
        <v>30</v>
      </c>
      <c r="D90" s="126">
        <f>D83*'Capacity (local prices)'!$C90/60</f>
        <v>0</v>
      </c>
      <c r="E90" s="126">
        <f>E83*'Capacity (local prices)'!$C90/60</f>
        <v>0</v>
      </c>
      <c r="F90" s="126">
        <f>F83*'Capacity (local prices)'!$C90/60</f>
        <v>0</v>
      </c>
      <c r="G90" s="126">
        <f>G83*'Capacity (local prices)'!$C90/60</f>
        <v>0</v>
      </c>
      <c r="H90" s="126">
        <f>H83*'Capacity (local prices)'!$C90/60</f>
        <v>0</v>
      </c>
      <c r="I90" s="126">
        <f>I83*'Capacity (local prices)'!$C90/60</f>
        <v>0</v>
      </c>
      <c r="J90" s="282"/>
      <c r="K90" s="522">
        <f>'Inputs and eligible population'!L128</f>
        <v>28.38</v>
      </c>
      <c r="L90" s="284">
        <f>(D90*$K90/1000)</f>
        <v>0</v>
      </c>
      <c r="M90" s="284">
        <f t="shared" ref="M90:M91" si="79">(E90*$K90/1000)</f>
        <v>0</v>
      </c>
      <c r="N90" s="284">
        <f t="shared" ref="N90:N91" si="80">(F90*$K90/1000)</f>
        <v>0</v>
      </c>
      <c r="O90" s="284">
        <f t="shared" ref="O90:O91" si="81">(G90*$K90/1000)</f>
        <v>0</v>
      </c>
      <c r="P90" s="284">
        <f t="shared" ref="P90:P91" si="82">(H90*$K90/1000)</f>
        <v>0</v>
      </c>
      <c r="Q90" s="284">
        <f t="shared" ref="Q90:Q91" si="83">(I90*$K90/1000)</f>
        <v>0</v>
      </c>
      <c r="R90" s="131"/>
      <c r="S90" s="131"/>
      <c r="T90" s="131"/>
      <c r="U90" s="131"/>
      <c r="V90" s="131"/>
      <c r="W90" s="131"/>
      <c r="X90" s="131"/>
      <c r="Y90" s="131"/>
      <c r="Z90" s="131"/>
      <c r="AJ90" s="278"/>
      <c r="AK90" s="278"/>
      <c r="AL90" s="278"/>
      <c r="AM90" s="278"/>
      <c r="AN90" s="278"/>
    </row>
    <row r="91" spans="1:40" x14ac:dyDescent="0.25">
      <c r="A91" s="282"/>
      <c r="B91" s="331" t="s">
        <v>1081</v>
      </c>
      <c r="C91" s="147">
        <f>'Inputs and eligible population'!G128</f>
        <v>20</v>
      </c>
      <c r="D91" s="126">
        <f>D84*'Capacity (local prices)'!$C91/60</f>
        <v>0</v>
      </c>
      <c r="E91" s="126">
        <f>E84*'Capacity (local prices)'!$C91/60</f>
        <v>0</v>
      </c>
      <c r="F91" s="126">
        <f>F84*'Capacity (local prices)'!$C91/60</f>
        <v>0</v>
      </c>
      <c r="G91" s="126">
        <f>G84*'Capacity (local prices)'!$C91/60</f>
        <v>0</v>
      </c>
      <c r="H91" s="126">
        <f>H84*'Capacity (local prices)'!$C91/60</f>
        <v>0</v>
      </c>
      <c r="I91" s="126">
        <f>I84*'Capacity (local prices)'!$C91/60</f>
        <v>0</v>
      </c>
      <c r="J91" s="282"/>
      <c r="K91" s="522">
        <f>'Inputs and eligible population'!L128</f>
        <v>28.38</v>
      </c>
      <c r="L91" s="284">
        <f t="shared" ref="L91" si="84">(D91*$K91/1000)</f>
        <v>0</v>
      </c>
      <c r="M91" s="284">
        <f t="shared" si="79"/>
        <v>0</v>
      </c>
      <c r="N91" s="284">
        <f t="shared" si="80"/>
        <v>0</v>
      </c>
      <c r="O91" s="284">
        <f t="shared" si="81"/>
        <v>0</v>
      </c>
      <c r="P91" s="284">
        <f t="shared" si="82"/>
        <v>0</v>
      </c>
      <c r="Q91" s="284">
        <f t="shared" si="83"/>
        <v>0</v>
      </c>
      <c r="R91" s="131"/>
      <c r="S91" s="131"/>
      <c r="T91" s="131"/>
      <c r="U91" s="131"/>
      <c r="V91" s="131"/>
      <c r="W91" s="131"/>
      <c r="X91" s="131"/>
      <c r="Y91" s="131"/>
      <c r="Z91" s="131"/>
      <c r="AJ91" s="278"/>
      <c r="AK91" s="278"/>
      <c r="AL91" s="278"/>
      <c r="AM91" s="278"/>
      <c r="AN91" s="278"/>
    </row>
    <row r="92" spans="1:40" x14ac:dyDescent="0.25">
      <c r="A92" s="282"/>
      <c r="B92" s="275"/>
      <c r="C92" s="202"/>
      <c r="D92" s="182">
        <f t="shared" ref="D92" si="85">SUM(D90:D91)</f>
        <v>0</v>
      </c>
      <c r="E92" s="182">
        <f t="shared" ref="E92" si="86">SUM(E90:E91)</f>
        <v>0</v>
      </c>
      <c r="F92" s="182">
        <f t="shared" ref="F92" si="87">SUM(F90:F91)</f>
        <v>0</v>
      </c>
      <c r="G92" s="182">
        <f t="shared" ref="G92" si="88">SUM(G90:G91)</f>
        <v>0</v>
      </c>
      <c r="H92" s="182">
        <f t="shared" ref="H92" si="89">SUM(H90:H91)</f>
        <v>0</v>
      </c>
      <c r="I92" s="182">
        <f t="shared" ref="I92" si="90">SUM(I90:I91)</f>
        <v>0</v>
      </c>
      <c r="J92" s="282"/>
      <c r="K92" s="282"/>
      <c r="L92" s="285">
        <f t="shared" ref="L92" si="91">SUM(L90:L91)</f>
        <v>0</v>
      </c>
      <c r="M92" s="285">
        <f t="shared" ref="M92" si="92">SUM(M90:M91)</f>
        <v>0</v>
      </c>
      <c r="N92" s="285">
        <f t="shared" ref="N92" si="93">SUM(N90:N91)</f>
        <v>0</v>
      </c>
      <c r="O92" s="285">
        <f t="shared" ref="O92" si="94">SUM(O90:O91)</f>
        <v>0</v>
      </c>
      <c r="P92" s="285">
        <f t="shared" ref="P92" si="95">SUM(P90:P91)</f>
        <v>0</v>
      </c>
      <c r="Q92" s="285">
        <f t="shared" ref="Q92" si="96">SUM(Q90:Q91)</f>
        <v>0</v>
      </c>
      <c r="R92" s="131"/>
      <c r="S92" s="131"/>
      <c r="T92" s="131"/>
      <c r="U92" s="131"/>
      <c r="V92" s="131"/>
      <c r="W92" s="131"/>
      <c r="X92" s="131"/>
      <c r="Y92" s="131"/>
      <c r="Z92" s="131"/>
      <c r="AJ92" s="278"/>
      <c r="AK92" s="278"/>
      <c r="AL92" s="278"/>
      <c r="AM92" s="278"/>
      <c r="AN92" s="278"/>
    </row>
    <row r="93" spans="1:40" x14ac:dyDescent="0.25">
      <c r="A93" s="282"/>
      <c r="B93" s="291"/>
      <c r="C93" s="251"/>
      <c r="D93" s="277" t="s">
        <v>1141</v>
      </c>
      <c r="E93" s="182">
        <f>E92-$D$92</f>
        <v>0</v>
      </c>
      <c r="F93" s="182">
        <f>F92-$D$92</f>
        <v>0</v>
      </c>
      <c r="G93" s="182">
        <f>G92-$D$92</f>
        <v>0</v>
      </c>
      <c r="H93" s="182">
        <f>H92-$D$92</f>
        <v>0</v>
      </c>
      <c r="I93" s="182">
        <f>I92-$D$92</f>
        <v>0</v>
      </c>
      <c r="J93" s="282"/>
      <c r="K93" s="282"/>
      <c r="L93" s="499"/>
      <c r="M93" s="285">
        <f>M92-$L$92</f>
        <v>0</v>
      </c>
      <c r="N93" s="285">
        <f>N92-$L$92</f>
        <v>0</v>
      </c>
      <c r="O93" s="285">
        <f>O92-$L$92</f>
        <v>0</v>
      </c>
      <c r="P93" s="285">
        <f>P92-$L$92</f>
        <v>0</v>
      </c>
      <c r="Q93" s="285">
        <f>Q92-$L$92</f>
        <v>0</v>
      </c>
      <c r="V93" s="131"/>
    </row>
    <row r="94" spans="1:40" x14ac:dyDescent="0.25">
      <c r="A94" s="282"/>
      <c r="B94" s="282"/>
      <c r="C94" s="216"/>
      <c r="D94" s="282"/>
      <c r="E94" s="282"/>
      <c r="F94" s="282"/>
      <c r="G94" s="282"/>
      <c r="H94" s="282"/>
      <c r="I94" s="216"/>
      <c r="J94" s="216"/>
      <c r="K94" s="216"/>
      <c r="L94" s="216"/>
      <c r="M94" s="216"/>
      <c r="N94" s="216"/>
      <c r="O94" s="216"/>
      <c r="P94" s="216"/>
      <c r="Q94" s="216"/>
      <c r="V94" s="131"/>
    </row>
    <row r="95" spans="1:40" x14ac:dyDescent="0.25">
      <c r="A95" s="310"/>
      <c r="B95" s="311" t="s">
        <v>924</v>
      </c>
      <c r="C95" s="312"/>
      <c r="D95" s="312"/>
      <c r="E95" s="313"/>
      <c r="F95" s="314"/>
      <c r="G95" s="315"/>
      <c r="H95" s="315"/>
      <c r="I95" s="365"/>
      <c r="J95" s="310"/>
      <c r="K95" s="310"/>
      <c r="L95" s="310"/>
      <c r="M95" s="310"/>
      <c r="N95" s="310"/>
      <c r="O95" s="310"/>
      <c r="P95" s="310"/>
      <c r="Q95" s="383"/>
      <c r="R95" s="131"/>
      <c r="S95" s="131"/>
      <c r="T95" s="131"/>
      <c r="U95" s="131"/>
      <c r="V95" s="131"/>
      <c r="W95" s="131"/>
      <c r="X95" s="131"/>
      <c r="Y95" s="131"/>
      <c r="Z95" s="131"/>
      <c r="AJ95" s="278"/>
      <c r="AK95" s="278"/>
      <c r="AL95" s="278"/>
      <c r="AM95" s="278"/>
      <c r="AN95" s="278"/>
    </row>
    <row r="96" spans="1:40" x14ac:dyDescent="0.25">
      <c r="A96" s="310"/>
      <c r="B96" s="372" t="s">
        <v>966</v>
      </c>
      <c r="C96" s="373"/>
      <c r="D96" s="373"/>
      <c r="E96" s="373"/>
      <c r="F96" s="373"/>
      <c r="G96" s="373"/>
      <c r="H96" s="373"/>
      <c r="I96" s="316"/>
      <c r="J96" s="383"/>
      <c r="K96" s="383"/>
      <c r="L96" s="383"/>
      <c r="M96" s="383"/>
      <c r="N96" s="383"/>
      <c r="O96" s="383"/>
      <c r="P96" s="383"/>
      <c r="Q96" s="383"/>
      <c r="R96" s="131"/>
      <c r="S96" s="131"/>
      <c r="T96" s="131"/>
      <c r="U96" s="131"/>
      <c r="V96" s="131"/>
      <c r="W96" s="131"/>
      <c r="X96" s="131"/>
      <c r="Y96" s="131"/>
      <c r="Z96" s="131"/>
      <c r="AJ96" s="278"/>
      <c r="AK96" s="278"/>
      <c r="AL96" s="278"/>
      <c r="AM96" s="278"/>
      <c r="AN96" s="278"/>
    </row>
    <row r="97" spans="1:40" ht="45" x14ac:dyDescent="0.25">
      <c r="A97" s="310"/>
      <c r="B97" s="271" t="s">
        <v>741</v>
      </c>
      <c r="C97" s="163" t="s">
        <v>708</v>
      </c>
      <c r="D97" s="394" t="s">
        <v>792</v>
      </c>
      <c r="E97" s="250" t="s">
        <v>672</v>
      </c>
      <c r="F97" s="250" t="s">
        <v>673</v>
      </c>
      <c r="G97" s="162" t="s">
        <v>766</v>
      </c>
      <c r="H97" s="162" t="s">
        <v>767</v>
      </c>
      <c r="I97" s="250" t="s">
        <v>768</v>
      </c>
      <c r="J97" s="310"/>
      <c r="K97" s="866"/>
      <c r="L97" s="867"/>
      <c r="M97" s="868"/>
      <c r="N97" s="868"/>
      <c r="O97" s="868"/>
      <c r="P97" s="868"/>
      <c r="Q97" s="868"/>
      <c r="R97" s="131"/>
      <c r="S97" s="131"/>
      <c r="T97" s="131"/>
      <c r="U97" s="131"/>
      <c r="V97" s="131"/>
      <c r="W97" s="131"/>
      <c r="X97" s="131"/>
      <c r="Y97" s="131"/>
      <c r="Z97" s="131"/>
      <c r="AJ97" s="278"/>
      <c r="AK97" s="278"/>
      <c r="AL97" s="278"/>
      <c r="AM97" s="278"/>
      <c r="AN97" s="278"/>
    </row>
    <row r="98" spans="1:40" x14ac:dyDescent="0.25">
      <c r="A98" s="310"/>
      <c r="B98" s="331" t="s">
        <v>1082</v>
      </c>
      <c r="C98" s="147">
        <f>'Inputs and eligible population'!H129</f>
        <v>1</v>
      </c>
      <c r="D98" s="126">
        <f>'Inputs and eligible population'!F50*'Capacity (local prices)'!$C98</f>
        <v>0</v>
      </c>
      <c r="E98" s="126">
        <f>'Inputs and eligible population'!G50*'Capacity (local prices)'!$C98</f>
        <v>0</v>
      </c>
      <c r="F98" s="126">
        <f>'Inputs and eligible population'!H50*'Capacity (local prices)'!$C98</f>
        <v>0</v>
      </c>
      <c r="G98" s="126">
        <f>'Inputs and eligible population'!I50*'Capacity (local prices)'!$C98</f>
        <v>0</v>
      </c>
      <c r="H98" s="126">
        <f>'Inputs and eligible population'!J50*'Capacity (local prices)'!$C98</f>
        <v>0</v>
      </c>
      <c r="I98" s="126">
        <f>'Inputs and eligible population'!K50*'Capacity (local prices)'!$C98</f>
        <v>0</v>
      </c>
      <c r="J98" s="310"/>
      <c r="K98" s="869"/>
      <c r="L98" s="870"/>
      <c r="M98" s="870"/>
      <c r="N98" s="870"/>
      <c r="O98" s="870"/>
      <c r="P98" s="870"/>
      <c r="Q98" s="870"/>
      <c r="R98" s="131"/>
      <c r="S98" s="131"/>
      <c r="T98" s="131"/>
      <c r="U98" s="131"/>
      <c r="V98" s="131"/>
      <c r="W98" s="131"/>
      <c r="X98" s="131"/>
      <c r="Y98" s="131"/>
      <c r="Z98" s="131"/>
      <c r="AJ98" s="278"/>
      <c r="AK98" s="278"/>
      <c r="AL98" s="278"/>
      <c r="AM98" s="278"/>
      <c r="AN98" s="278"/>
    </row>
    <row r="99" spans="1:40" x14ac:dyDescent="0.25">
      <c r="A99" s="310"/>
      <c r="B99" s="331" t="s">
        <v>1081</v>
      </c>
      <c r="C99" s="147">
        <f>'Inputs and eligible population'!G129</f>
        <v>1</v>
      </c>
      <c r="D99" s="126">
        <f>'Inputs and eligible population'!F51*'Capacity (local prices)'!$C99</f>
        <v>0</v>
      </c>
      <c r="E99" s="126">
        <f>'Inputs and eligible population'!G51*'Capacity (local prices)'!$C99</f>
        <v>0</v>
      </c>
      <c r="F99" s="126">
        <f>'Inputs and eligible population'!H51*'Capacity (local prices)'!$C99</f>
        <v>0</v>
      </c>
      <c r="G99" s="126">
        <f>'Inputs and eligible population'!I51*'Capacity (local prices)'!$C99</f>
        <v>0</v>
      </c>
      <c r="H99" s="126">
        <f>'Inputs and eligible population'!J51*'Capacity (local prices)'!$C99</f>
        <v>0</v>
      </c>
      <c r="I99" s="126">
        <f>'Inputs and eligible population'!K51*'Capacity (local prices)'!$C99</f>
        <v>0</v>
      </c>
      <c r="J99" s="310"/>
      <c r="K99" s="869"/>
      <c r="L99" s="870"/>
      <c r="M99" s="870"/>
      <c r="N99" s="870"/>
      <c r="O99" s="870"/>
      <c r="P99" s="870"/>
      <c r="Q99" s="870"/>
      <c r="R99" s="131"/>
      <c r="S99" s="131"/>
      <c r="T99" s="131"/>
      <c r="U99" s="131"/>
      <c r="V99" s="131"/>
      <c r="W99" s="131"/>
      <c r="X99" s="131"/>
      <c r="Y99" s="131"/>
      <c r="Z99" s="131"/>
      <c r="AJ99" s="278"/>
      <c r="AK99" s="278"/>
      <c r="AL99" s="278"/>
      <c r="AM99" s="278"/>
      <c r="AN99" s="278"/>
    </row>
    <row r="100" spans="1:40" x14ac:dyDescent="0.25">
      <c r="A100" s="310"/>
      <c r="B100" s="275"/>
      <c r="C100" s="202"/>
      <c r="D100" s="182">
        <f t="shared" ref="D100:I100" si="97">SUM(D98:D99)</f>
        <v>0</v>
      </c>
      <c r="E100" s="182">
        <f t="shared" si="97"/>
        <v>0</v>
      </c>
      <c r="F100" s="182">
        <f t="shared" si="97"/>
        <v>0</v>
      </c>
      <c r="G100" s="182">
        <f t="shared" si="97"/>
        <v>0</v>
      </c>
      <c r="H100" s="182">
        <f t="shared" si="97"/>
        <v>0</v>
      </c>
      <c r="I100" s="182">
        <f t="shared" si="97"/>
        <v>0</v>
      </c>
      <c r="J100" s="310"/>
      <c r="K100" s="310"/>
      <c r="L100" s="871"/>
      <c r="M100" s="871"/>
      <c r="N100" s="871"/>
      <c r="O100" s="871"/>
      <c r="P100" s="871"/>
      <c r="Q100" s="871"/>
      <c r="R100" s="131"/>
      <c r="S100" s="131"/>
      <c r="T100" s="131"/>
      <c r="U100" s="131"/>
      <c r="V100" s="131"/>
      <c r="W100" s="131"/>
      <c r="X100" s="131"/>
      <c r="Y100" s="131"/>
      <c r="Z100" s="131"/>
      <c r="AJ100" s="278"/>
      <c r="AK100" s="278"/>
      <c r="AL100" s="278"/>
      <c r="AM100" s="278"/>
      <c r="AN100" s="278"/>
    </row>
    <row r="101" spans="1:40" x14ac:dyDescent="0.25">
      <c r="A101" s="310"/>
      <c r="B101" s="291"/>
      <c r="C101" s="251"/>
      <c r="D101" s="277" t="s">
        <v>807</v>
      </c>
      <c r="E101" s="182">
        <f>E100-$D$100</f>
        <v>0</v>
      </c>
      <c r="F101" s="182">
        <f>F100-$D$100</f>
        <v>0</v>
      </c>
      <c r="G101" s="182">
        <f>G100-$D$100</f>
        <v>0</v>
      </c>
      <c r="H101" s="182">
        <f>H100-$D$100</f>
        <v>0</v>
      </c>
      <c r="I101" s="182">
        <f>I100-$D$100</f>
        <v>0</v>
      </c>
      <c r="J101" s="310"/>
      <c r="K101" s="310"/>
      <c r="L101" s="310"/>
      <c r="M101" s="871"/>
      <c r="N101" s="871"/>
      <c r="O101" s="871"/>
      <c r="P101" s="871"/>
      <c r="Q101" s="871"/>
      <c r="V101" s="131"/>
    </row>
    <row r="102" spans="1:40" x14ac:dyDescent="0.25">
      <c r="A102" s="310"/>
      <c r="B102" s="310"/>
      <c r="C102" s="310"/>
      <c r="D102" s="310"/>
      <c r="E102" s="310"/>
      <c r="F102" s="310"/>
      <c r="G102" s="310"/>
      <c r="H102" s="310"/>
      <c r="I102" s="310"/>
      <c r="J102" s="310"/>
      <c r="K102" s="310"/>
      <c r="L102" s="310"/>
      <c r="M102" s="310"/>
      <c r="N102" s="310"/>
      <c r="O102" s="310"/>
      <c r="P102" s="310"/>
      <c r="Q102" s="310"/>
      <c r="V102" s="131"/>
    </row>
    <row r="103" spans="1:40" x14ac:dyDescent="0.25">
      <c r="A103" s="310"/>
      <c r="B103" s="311"/>
      <c r="C103" s="312"/>
      <c r="D103" s="312"/>
      <c r="E103" s="313"/>
      <c r="F103" s="314"/>
      <c r="G103" s="315"/>
      <c r="H103" s="315"/>
      <c r="I103" s="365"/>
      <c r="J103" s="310"/>
      <c r="K103" s="310"/>
      <c r="L103" s="310"/>
      <c r="M103" s="310"/>
      <c r="N103" s="310"/>
      <c r="O103" s="310"/>
      <c r="P103" s="310"/>
      <c r="Q103" s="383"/>
      <c r="R103" s="131"/>
      <c r="S103" s="131"/>
      <c r="T103" s="131"/>
      <c r="U103" s="131"/>
      <c r="V103" s="131"/>
      <c r="W103" s="131"/>
      <c r="X103" s="131"/>
      <c r="Y103" s="131"/>
      <c r="Z103" s="131"/>
      <c r="AJ103" s="278"/>
      <c r="AK103" s="278"/>
      <c r="AL103" s="278"/>
      <c r="AM103" s="278"/>
      <c r="AN103" s="278"/>
    </row>
    <row r="104" spans="1:40" x14ac:dyDescent="0.25">
      <c r="A104" s="310"/>
      <c r="B104" s="372" t="s">
        <v>1145</v>
      </c>
      <c r="C104" s="373"/>
      <c r="D104" s="373"/>
      <c r="E104" s="373"/>
      <c r="F104" s="373"/>
      <c r="G104" s="373"/>
      <c r="H104" s="373"/>
      <c r="I104" s="316"/>
      <c r="J104" s="383"/>
      <c r="K104" s="383"/>
      <c r="L104" s="403"/>
      <c r="M104" s="403"/>
      <c r="N104" s="403"/>
      <c r="O104" s="403"/>
      <c r="P104" s="403"/>
      <c r="Q104" s="403"/>
      <c r="R104" s="131"/>
      <c r="S104" s="131"/>
      <c r="T104" s="131"/>
      <c r="U104" s="131"/>
      <c r="V104" s="131"/>
      <c r="W104" s="131"/>
      <c r="X104" s="131"/>
      <c r="Y104" s="131"/>
      <c r="Z104" s="131"/>
      <c r="AJ104" s="278"/>
      <c r="AK104" s="278"/>
      <c r="AL104" s="278"/>
      <c r="AM104" s="278"/>
      <c r="AN104" s="278"/>
    </row>
    <row r="105" spans="1:40" ht="45" x14ac:dyDescent="0.25">
      <c r="A105" s="310"/>
      <c r="B105" s="271" t="s">
        <v>741</v>
      </c>
      <c r="C105" s="163" t="s">
        <v>1146</v>
      </c>
      <c r="D105" s="394" t="s">
        <v>792</v>
      </c>
      <c r="E105" s="250" t="s">
        <v>672</v>
      </c>
      <c r="F105" s="250" t="s">
        <v>673</v>
      </c>
      <c r="G105" s="162" t="s">
        <v>766</v>
      </c>
      <c r="H105" s="162" t="s">
        <v>767</v>
      </c>
      <c r="I105" s="250" t="s">
        <v>768</v>
      </c>
      <c r="J105" s="310"/>
      <c r="K105" s="506" t="s">
        <v>802</v>
      </c>
      <c r="L105" s="394" t="s">
        <v>792</v>
      </c>
      <c r="M105" s="250" t="s">
        <v>672</v>
      </c>
      <c r="N105" s="250" t="s">
        <v>673</v>
      </c>
      <c r="O105" s="162" t="s">
        <v>766</v>
      </c>
      <c r="P105" s="162" t="s">
        <v>767</v>
      </c>
      <c r="Q105" s="250" t="s">
        <v>768</v>
      </c>
      <c r="R105" s="131"/>
      <c r="S105" s="131"/>
      <c r="T105" s="131"/>
      <c r="U105" s="131"/>
      <c r="V105" s="131"/>
      <c r="W105" s="131"/>
      <c r="X105" s="131"/>
      <c r="Y105" s="131"/>
      <c r="Z105" s="131"/>
      <c r="AJ105" s="278"/>
      <c r="AK105" s="278"/>
      <c r="AL105" s="278"/>
      <c r="AM105" s="278"/>
      <c r="AN105" s="278"/>
    </row>
    <row r="106" spans="1:40" x14ac:dyDescent="0.25">
      <c r="A106" s="310"/>
      <c r="B106" s="331" t="s">
        <v>1082</v>
      </c>
      <c r="C106" s="147">
        <f>'Inputs and eligible population'!H130</f>
        <v>20</v>
      </c>
      <c r="D106" s="126">
        <f>D98*'Capacity (local prices)'!$C106/60</f>
        <v>0</v>
      </c>
      <c r="E106" s="126">
        <f>E98*'Capacity (local prices)'!$C106/60</f>
        <v>0</v>
      </c>
      <c r="F106" s="126">
        <f>F98*'Capacity (local prices)'!$C106/60</f>
        <v>0</v>
      </c>
      <c r="G106" s="126">
        <f>G98*'Capacity (local prices)'!$C106/60</f>
        <v>0</v>
      </c>
      <c r="H106" s="126">
        <f>H98*'Capacity (local prices)'!$C106/60</f>
        <v>0</v>
      </c>
      <c r="I106" s="126">
        <f>I98*'Capacity (local prices)'!$C106/60</f>
        <v>0</v>
      </c>
      <c r="J106" s="310"/>
      <c r="K106" s="522">
        <f>'Inputs and eligible population'!L130</f>
        <v>122.51</v>
      </c>
      <c r="L106" s="284">
        <f>(D106*$K106/1000)</f>
        <v>0</v>
      </c>
      <c r="M106" s="284">
        <f t="shared" ref="M106:M107" si="98">(E106*$K106/1000)</f>
        <v>0</v>
      </c>
      <c r="N106" s="284">
        <f t="shared" ref="N106:N107" si="99">(F106*$K106/1000)</f>
        <v>0</v>
      </c>
      <c r="O106" s="284">
        <f t="shared" ref="O106:O107" si="100">(G106*$K106/1000)</f>
        <v>0</v>
      </c>
      <c r="P106" s="284">
        <f t="shared" ref="P106:P107" si="101">(H106*$K106/1000)</f>
        <v>0</v>
      </c>
      <c r="Q106" s="284">
        <f t="shared" ref="Q106:Q107" si="102">(I106*$K106/1000)</f>
        <v>0</v>
      </c>
      <c r="R106" s="131"/>
      <c r="S106" s="131"/>
      <c r="T106" s="131"/>
      <c r="U106" s="131"/>
      <c r="V106" s="131"/>
      <c r="W106" s="131"/>
      <c r="X106" s="131"/>
      <c r="Y106" s="131"/>
      <c r="Z106" s="131"/>
      <c r="AJ106" s="278"/>
      <c r="AK106" s="278"/>
      <c r="AL106" s="278"/>
      <c r="AM106" s="278"/>
      <c r="AN106" s="278"/>
    </row>
    <row r="107" spans="1:40" x14ac:dyDescent="0.25">
      <c r="A107" s="310"/>
      <c r="B107" s="331" t="s">
        <v>1081</v>
      </c>
      <c r="C107" s="147">
        <f>'Inputs and eligible population'!G130</f>
        <v>20</v>
      </c>
      <c r="D107" s="126">
        <f>D99*'Capacity (local prices)'!$C107/60</f>
        <v>0</v>
      </c>
      <c r="E107" s="126">
        <f>E99*'Capacity (local prices)'!$C107/60</f>
        <v>0</v>
      </c>
      <c r="F107" s="126">
        <f>F99*'Capacity (local prices)'!$C107/60</f>
        <v>0</v>
      </c>
      <c r="G107" s="126">
        <f>G99*'Capacity (local prices)'!$C107/60</f>
        <v>0</v>
      </c>
      <c r="H107" s="126">
        <f>H99*'Capacity (local prices)'!$C107/60</f>
        <v>0</v>
      </c>
      <c r="I107" s="126">
        <f>I99*'Capacity (local prices)'!$C107/60</f>
        <v>0</v>
      </c>
      <c r="J107" s="310"/>
      <c r="K107" s="522">
        <f>'Inputs and eligible population'!L130</f>
        <v>122.51</v>
      </c>
      <c r="L107" s="284">
        <f t="shared" ref="L107" si="103">(D107*$K107/1000)</f>
        <v>0</v>
      </c>
      <c r="M107" s="284">
        <f t="shared" si="98"/>
        <v>0</v>
      </c>
      <c r="N107" s="284">
        <f t="shared" si="99"/>
        <v>0</v>
      </c>
      <c r="O107" s="284">
        <f t="shared" si="100"/>
        <v>0</v>
      </c>
      <c r="P107" s="284">
        <f t="shared" si="101"/>
        <v>0</v>
      </c>
      <c r="Q107" s="284">
        <f t="shared" si="102"/>
        <v>0</v>
      </c>
      <c r="R107" s="131"/>
      <c r="S107" s="131"/>
      <c r="T107" s="131"/>
      <c r="U107" s="131"/>
      <c r="V107" s="131"/>
      <c r="W107" s="131"/>
      <c r="X107" s="131"/>
      <c r="Y107" s="131"/>
      <c r="Z107" s="131"/>
      <c r="AJ107" s="278"/>
      <c r="AK107" s="278"/>
      <c r="AL107" s="278"/>
      <c r="AM107" s="278"/>
      <c r="AN107" s="278"/>
    </row>
    <row r="108" spans="1:40" x14ac:dyDescent="0.25">
      <c r="A108" s="310"/>
      <c r="B108" s="275"/>
      <c r="C108" s="202"/>
      <c r="D108" s="182">
        <f t="shared" ref="D108:I108" si="104">SUM(D106:D107)</f>
        <v>0</v>
      </c>
      <c r="E108" s="182">
        <f t="shared" si="104"/>
        <v>0</v>
      </c>
      <c r="F108" s="182">
        <f t="shared" si="104"/>
        <v>0</v>
      </c>
      <c r="G108" s="182">
        <f t="shared" si="104"/>
        <v>0</v>
      </c>
      <c r="H108" s="182">
        <f t="shared" si="104"/>
        <v>0</v>
      </c>
      <c r="I108" s="182">
        <f t="shared" si="104"/>
        <v>0</v>
      </c>
      <c r="J108" s="310"/>
      <c r="K108" s="310"/>
      <c r="L108" s="285">
        <f t="shared" ref="L108:Q108" si="105">SUM(L106:L107)</f>
        <v>0</v>
      </c>
      <c r="M108" s="285">
        <f t="shared" si="105"/>
        <v>0</v>
      </c>
      <c r="N108" s="285">
        <f t="shared" si="105"/>
        <v>0</v>
      </c>
      <c r="O108" s="285">
        <f t="shared" si="105"/>
        <v>0</v>
      </c>
      <c r="P108" s="285">
        <f t="shared" si="105"/>
        <v>0</v>
      </c>
      <c r="Q108" s="285">
        <f t="shared" si="105"/>
        <v>0</v>
      </c>
      <c r="R108" s="131"/>
      <c r="S108" s="131"/>
      <c r="T108" s="131"/>
      <c r="U108" s="131"/>
      <c r="V108" s="131"/>
      <c r="W108" s="131"/>
      <c r="X108" s="131"/>
      <c r="Y108" s="131"/>
      <c r="Z108" s="131"/>
      <c r="AJ108" s="278"/>
      <c r="AK108" s="278"/>
      <c r="AL108" s="278"/>
      <c r="AM108" s="278"/>
      <c r="AN108" s="278"/>
    </row>
    <row r="109" spans="1:40" x14ac:dyDescent="0.25">
      <c r="A109" s="310"/>
      <c r="B109" s="291"/>
      <c r="C109" s="251"/>
      <c r="D109" s="277" t="s">
        <v>1141</v>
      </c>
      <c r="E109" s="182">
        <f>E108-$D$108</f>
        <v>0</v>
      </c>
      <c r="F109" s="182">
        <f t="shared" ref="F109:I109" si="106">F108-$D$108</f>
        <v>0</v>
      </c>
      <c r="G109" s="182">
        <f t="shared" si="106"/>
        <v>0</v>
      </c>
      <c r="H109" s="182">
        <f t="shared" si="106"/>
        <v>0</v>
      </c>
      <c r="I109" s="182">
        <f t="shared" si="106"/>
        <v>0</v>
      </c>
      <c r="J109" s="310"/>
      <c r="K109" s="310"/>
      <c r="L109" s="498"/>
      <c r="M109" s="285">
        <f>M108-$L$108</f>
        <v>0</v>
      </c>
      <c r="N109" s="285">
        <f>N108-$L$108</f>
        <v>0</v>
      </c>
      <c r="O109" s="285">
        <f>O108-$L$108</f>
        <v>0</v>
      </c>
      <c r="P109" s="285">
        <f>P108-$L$108</f>
        <v>0</v>
      </c>
      <c r="Q109" s="285">
        <f>Q108-$L$108</f>
        <v>0</v>
      </c>
      <c r="V109" s="131"/>
    </row>
    <row r="110" spans="1:40" x14ac:dyDescent="0.25">
      <c r="A110" s="310"/>
      <c r="B110" s="310"/>
      <c r="C110" s="310"/>
      <c r="D110" s="310"/>
      <c r="E110" s="310"/>
      <c r="F110" s="310"/>
      <c r="G110" s="310"/>
      <c r="H110" s="310"/>
      <c r="I110" s="310"/>
      <c r="J110" s="310"/>
      <c r="K110" s="310"/>
      <c r="L110" s="310"/>
      <c r="M110" s="310"/>
      <c r="N110" s="310"/>
      <c r="O110" s="310"/>
      <c r="P110" s="310"/>
      <c r="Q110" s="310"/>
      <c r="V110" s="131"/>
    </row>
    <row r="111" spans="1:40" x14ac:dyDescent="0.25">
      <c r="A111" s="310"/>
      <c r="B111" s="311" t="s">
        <v>1147</v>
      </c>
      <c r="C111" s="312"/>
      <c r="D111" s="312"/>
      <c r="E111" s="313"/>
      <c r="F111" s="314"/>
      <c r="G111" s="315"/>
      <c r="H111" s="315"/>
      <c r="I111" s="365"/>
      <c r="J111" s="310"/>
      <c r="K111" s="310"/>
      <c r="L111" s="310"/>
      <c r="M111" s="310"/>
      <c r="N111" s="310"/>
      <c r="O111" s="310"/>
      <c r="P111" s="310"/>
      <c r="Q111" s="383"/>
      <c r="R111" s="131"/>
      <c r="S111" s="131"/>
      <c r="T111" s="131"/>
      <c r="U111" s="131"/>
      <c r="V111" s="131"/>
      <c r="W111" s="131"/>
      <c r="X111" s="131"/>
      <c r="Y111" s="131"/>
      <c r="Z111" s="131"/>
      <c r="AJ111" s="278"/>
      <c r="AK111" s="278"/>
      <c r="AL111" s="278"/>
      <c r="AM111" s="278"/>
      <c r="AN111" s="278"/>
    </row>
    <row r="112" spans="1:40" x14ac:dyDescent="0.25">
      <c r="A112" s="310"/>
      <c r="B112" s="372" t="s">
        <v>1150</v>
      </c>
      <c r="C112" s="373"/>
      <c r="D112" s="373"/>
      <c r="E112" s="373"/>
      <c r="F112" s="373"/>
      <c r="G112" s="373"/>
      <c r="H112" s="373"/>
      <c r="I112" s="316"/>
      <c r="J112" s="383"/>
      <c r="K112" s="866"/>
      <c r="L112" s="867"/>
      <c r="M112" s="868"/>
      <c r="N112" s="868"/>
      <c r="O112" s="868"/>
      <c r="P112" s="868"/>
      <c r="Q112" s="868"/>
      <c r="R112" s="131"/>
      <c r="S112" s="131"/>
      <c r="T112" s="131"/>
      <c r="U112" s="131"/>
      <c r="V112" s="131"/>
      <c r="W112" s="131"/>
      <c r="X112" s="131"/>
      <c r="Y112" s="131"/>
      <c r="Z112" s="131"/>
      <c r="AJ112" s="278"/>
      <c r="AK112" s="278"/>
      <c r="AL112" s="278"/>
      <c r="AM112" s="278"/>
      <c r="AN112" s="278"/>
    </row>
    <row r="113" spans="1:40" ht="45" x14ac:dyDescent="0.25">
      <c r="A113" s="310"/>
      <c r="B113" s="271" t="s">
        <v>741</v>
      </c>
      <c r="C113" s="163" t="s">
        <v>708</v>
      </c>
      <c r="D113" s="394" t="s">
        <v>792</v>
      </c>
      <c r="E113" s="250" t="s">
        <v>672</v>
      </c>
      <c r="F113" s="250" t="s">
        <v>673</v>
      </c>
      <c r="G113" s="162" t="s">
        <v>766</v>
      </c>
      <c r="H113" s="162" t="s">
        <v>767</v>
      </c>
      <c r="I113" s="250" t="s">
        <v>768</v>
      </c>
      <c r="J113" s="310"/>
      <c r="K113" s="869"/>
      <c r="L113" s="870"/>
      <c r="M113" s="870"/>
      <c r="N113" s="870"/>
      <c r="O113" s="870"/>
      <c r="P113" s="870"/>
      <c r="Q113" s="870"/>
      <c r="R113" s="131"/>
      <c r="S113" s="131"/>
      <c r="T113" s="131"/>
      <c r="U113" s="131"/>
      <c r="V113" s="131"/>
      <c r="W113" s="131"/>
      <c r="X113" s="131"/>
      <c r="Y113" s="131"/>
      <c r="Z113" s="131"/>
      <c r="AJ113" s="278"/>
      <c r="AK113" s="278"/>
      <c r="AL113" s="278"/>
      <c r="AM113" s="278"/>
      <c r="AN113" s="278"/>
    </row>
    <row r="114" spans="1:40" x14ac:dyDescent="0.25">
      <c r="A114" s="310"/>
      <c r="B114" s="331" t="s">
        <v>1148</v>
      </c>
      <c r="C114" s="147">
        <f>'Inputs and eligible population'!G131</f>
        <v>1</v>
      </c>
      <c r="D114" s="126">
        <f>'Inputs and eligible population'!F61*'Inputs and eligible population'!E111*'Capacity (local prices)'!$C114</f>
        <v>0</v>
      </c>
      <c r="E114" s="126">
        <f>'Inputs and eligible population'!G61*'Inputs and eligible population'!F111*'Capacity (local prices)'!$C114</f>
        <v>0</v>
      </c>
      <c r="F114" s="126">
        <f>'Inputs and eligible population'!H61*'Inputs and eligible population'!G111*'Capacity (local prices)'!$C114</f>
        <v>0</v>
      </c>
      <c r="G114" s="126">
        <f>'Inputs and eligible population'!I61*'Inputs and eligible population'!H111*'Capacity (local prices)'!$C114</f>
        <v>0</v>
      </c>
      <c r="H114" s="126">
        <f>'Inputs and eligible population'!J61*'Inputs and eligible population'!I111*'Capacity (local prices)'!$C114</f>
        <v>0</v>
      </c>
      <c r="I114" s="126">
        <f>'Inputs and eligible population'!K61*'Inputs and eligible population'!J111*'Capacity (local prices)'!$C114</f>
        <v>0</v>
      </c>
      <c r="J114" s="310"/>
      <c r="K114" s="869"/>
      <c r="L114" s="870"/>
      <c r="M114" s="870"/>
      <c r="N114" s="870"/>
      <c r="O114" s="870"/>
      <c r="P114" s="870"/>
      <c r="Q114" s="870"/>
      <c r="R114" s="131"/>
      <c r="S114" s="131"/>
      <c r="T114" s="131"/>
      <c r="U114" s="131"/>
      <c r="V114" s="131"/>
      <c r="W114" s="131"/>
      <c r="X114" s="131"/>
      <c r="Y114" s="131"/>
      <c r="Z114" s="131"/>
      <c r="AJ114" s="278"/>
      <c r="AK114" s="278"/>
      <c r="AL114" s="278"/>
      <c r="AM114" s="278"/>
      <c r="AN114" s="278"/>
    </row>
    <row r="115" spans="1:40" x14ac:dyDescent="0.25">
      <c r="A115" s="310"/>
      <c r="B115" s="331" t="s">
        <v>1149</v>
      </c>
      <c r="C115" s="147">
        <f>'Inputs and eligible population'!G133</f>
        <v>1</v>
      </c>
      <c r="D115" s="126">
        <f>'Inputs and eligible population'!F61*'Inputs and eligible population'!E110*'Capacity (local prices)'!$C115</f>
        <v>0</v>
      </c>
      <c r="E115" s="126">
        <f>'Inputs and eligible population'!G61*'Inputs and eligible population'!F110*'Capacity (local prices)'!$C115</f>
        <v>0</v>
      </c>
      <c r="F115" s="126">
        <f>'Inputs and eligible population'!H61*'Inputs and eligible population'!G110*'Capacity (local prices)'!$C115</f>
        <v>0</v>
      </c>
      <c r="G115" s="126">
        <f>'Inputs and eligible population'!I61*'Inputs and eligible population'!H110*'Capacity (local prices)'!$C115</f>
        <v>0</v>
      </c>
      <c r="H115" s="126">
        <f>'Inputs and eligible population'!J61*'Inputs and eligible population'!I110*'Capacity (local prices)'!$C115</f>
        <v>0</v>
      </c>
      <c r="I115" s="126">
        <f>'Inputs and eligible population'!K61*'Inputs and eligible population'!J110*'Capacity (local prices)'!$C115</f>
        <v>0</v>
      </c>
      <c r="J115" s="310"/>
      <c r="K115" s="310"/>
      <c r="L115" s="871"/>
      <c r="M115" s="871"/>
      <c r="N115" s="871"/>
      <c r="O115" s="871"/>
      <c r="P115" s="871"/>
      <c r="Q115" s="871"/>
      <c r="R115" s="131"/>
      <c r="S115" s="131"/>
      <c r="T115" s="131"/>
      <c r="U115" s="131"/>
      <c r="V115" s="131"/>
      <c r="W115" s="131"/>
      <c r="X115" s="131"/>
      <c r="Y115" s="131"/>
      <c r="Z115" s="131"/>
      <c r="AJ115" s="278"/>
      <c r="AK115" s="278"/>
      <c r="AL115" s="278"/>
      <c r="AM115" s="278"/>
      <c r="AN115" s="278"/>
    </row>
    <row r="116" spans="1:40" x14ac:dyDescent="0.25">
      <c r="A116" s="310"/>
      <c r="B116" s="275"/>
      <c r="C116" s="202"/>
      <c r="D116" s="182">
        <f t="shared" ref="D116:I116" si="107">SUM(D114:D115)</f>
        <v>0</v>
      </c>
      <c r="E116" s="182">
        <f t="shared" si="107"/>
        <v>0</v>
      </c>
      <c r="F116" s="182">
        <f t="shared" si="107"/>
        <v>0</v>
      </c>
      <c r="G116" s="182">
        <f t="shared" si="107"/>
        <v>0</v>
      </c>
      <c r="H116" s="182">
        <f t="shared" si="107"/>
        <v>0</v>
      </c>
      <c r="I116" s="182">
        <f t="shared" si="107"/>
        <v>0</v>
      </c>
      <c r="J116" s="310"/>
      <c r="K116" s="310"/>
      <c r="L116" s="310"/>
      <c r="M116" s="871"/>
      <c r="N116" s="871"/>
      <c r="O116" s="871"/>
      <c r="P116" s="871"/>
      <c r="Q116" s="871"/>
      <c r="R116" s="131"/>
      <c r="S116" s="131"/>
      <c r="T116" s="131"/>
      <c r="U116" s="131"/>
      <c r="V116" s="131"/>
      <c r="W116" s="131"/>
      <c r="X116" s="131"/>
      <c r="Y116" s="131"/>
      <c r="Z116" s="131"/>
      <c r="AJ116" s="278"/>
      <c r="AK116" s="278"/>
      <c r="AL116" s="278"/>
      <c r="AM116" s="278"/>
      <c r="AN116" s="278"/>
    </row>
    <row r="117" spans="1:40" x14ac:dyDescent="0.25">
      <c r="A117" s="310"/>
      <c r="B117" s="291"/>
      <c r="C117" s="251"/>
      <c r="D117" s="277" t="s">
        <v>807</v>
      </c>
      <c r="E117" s="182">
        <f>E116-$D$116</f>
        <v>0</v>
      </c>
      <c r="F117" s="182">
        <f>F116-$D$116</f>
        <v>0</v>
      </c>
      <c r="G117" s="182">
        <f>G116-$D$116</f>
        <v>0</v>
      </c>
      <c r="H117" s="182">
        <f>H116-$D$116</f>
        <v>0</v>
      </c>
      <c r="I117" s="182">
        <f>I116-$D$116</f>
        <v>0</v>
      </c>
      <c r="J117" s="310"/>
      <c r="K117" s="310"/>
      <c r="L117" s="310"/>
      <c r="M117" s="310"/>
      <c r="N117" s="310"/>
      <c r="O117" s="310"/>
      <c r="P117" s="310"/>
      <c r="Q117" s="310"/>
      <c r="V117" s="131"/>
    </row>
    <row r="118" spans="1:40" x14ac:dyDescent="0.25">
      <c r="A118" s="310"/>
      <c r="B118" s="310"/>
      <c r="C118" s="310"/>
      <c r="D118" s="310"/>
      <c r="E118" s="310"/>
      <c r="F118" s="310"/>
      <c r="G118" s="310"/>
      <c r="H118" s="310"/>
      <c r="I118" s="310"/>
      <c r="J118" s="310"/>
      <c r="K118" s="310"/>
      <c r="L118" s="310"/>
      <c r="M118" s="310"/>
      <c r="N118" s="310"/>
      <c r="O118" s="310"/>
      <c r="P118" s="310"/>
      <c r="Q118" s="310"/>
      <c r="V118" s="131"/>
    </row>
    <row r="119" spans="1:40" x14ac:dyDescent="0.25">
      <c r="A119" s="310"/>
      <c r="B119" s="311"/>
      <c r="C119" s="312"/>
      <c r="D119" s="312"/>
      <c r="E119" s="313"/>
      <c r="F119" s="314"/>
      <c r="G119" s="315"/>
      <c r="H119" s="315"/>
      <c r="I119" s="365"/>
      <c r="J119" s="310"/>
      <c r="K119" s="310"/>
      <c r="L119" s="310"/>
      <c r="M119" s="310"/>
      <c r="N119" s="310"/>
      <c r="O119" s="310"/>
      <c r="P119" s="310"/>
      <c r="Q119" s="383"/>
      <c r="R119" s="131"/>
      <c r="S119" s="131"/>
      <c r="T119" s="131"/>
      <c r="U119" s="131"/>
      <c r="V119" s="131"/>
      <c r="W119" s="131"/>
      <c r="X119" s="131"/>
      <c r="Y119" s="131"/>
      <c r="Z119" s="131"/>
      <c r="AJ119" s="278"/>
      <c r="AK119" s="278"/>
      <c r="AL119" s="278"/>
      <c r="AM119" s="278"/>
      <c r="AN119" s="278"/>
    </row>
    <row r="120" spans="1:40" x14ac:dyDescent="0.25">
      <c r="A120" s="310"/>
      <c r="B120" s="372" t="s">
        <v>1151</v>
      </c>
      <c r="C120" s="373"/>
      <c r="D120" s="373"/>
      <c r="E120" s="373"/>
      <c r="F120" s="373"/>
      <c r="G120" s="373"/>
      <c r="H120" s="373"/>
      <c r="I120" s="316"/>
      <c r="J120" s="383"/>
      <c r="K120" s="383"/>
      <c r="L120" s="403"/>
      <c r="M120" s="403"/>
      <c r="N120" s="403"/>
      <c r="O120" s="403"/>
      <c r="P120" s="403"/>
      <c r="Q120" s="403"/>
      <c r="R120" s="131"/>
      <c r="S120" s="131"/>
      <c r="T120" s="131"/>
      <c r="U120" s="131"/>
      <c r="V120" s="131"/>
      <c r="W120" s="131"/>
      <c r="X120" s="131"/>
      <c r="Y120" s="131"/>
      <c r="Z120" s="131"/>
      <c r="AJ120" s="278"/>
      <c r="AK120" s="278"/>
      <c r="AL120" s="278"/>
      <c r="AM120" s="278"/>
      <c r="AN120" s="278"/>
    </row>
    <row r="121" spans="1:40" ht="45" x14ac:dyDescent="0.25">
      <c r="A121" s="310"/>
      <c r="B121" s="271" t="s">
        <v>741</v>
      </c>
      <c r="C121" s="163" t="s">
        <v>1146</v>
      </c>
      <c r="D121" s="394" t="s">
        <v>792</v>
      </c>
      <c r="E121" s="250" t="s">
        <v>672</v>
      </c>
      <c r="F121" s="250" t="s">
        <v>673</v>
      </c>
      <c r="G121" s="162" t="s">
        <v>766</v>
      </c>
      <c r="H121" s="162" t="s">
        <v>767</v>
      </c>
      <c r="I121" s="250" t="s">
        <v>768</v>
      </c>
      <c r="J121" s="310"/>
      <c r="K121" s="506" t="s">
        <v>802</v>
      </c>
      <c r="L121" s="394" t="s">
        <v>792</v>
      </c>
      <c r="M121" s="250" t="s">
        <v>672</v>
      </c>
      <c r="N121" s="250" t="s">
        <v>673</v>
      </c>
      <c r="O121" s="162" t="s">
        <v>766</v>
      </c>
      <c r="P121" s="162" t="s">
        <v>767</v>
      </c>
      <c r="Q121" s="250" t="s">
        <v>768</v>
      </c>
      <c r="R121" s="131"/>
      <c r="S121" s="131"/>
      <c r="T121" s="131"/>
      <c r="U121" s="131"/>
      <c r="V121" s="131"/>
      <c r="W121" s="131"/>
      <c r="X121" s="131"/>
      <c r="Y121" s="131"/>
      <c r="Z121" s="131"/>
      <c r="AJ121" s="278"/>
      <c r="AK121" s="278"/>
      <c r="AL121" s="278"/>
      <c r="AM121" s="278"/>
      <c r="AN121" s="278"/>
    </row>
    <row r="122" spans="1:40" x14ac:dyDescent="0.25">
      <c r="A122" s="310"/>
      <c r="B122" s="331" t="s">
        <v>1148</v>
      </c>
      <c r="C122" s="147">
        <f>'Inputs and eligible population'!G132</f>
        <v>60</v>
      </c>
      <c r="D122" s="126">
        <f>D114*$C122/60</f>
        <v>0</v>
      </c>
      <c r="E122" s="126">
        <f t="shared" ref="E122:I122" si="108">E114*$C122/60</f>
        <v>0</v>
      </c>
      <c r="F122" s="126">
        <f t="shared" si="108"/>
        <v>0</v>
      </c>
      <c r="G122" s="126">
        <f t="shared" si="108"/>
        <v>0</v>
      </c>
      <c r="H122" s="126">
        <f t="shared" si="108"/>
        <v>0</v>
      </c>
      <c r="I122" s="126">
        <f t="shared" si="108"/>
        <v>0</v>
      </c>
      <c r="J122" s="310"/>
      <c r="K122" s="522">
        <f>'Inputs and eligible population'!L132</f>
        <v>42.84</v>
      </c>
      <c r="L122" s="284">
        <f>D122*$K122/1000</f>
        <v>0</v>
      </c>
      <c r="M122" s="284">
        <f t="shared" ref="M122:M123" si="109">E122*$K122/1000</f>
        <v>0</v>
      </c>
      <c r="N122" s="284">
        <f t="shared" ref="N122:N123" si="110">F122*$K122/1000</f>
        <v>0</v>
      </c>
      <c r="O122" s="284">
        <f t="shared" ref="O122:O123" si="111">G122*$K122/1000</f>
        <v>0</v>
      </c>
      <c r="P122" s="284">
        <f t="shared" ref="P122:P123" si="112">H122*$K122/1000</f>
        <v>0</v>
      </c>
      <c r="Q122" s="284">
        <f t="shared" ref="Q122:Q123" si="113">I122*$K122/1000</f>
        <v>0</v>
      </c>
      <c r="R122" s="131"/>
      <c r="S122" s="131"/>
      <c r="T122" s="131"/>
      <c r="U122" s="131"/>
      <c r="V122" s="131"/>
      <c r="W122" s="131"/>
      <c r="X122" s="131"/>
      <c r="Y122" s="131"/>
      <c r="Z122" s="131"/>
      <c r="AJ122" s="278"/>
      <c r="AK122" s="278"/>
      <c r="AL122" s="278"/>
      <c r="AM122" s="278"/>
      <c r="AN122" s="278"/>
    </row>
    <row r="123" spans="1:40" x14ac:dyDescent="0.25">
      <c r="A123" s="310"/>
      <c r="B123" s="331" t="s">
        <v>1149</v>
      </c>
      <c r="C123" s="147">
        <f>'Inputs and eligible population'!G134</f>
        <v>15</v>
      </c>
      <c r="D123" s="126">
        <f t="shared" ref="D123:I123" si="114">D115*$C123/60</f>
        <v>0</v>
      </c>
      <c r="E123" s="126">
        <f t="shared" si="114"/>
        <v>0</v>
      </c>
      <c r="F123" s="126">
        <f t="shared" si="114"/>
        <v>0</v>
      </c>
      <c r="G123" s="126">
        <f t="shared" si="114"/>
        <v>0</v>
      </c>
      <c r="H123" s="126">
        <f t="shared" si="114"/>
        <v>0</v>
      </c>
      <c r="I123" s="126">
        <f t="shared" si="114"/>
        <v>0</v>
      </c>
      <c r="J123" s="310"/>
      <c r="K123" s="522">
        <f>'Inputs and eligible population'!L134</f>
        <v>42.84</v>
      </c>
      <c r="L123" s="284">
        <f t="shared" ref="L123" si="115">D123*$K123/1000</f>
        <v>0</v>
      </c>
      <c r="M123" s="284">
        <f t="shared" si="109"/>
        <v>0</v>
      </c>
      <c r="N123" s="284">
        <f t="shared" si="110"/>
        <v>0</v>
      </c>
      <c r="O123" s="284">
        <f t="shared" si="111"/>
        <v>0</v>
      </c>
      <c r="P123" s="284">
        <f t="shared" si="112"/>
        <v>0</v>
      </c>
      <c r="Q123" s="284">
        <f t="shared" si="113"/>
        <v>0</v>
      </c>
      <c r="R123" s="131"/>
      <c r="S123" s="131"/>
      <c r="T123" s="131"/>
      <c r="U123" s="131"/>
      <c r="V123" s="131"/>
      <c r="W123" s="131"/>
      <c r="X123" s="131"/>
      <c r="Y123" s="131"/>
      <c r="Z123" s="131"/>
      <c r="AJ123" s="278"/>
      <c r="AK123" s="278"/>
      <c r="AL123" s="278"/>
      <c r="AM123" s="278"/>
      <c r="AN123" s="278"/>
    </row>
    <row r="124" spans="1:40" x14ac:dyDescent="0.25">
      <c r="A124" s="310"/>
      <c r="B124" s="275"/>
      <c r="C124" s="202"/>
      <c r="D124" s="182">
        <f t="shared" ref="D124:I124" si="116">SUM(D122:D123)</f>
        <v>0</v>
      </c>
      <c r="E124" s="182">
        <f t="shared" si="116"/>
        <v>0</v>
      </c>
      <c r="F124" s="182">
        <f t="shared" si="116"/>
        <v>0</v>
      </c>
      <c r="G124" s="182">
        <f t="shared" si="116"/>
        <v>0</v>
      </c>
      <c r="H124" s="182">
        <f t="shared" si="116"/>
        <v>0</v>
      </c>
      <c r="I124" s="182">
        <f t="shared" si="116"/>
        <v>0</v>
      </c>
      <c r="J124" s="310"/>
      <c r="K124" s="310"/>
      <c r="L124" s="285">
        <f t="shared" ref="L124:Q124" si="117">SUM(L122:L123)</f>
        <v>0</v>
      </c>
      <c r="M124" s="285">
        <f t="shared" si="117"/>
        <v>0</v>
      </c>
      <c r="N124" s="285">
        <f t="shared" si="117"/>
        <v>0</v>
      </c>
      <c r="O124" s="285">
        <f t="shared" si="117"/>
        <v>0</v>
      </c>
      <c r="P124" s="285">
        <f t="shared" si="117"/>
        <v>0</v>
      </c>
      <c r="Q124" s="285">
        <f t="shared" si="117"/>
        <v>0</v>
      </c>
      <c r="R124" s="131"/>
      <c r="S124" s="131"/>
      <c r="T124" s="131"/>
      <c r="U124" s="131"/>
      <c r="V124" s="131"/>
      <c r="W124" s="131"/>
      <c r="X124" s="131"/>
      <c r="Y124" s="131"/>
      <c r="Z124" s="131"/>
      <c r="AJ124" s="278"/>
      <c r="AK124" s="278"/>
      <c r="AL124" s="278"/>
      <c r="AM124" s="278"/>
      <c r="AN124" s="278"/>
    </row>
    <row r="125" spans="1:40" x14ac:dyDescent="0.25">
      <c r="A125" s="310"/>
      <c r="B125" s="291"/>
      <c r="C125" s="251"/>
      <c r="D125" s="277" t="s">
        <v>1141</v>
      </c>
      <c r="E125" s="182">
        <f>E124-$D$124</f>
        <v>0</v>
      </c>
      <c r="F125" s="182">
        <f t="shared" ref="F125:I125" si="118">F124-$D$124</f>
        <v>0</v>
      </c>
      <c r="G125" s="182">
        <f t="shared" si="118"/>
        <v>0</v>
      </c>
      <c r="H125" s="182">
        <f t="shared" si="118"/>
        <v>0</v>
      </c>
      <c r="I125" s="182">
        <f t="shared" si="118"/>
        <v>0</v>
      </c>
      <c r="J125" s="310"/>
      <c r="K125" s="310"/>
      <c r="L125" s="498"/>
      <c r="M125" s="285">
        <f>M124-$L$124</f>
        <v>0</v>
      </c>
      <c r="N125" s="285">
        <f>N124-$L$124</f>
        <v>0</v>
      </c>
      <c r="O125" s="285">
        <f>O124-$L$124</f>
        <v>0</v>
      </c>
      <c r="P125" s="285">
        <f>P124-$L$124</f>
        <v>0</v>
      </c>
      <c r="Q125" s="285">
        <f>Q124-$L$124</f>
        <v>0</v>
      </c>
      <c r="V125" s="131"/>
    </row>
    <row r="126" spans="1:40" x14ac:dyDescent="0.25">
      <c r="A126" s="310"/>
      <c r="B126" s="893"/>
      <c r="C126" s="894"/>
      <c r="D126" s="895"/>
      <c r="E126" s="869"/>
      <c r="F126" s="310"/>
      <c r="G126" s="310"/>
      <c r="H126" s="383"/>
      <c r="I126" s="383"/>
      <c r="J126" s="383"/>
      <c r="K126" s="383"/>
      <c r="L126" s="383"/>
      <c r="M126" s="383"/>
      <c r="N126" s="383"/>
      <c r="O126" s="383"/>
      <c r="P126" s="383"/>
      <c r="Q126" s="383"/>
      <c r="R126" s="131"/>
      <c r="S126" s="131"/>
      <c r="T126" s="131"/>
      <c r="U126" s="131"/>
      <c r="V126" s="131"/>
      <c r="W126" s="131"/>
      <c r="X126" s="131"/>
      <c r="Y126" s="131"/>
      <c r="Z126" s="131"/>
      <c r="AJ126" s="278"/>
      <c r="AK126" s="278"/>
      <c r="AL126" s="278"/>
      <c r="AM126" s="278"/>
      <c r="AN126" s="278"/>
    </row>
    <row r="127" spans="1:40" x14ac:dyDescent="0.25">
      <c r="A127" s="896"/>
      <c r="B127" s="897" t="s">
        <v>1173</v>
      </c>
      <c r="C127" s="369"/>
      <c r="D127" s="369"/>
      <c r="E127" s="369"/>
      <c r="F127" s="369"/>
      <c r="G127" s="369"/>
      <c r="H127" s="369"/>
      <c r="I127" s="213"/>
      <c r="J127" s="214"/>
      <c r="K127" s="214"/>
      <c r="L127" s="214"/>
      <c r="M127" s="214"/>
      <c r="N127" s="214"/>
      <c r="O127" s="214"/>
      <c r="P127" s="214"/>
      <c r="Q127" s="214"/>
      <c r="R127" s="131"/>
      <c r="S127" s="131"/>
      <c r="T127" s="131"/>
      <c r="U127" s="131"/>
      <c r="V127" s="131"/>
      <c r="W127" s="131"/>
      <c r="X127" s="131"/>
      <c r="Y127" s="131"/>
      <c r="Z127" s="131"/>
      <c r="AJ127" s="278"/>
      <c r="AK127" s="278"/>
      <c r="AL127" s="278"/>
      <c r="AM127" s="278"/>
      <c r="AN127" s="278"/>
    </row>
    <row r="128" spans="1:40" ht="45" x14ac:dyDescent="0.25">
      <c r="A128" s="896"/>
      <c r="B128" s="301" t="s">
        <v>741</v>
      </c>
      <c r="C128" s="163" t="s">
        <v>801</v>
      </c>
      <c r="D128" s="394" t="s">
        <v>792</v>
      </c>
      <c r="E128" s="250" t="s">
        <v>672</v>
      </c>
      <c r="F128" s="250" t="s">
        <v>673</v>
      </c>
      <c r="G128" s="162" t="s">
        <v>766</v>
      </c>
      <c r="H128" s="162" t="s">
        <v>767</v>
      </c>
      <c r="I128" s="250" t="s">
        <v>768</v>
      </c>
      <c r="J128" s="903"/>
      <c r="K128" s="904"/>
      <c r="L128" s="905"/>
      <c r="M128" s="906"/>
      <c r="N128" s="906"/>
      <c r="O128" s="906"/>
      <c r="P128" s="906"/>
      <c r="Q128" s="906"/>
      <c r="R128" s="131"/>
      <c r="S128" s="131"/>
      <c r="T128" s="131"/>
      <c r="U128" s="131"/>
      <c r="V128" s="131"/>
      <c r="W128" s="131"/>
      <c r="X128" s="131"/>
      <c r="Y128" s="131"/>
      <c r="Z128" s="131"/>
      <c r="AJ128" s="278"/>
      <c r="AK128" s="278"/>
      <c r="AL128" s="278"/>
      <c r="AM128" s="278"/>
      <c r="AN128" s="278"/>
    </row>
    <row r="129" spans="1:40" x14ac:dyDescent="0.25">
      <c r="A129" s="896"/>
      <c r="B129" s="331" t="s">
        <v>1168</v>
      </c>
      <c r="C129" s="147">
        <f>'Inputs and eligible population'!G135</f>
        <v>5</v>
      </c>
      <c r="D129" s="126">
        <f>'Inputs and eligible population'!F50*'Capacity (local prices)'!$C129</f>
        <v>0</v>
      </c>
      <c r="E129" s="126">
        <f>'Inputs and eligible population'!G50*'Capacity (local prices)'!$C129</f>
        <v>0</v>
      </c>
      <c r="F129" s="126">
        <f>'Inputs and eligible population'!H50*'Capacity (local prices)'!$C129</f>
        <v>0</v>
      </c>
      <c r="G129" s="126">
        <f>'Inputs and eligible population'!I50*'Capacity (local prices)'!$C129</f>
        <v>0</v>
      </c>
      <c r="H129" s="126">
        <f>'Inputs and eligible population'!J50*'Capacity (local prices)'!$C129</f>
        <v>0</v>
      </c>
      <c r="I129" s="126">
        <f>'Inputs and eligible population'!K50*'Capacity (local prices)'!$C129</f>
        <v>0</v>
      </c>
      <c r="J129" s="903"/>
      <c r="K129" s="907"/>
      <c r="L129" s="908"/>
      <c r="M129" s="908"/>
      <c r="N129" s="908"/>
      <c r="O129" s="908"/>
      <c r="P129" s="908"/>
      <c r="Q129" s="908"/>
      <c r="R129" s="131"/>
      <c r="S129" s="131"/>
      <c r="T129" s="131"/>
      <c r="U129" s="131"/>
      <c r="V129" s="131"/>
      <c r="W129" s="131"/>
      <c r="X129" s="131"/>
      <c r="Y129" s="131"/>
      <c r="Z129" s="131"/>
      <c r="AJ129" s="278"/>
      <c r="AK129" s="278"/>
      <c r="AL129" s="278"/>
      <c r="AM129" s="278"/>
      <c r="AN129" s="278"/>
    </row>
    <row r="130" spans="1:40" x14ac:dyDescent="0.25">
      <c r="A130" s="896"/>
      <c r="B130" s="331" t="s">
        <v>1169</v>
      </c>
      <c r="C130" s="147">
        <f>'Inputs and eligible population'!G135</f>
        <v>5</v>
      </c>
      <c r="D130" s="126">
        <f>'Inputs and eligible population'!F51*'Capacity (local prices)'!$C130</f>
        <v>0</v>
      </c>
      <c r="E130" s="126">
        <f>'Inputs and eligible population'!G51*'Capacity (local prices)'!$C130</f>
        <v>0</v>
      </c>
      <c r="F130" s="126">
        <f>'Inputs and eligible population'!H51*'Capacity (local prices)'!$C130</f>
        <v>0</v>
      </c>
      <c r="G130" s="126">
        <f>'Inputs and eligible population'!I51*'Capacity (local prices)'!$C130</f>
        <v>0</v>
      </c>
      <c r="H130" s="126">
        <f>'Inputs and eligible population'!J51*'Capacity (local prices)'!$C130</f>
        <v>0</v>
      </c>
      <c r="I130" s="126">
        <f>'Inputs and eligible population'!K51*'Capacity (local prices)'!$C130</f>
        <v>0</v>
      </c>
      <c r="J130" s="903"/>
      <c r="K130" s="907"/>
      <c r="L130" s="908"/>
      <c r="M130" s="908"/>
      <c r="N130" s="908"/>
      <c r="O130" s="908"/>
      <c r="P130" s="908"/>
      <c r="Q130" s="908"/>
      <c r="R130" s="131"/>
      <c r="S130" s="131"/>
      <c r="T130" s="131"/>
      <c r="U130" s="131"/>
      <c r="V130" s="131"/>
      <c r="W130" s="131"/>
      <c r="X130" s="131"/>
      <c r="Y130" s="131"/>
      <c r="Z130" s="131"/>
      <c r="AJ130" s="278"/>
      <c r="AK130" s="278"/>
      <c r="AL130" s="278"/>
      <c r="AM130" s="278"/>
      <c r="AN130" s="278"/>
    </row>
    <row r="131" spans="1:40" x14ac:dyDescent="0.25">
      <c r="A131" s="896"/>
      <c r="B131" s="331" t="s">
        <v>1170</v>
      </c>
      <c r="C131" s="147">
        <f>-'Inputs and eligible population'!I137</f>
        <v>-8.6999999999999993</v>
      </c>
      <c r="D131" s="126">
        <v>0</v>
      </c>
      <c r="E131" s="126">
        <f>'Inputs and eligible population'!F59*C131*'Inputs and eligible population'!G53</f>
        <v>0</v>
      </c>
      <c r="F131" s="126">
        <f>('Inputs and eligible population'!F59+'Inputs and eligible population'!G59)*C131*'Inputs and eligible population'!H53</f>
        <v>0</v>
      </c>
      <c r="G131" s="126">
        <f>('Inputs and eligible population'!F59+'Inputs and eligible population'!G59+'Inputs and eligible population'!H59)*C131*'Inputs and eligible population'!I53</f>
        <v>0</v>
      </c>
      <c r="H131" s="126">
        <f>('Inputs and eligible population'!F59+'Inputs and eligible population'!G59+'Inputs and eligible population'!H59+'Inputs and eligible population'!I59)*C131*'Inputs and eligible population'!J53</f>
        <v>0</v>
      </c>
      <c r="I131" s="126">
        <f>('Inputs and eligible population'!F59+'Inputs and eligible population'!G59+'Inputs and eligible population'!H59+'Inputs and eligible population'!I59+'Inputs and eligible population'!J59)*C131*'Inputs and eligible population'!K53</f>
        <v>0</v>
      </c>
      <c r="J131" s="903"/>
      <c r="K131" s="907"/>
      <c r="L131" s="908"/>
      <c r="M131" s="908"/>
      <c r="N131" s="908"/>
      <c r="O131" s="908"/>
      <c r="P131" s="908"/>
      <c r="Q131" s="908"/>
      <c r="R131" s="131"/>
      <c r="S131" s="131"/>
      <c r="T131" s="131"/>
      <c r="U131" s="131"/>
      <c r="V131" s="131"/>
      <c r="W131" s="131"/>
      <c r="X131" s="131"/>
      <c r="Y131" s="131"/>
      <c r="Z131" s="131"/>
      <c r="AJ131" s="278"/>
      <c r="AK131" s="278"/>
      <c r="AL131" s="278"/>
      <c r="AM131" s="278"/>
      <c r="AN131" s="278"/>
    </row>
    <row r="132" spans="1:40" x14ac:dyDescent="0.25">
      <c r="A132" s="896"/>
      <c r="B132" s="331" t="s">
        <v>1175</v>
      </c>
      <c r="C132" s="147">
        <f>-'Inputs and eligible population'!I137</f>
        <v>-8.6999999999999993</v>
      </c>
      <c r="D132" s="126">
        <v>0</v>
      </c>
      <c r="E132" s="126">
        <f>'Inputs and eligible population'!F60*C132*'Inputs and eligible population'!G53</f>
        <v>0</v>
      </c>
      <c r="F132" s="126">
        <f>('Inputs and eligible population'!F60+'Inputs and eligible population'!G60)*C132*'Inputs and eligible population'!H53</f>
        <v>0</v>
      </c>
      <c r="G132" s="126">
        <f>('Inputs and eligible population'!F60+'Inputs and eligible population'!G60+'Inputs and eligible population'!H60)*C132*'Inputs and eligible population'!I53</f>
        <v>0</v>
      </c>
      <c r="H132" s="126">
        <f>('Inputs and eligible population'!F60+'Inputs and eligible population'!G60+'Inputs and eligible population'!H60+'Inputs and eligible population'!I60)*C132*'Inputs and eligible population'!J53</f>
        <v>0</v>
      </c>
      <c r="I132" s="126">
        <f>('Inputs and eligible population'!F60+'Inputs and eligible population'!G60+'Inputs and eligible population'!H60+'Inputs and eligible population'!I60+'Inputs and eligible population'!J60)*C132*'Inputs and eligible population'!K53</f>
        <v>0</v>
      </c>
      <c r="J132" s="903"/>
      <c r="K132" s="907"/>
      <c r="L132" s="908"/>
      <c r="M132" s="908"/>
      <c r="N132" s="908"/>
      <c r="O132" s="908"/>
      <c r="P132" s="908"/>
      <c r="Q132" s="908"/>
      <c r="R132" s="131"/>
      <c r="S132" s="131"/>
      <c r="T132" s="131"/>
      <c r="U132" s="131"/>
      <c r="V132" s="131"/>
      <c r="W132" s="131"/>
      <c r="X132" s="131"/>
      <c r="Y132" s="131"/>
      <c r="Z132" s="131"/>
      <c r="AJ132" s="278"/>
      <c r="AK132" s="278"/>
      <c r="AL132" s="278"/>
      <c r="AM132" s="278"/>
      <c r="AN132" s="278"/>
    </row>
    <row r="133" spans="1:40" x14ac:dyDescent="0.25">
      <c r="A133" s="896"/>
      <c r="B133" s="480"/>
      <c r="C133" s="275"/>
      <c r="D133" s="182">
        <f t="shared" ref="D133:I133" si="119">SUM(D129:D132)</f>
        <v>0</v>
      </c>
      <c r="E133" s="182">
        <f t="shared" si="119"/>
        <v>0</v>
      </c>
      <c r="F133" s="182">
        <f t="shared" si="119"/>
        <v>0</v>
      </c>
      <c r="G133" s="182">
        <f t="shared" si="119"/>
        <v>0</v>
      </c>
      <c r="H133" s="182">
        <f t="shared" si="119"/>
        <v>0</v>
      </c>
      <c r="I133" s="182">
        <f t="shared" si="119"/>
        <v>0</v>
      </c>
      <c r="J133" s="903"/>
      <c r="K133" s="214"/>
      <c r="L133" s="909"/>
      <c r="M133" s="909"/>
      <c r="N133" s="909"/>
      <c r="O133" s="909"/>
      <c r="P133" s="909"/>
      <c r="Q133" s="909"/>
      <c r="R133" s="131"/>
      <c r="S133" s="131"/>
      <c r="T133" s="131"/>
      <c r="U133" s="131"/>
      <c r="V133" s="131"/>
      <c r="W133" s="131"/>
      <c r="X133" s="131"/>
      <c r="Y133" s="131"/>
      <c r="Z133" s="131"/>
      <c r="AJ133" s="278"/>
      <c r="AK133" s="278"/>
      <c r="AL133" s="278"/>
      <c r="AM133" s="278"/>
      <c r="AN133" s="278"/>
    </row>
    <row r="134" spans="1:40" x14ac:dyDescent="0.25">
      <c r="A134" s="896"/>
      <c r="B134" s="251"/>
      <c r="C134" s="251"/>
      <c r="D134" s="277" t="s">
        <v>803</v>
      </c>
      <c r="E134" s="182">
        <f>E133-$D133</f>
        <v>0</v>
      </c>
      <c r="F134" s="182">
        <f t="shared" ref="F134:I134" si="120">F133-$D133</f>
        <v>0</v>
      </c>
      <c r="G134" s="182">
        <f t="shared" si="120"/>
        <v>0</v>
      </c>
      <c r="H134" s="182">
        <f t="shared" si="120"/>
        <v>0</v>
      </c>
      <c r="I134" s="182">
        <f t="shared" si="120"/>
        <v>0</v>
      </c>
      <c r="J134" s="903"/>
      <c r="K134" s="214"/>
      <c r="L134" s="214"/>
      <c r="M134" s="909"/>
      <c r="N134" s="909"/>
      <c r="O134" s="909"/>
      <c r="P134" s="909"/>
      <c r="Q134" s="909"/>
      <c r="R134" s="131"/>
      <c r="S134" s="131"/>
      <c r="T134" s="131"/>
      <c r="U134" s="131"/>
      <c r="V134" s="131"/>
      <c r="W134" s="131"/>
      <c r="X134" s="131"/>
      <c r="Y134" s="131"/>
      <c r="Z134" s="131"/>
      <c r="AJ134" s="278"/>
      <c r="AK134" s="278"/>
      <c r="AL134" s="278"/>
      <c r="AM134" s="278"/>
      <c r="AN134" s="278"/>
    </row>
    <row r="135" spans="1:40" x14ac:dyDescent="0.25">
      <c r="A135" s="281"/>
      <c r="B135" s="898"/>
      <c r="C135" s="899"/>
      <c r="D135" s="900"/>
      <c r="E135" s="901"/>
      <c r="F135" s="281"/>
      <c r="G135" s="281"/>
      <c r="H135" s="281"/>
      <c r="I135" s="902"/>
      <c r="J135" s="214"/>
      <c r="K135" s="214"/>
      <c r="L135" s="214"/>
      <c r="M135" s="214"/>
      <c r="N135" s="214"/>
      <c r="O135" s="214"/>
      <c r="P135" s="214"/>
      <c r="Q135" s="214"/>
      <c r="R135" s="131"/>
      <c r="S135" s="131"/>
      <c r="T135" s="131"/>
      <c r="U135" s="131"/>
      <c r="V135" s="131"/>
      <c r="W135" s="131"/>
      <c r="X135" s="131"/>
      <c r="Y135" s="131"/>
      <c r="Z135" s="131"/>
      <c r="AJ135" s="278"/>
      <c r="AK135" s="278"/>
      <c r="AL135" s="278"/>
      <c r="AM135" s="278"/>
      <c r="AN135" s="278"/>
    </row>
    <row r="136" spans="1:40" x14ac:dyDescent="0.25">
      <c r="A136" s="281"/>
      <c r="B136" s="897" t="s">
        <v>1174</v>
      </c>
      <c r="C136" s="369"/>
      <c r="D136" s="369"/>
      <c r="E136" s="369"/>
      <c r="F136" s="369"/>
      <c r="G136" s="369"/>
      <c r="H136" s="369"/>
      <c r="I136" s="213"/>
      <c r="J136" s="214"/>
      <c r="K136" s="214"/>
      <c r="L136" s="214"/>
      <c r="M136" s="214"/>
      <c r="N136" s="214"/>
      <c r="O136" s="214"/>
      <c r="P136" s="214"/>
      <c r="Q136" s="214"/>
      <c r="R136" s="131"/>
      <c r="S136" s="131"/>
      <c r="T136" s="131"/>
      <c r="U136" s="131"/>
      <c r="V136" s="131"/>
      <c r="W136" s="131"/>
      <c r="X136" s="131"/>
      <c r="Y136" s="131"/>
      <c r="Z136" s="131"/>
      <c r="AJ136" s="278"/>
      <c r="AK136" s="278"/>
      <c r="AL136" s="278"/>
      <c r="AM136" s="278"/>
      <c r="AN136" s="278"/>
    </row>
    <row r="137" spans="1:40" ht="45" x14ac:dyDescent="0.25">
      <c r="A137" s="281"/>
      <c r="B137" s="271" t="s">
        <v>741</v>
      </c>
      <c r="C137" s="163" t="s">
        <v>1159</v>
      </c>
      <c r="D137" s="394" t="s">
        <v>792</v>
      </c>
      <c r="E137" s="250" t="s">
        <v>672</v>
      </c>
      <c r="F137" s="250" t="s">
        <v>673</v>
      </c>
      <c r="G137" s="162" t="s">
        <v>766</v>
      </c>
      <c r="H137" s="162" t="s">
        <v>767</v>
      </c>
      <c r="I137" s="250" t="s">
        <v>768</v>
      </c>
      <c r="J137" s="214"/>
      <c r="K137" s="506" t="s">
        <v>810</v>
      </c>
      <c r="L137" s="394" t="s">
        <v>792</v>
      </c>
      <c r="M137" s="496" t="s">
        <v>672</v>
      </c>
      <c r="N137" s="496" t="s">
        <v>673</v>
      </c>
      <c r="O137" s="395" t="s">
        <v>766</v>
      </c>
      <c r="P137" s="395" t="s">
        <v>767</v>
      </c>
      <c r="Q137" s="496" t="s">
        <v>768</v>
      </c>
      <c r="R137" s="131"/>
      <c r="S137" s="131"/>
      <c r="T137" s="131"/>
      <c r="U137" s="131"/>
      <c r="V137" s="131"/>
      <c r="W137" s="131"/>
      <c r="X137" s="131"/>
      <c r="Y137" s="131"/>
      <c r="Z137" s="131"/>
      <c r="AJ137" s="278"/>
      <c r="AK137" s="278"/>
      <c r="AL137" s="278"/>
      <c r="AM137" s="278"/>
      <c r="AN137" s="278"/>
    </row>
    <row r="138" spans="1:40" x14ac:dyDescent="0.25">
      <c r="A138" s="281"/>
      <c r="B138" s="331" t="s">
        <v>1172</v>
      </c>
      <c r="C138" s="147">
        <f>'Inputs and eligible population'!G136</f>
        <v>480</v>
      </c>
      <c r="D138" s="126">
        <f>(D129+D130)*$C138/60</f>
        <v>0</v>
      </c>
      <c r="E138" s="126">
        <f t="shared" ref="E138:I138" si="121">(E129+E130)*$C138/60</f>
        <v>0</v>
      </c>
      <c r="F138" s="126">
        <f t="shared" si="121"/>
        <v>0</v>
      </c>
      <c r="G138" s="126">
        <f t="shared" si="121"/>
        <v>0</v>
      </c>
      <c r="H138" s="126">
        <f t="shared" si="121"/>
        <v>0</v>
      </c>
      <c r="I138" s="126">
        <f t="shared" si="121"/>
        <v>0</v>
      </c>
      <c r="J138" s="214"/>
      <c r="K138" s="521">
        <f>'Inputs and eligible population'!L136</f>
        <v>42.84</v>
      </c>
      <c r="L138" s="284">
        <f>(D138*$K138)/1000</f>
        <v>0</v>
      </c>
      <c r="M138" s="284">
        <f t="shared" ref="M138:M139" si="122">(E138*$K138)/1000</f>
        <v>0</v>
      </c>
      <c r="N138" s="284">
        <f t="shared" ref="N138:N139" si="123">(F138*$K138)/1000</f>
        <v>0</v>
      </c>
      <c r="O138" s="284">
        <f t="shared" ref="O138:O139" si="124">(G138*$K138)/1000</f>
        <v>0</v>
      </c>
      <c r="P138" s="284">
        <f t="shared" ref="P138:P139" si="125">(H138*$K138)/1000</f>
        <v>0</v>
      </c>
      <c r="Q138" s="284">
        <f t="shared" ref="Q138:Q139" si="126">(I138*$K138)/1000</f>
        <v>0</v>
      </c>
      <c r="R138" s="131"/>
      <c r="S138" s="131"/>
      <c r="T138" s="131"/>
      <c r="U138" s="131"/>
      <c r="V138" s="131"/>
      <c r="W138" s="131"/>
      <c r="X138" s="131"/>
      <c r="Y138" s="131"/>
      <c r="Z138" s="131"/>
      <c r="AJ138" s="278"/>
      <c r="AK138" s="278"/>
      <c r="AL138" s="278"/>
      <c r="AM138" s="278"/>
      <c r="AN138" s="278"/>
    </row>
    <row r="139" spans="1:40" x14ac:dyDescent="0.25">
      <c r="A139" s="281"/>
      <c r="B139" s="331" t="s">
        <v>1171</v>
      </c>
      <c r="C139" s="147">
        <f>'Inputs and eligible population'!G136</f>
        <v>480</v>
      </c>
      <c r="D139" s="126">
        <f t="shared" ref="D139:H139" si="127">(D131+D132)*$C139/60</f>
        <v>0</v>
      </c>
      <c r="E139" s="126">
        <f t="shared" si="127"/>
        <v>0</v>
      </c>
      <c r="F139" s="126">
        <f>(F131+F132)*$C139/60</f>
        <v>0</v>
      </c>
      <c r="G139" s="126">
        <f t="shared" si="127"/>
        <v>0</v>
      </c>
      <c r="H139" s="126">
        <f t="shared" si="127"/>
        <v>0</v>
      </c>
      <c r="I139" s="126">
        <f>(I131+I132)*$C139/60</f>
        <v>0</v>
      </c>
      <c r="J139" s="214"/>
      <c r="K139" s="521">
        <f>'Inputs and eligible population'!L138</f>
        <v>42.84</v>
      </c>
      <c r="L139" s="284">
        <f t="shared" ref="L139" si="128">(D139*$K139)/1000</f>
        <v>0</v>
      </c>
      <c r="M139" s="284">
        <f t="shared" si="122"/>
        <v>0</v>
      </c>
      <c r="N139" s="284">
        <f t="shared" si="123"/>
        <v>0</v>
      </c>
      <c r="O139" s="284">
        <f t="shared" si="124"/>
        <v>0</v>
      </c>
      <c r="P139" s="284">
        <f t="shared" si="125"/>
        <v>0</v>
      </c>
      <c r="Q139" s="284">
        <f t="shared" si="126"/>
        <v>0</v>
      </c>
      <c r="R139" s="131"/>
      <c r="S139" s="131"/>
      <c r="T139" s="131"/>
      <c r="U139" s="131"/>
      <c r="V139" s="131"/>
      <c r="W139" s="131"/>
      <c r="X139" s="131"/>
      <c r="Y139" s="131"/>
      <c r="Z139" s="131"/>
      <c r="AJ139" s="278"/>
      <c r="AK139" s="278"/>
      <c r="AL139" s="278"/>
      <c r="AM139" s="278"/>
      <c r="AN139" s="278"/>
    </row>
    <row r="140" spans="1:40" x14ac:dyDescent="0.25">
      <c r="A140" s="281"/>
      <c r="B140" s="272"/>
      <c r="C140" s="275"/>
      <c r="D140" s="182">
        <f t="shared" ref="D140:I140" si="129">SUM(D138:D139)</f>
        <v>0</v>
      </c>
      <c r="E140" s="182">
        <f t="shared" si="129"/>
        <v>0</v>
      </c>
      <c r="F140" s="182">
        <f t="shared" si="129"/>
        <v>0</v>
      </c>
      <c r="G140" s="182">
        <f t="shared" si="129"/>
        <v>0</v>
      </c>
      <c r="H140" s="182">
        <f t="shared" si="129"/>
        <v>0</v>
      </c>
      <c r="I140" s="182">
        <f t="shared" si="129"/>
        <v>0</v>
      </c>
      <c r="J140" s="214"/>
      <c r="K140" s="214"/>
      <c r="L140" s="285">
        <f t="shared" ref="L140:Q140" si="130">SUM(L138:L139)</f>
        <v>0</v>
      </c>
      <c r="M140" s="285">
        <f t="shared" si="130"/>
        <v>0</v>
      </c>
      <c r="N140" s="285">
        <f t="shared" si="130"/>
        <v>0</v>
      </c>
      <c r="O140" s="285">
        <f t="shared" si="130"/>
        <v>0</v>
      </c>
      <c r="P140" s="285">
        <f t="shared" si="130"/>
        <v>0</v>
      </c>
      <c r="Q140" s="285">
        <f t="shared" si="130"/>
        <v>0</v>
      </c>
      <c r="R140" s="131"/>
      <c r="S140" s="131"/>
      <c r="T140" s="131"/>
      <c r="U140" s="131"/>
      <c r="V140" s="131"/>
      <c r="W140" s="131"/>
      <c r="X140" s="131"/>
      <c r="Y140" s="131"/>
      <c r="Z140" s="131"/>
      <c r="AJ140" s="278"/>
      <c r="AK140" s="278"/>
      <c r="AL140" s="278"/>
      <c r="AM140" s="278"/>
      <c r="AN140" s="278"/>
    </row>
    <row r="141" spans="1:40" x14ac:dyDescent="0.25">
      <c r="A141" s="281"/>
      <c r="B141" s="291"/>
      <c r="C141" s="251"/>
      <c r="D141" s="277" t="s">
        <v>1141</v>
      </c>
      <c r="E141" s="182">
        <f>E140-$D$140</f>
        <v>0</v>
      </c>
      <c r="F141" s="182">
        <f>F140-$D$140</f>
        <v>0</v>
      </c>
      <c r="G141" s="182">
        <f>G140-$D$140</f>
        <v>0</v>
      </c>
      <c r="H141" s="182">
        <f>H140-$D$140</f>
        <v>0</v>
      </c>
      <c r="I141" s="182">
        <f>I140-$D$140</f>
        <v>0</v>
      </c>
      <c r="J141" s="214"/>
      <c r="K141" s="214"/>
      <c r="L141" s="214"/>
      <c r="M141" s="285">
        <f>M140-$L140</f>
        <v>0</v>
      </c>
      <c r="N141" s="285">
        <f t="shared" ref="N141:Q141" si="131">N140-$L140</f>
        <v>0</v>
      </c>
      <c r="O141" s="285">
        <f t="shared" si="131"/>
        <v>0</v>
      </c>
      <c r="P141" s="285">
        <f t="shared" si="131"/>
        <v>0</v>
      </c>
      <c r="Q141" s="285">
        <f t="shared" si="131"/>
        <v>0</v>
      </c>
      <c r="R141" s="131"/>
      <c r="S141" s="131"/>
      <c r="T141" s="131"/>
      <c r="U141" s="131"/>
      <c r="V141" s="131"/>
      <c r="W141" s="131"/>
      <c r="X141" s="131"/>
      <c r="Y141" s="131"/>
      <c r="Z141" s="131"/>
      <c r="AJ141" s="278"/>
      <c r="AK141" s="278"/>
      <c r="AL141" s="278"/>
      <c r="AM141" s="278"/>
      <c r="AN141" s="278"/>
    </row>
    <row r="142" spans="1:40" x14ac:dyDescent="0.25">
      <c r="A142" s="281"/>
      <c r="B142" s="281"/>
      <c r="C142" s="281"/>
      <c r="D142" s="281"/>
      <c r="E142" s="281"/>
      <c r="F142" s="281"/>
      <c r="G142" s="281"/>
      <c r="H142" s="281"/>
      <c r="I142" s="281"/>
      <c r="J142" s="281"/>
      <c r="K142" s="281"/>
      <c r="L142" s="281"/>
      <c r="M142" s="281"/>
      <c r="N142" s="281"/>
      <c r="O142" s="281"/>
      <c r="P142" s="281"/>
      <c r="Q142" s="281"/>
      <c r="V142" s="131"/>
    </row>
    <row r="143" spans="1:40" x14ac:dyDescent="0.25">
      <c r="A143" s="280"/>
      <c r="B143" s="516"/>
      <c r="C143" s="509"/>
      <c r="D143" s="510"/>
      <c r="E143" s="511"/>
      <c r="F143" s="280"/>
      <c r="G143" s="280"/>
      <c r="H143" s="212"/>
      <c r="I143" s="212"/>
      <c r="J143" s="212"/>
      <c r="K143" s="212"/>
      <c r="L143" s="212"/>
      <c r="M143" s="212"/>
      <c r="N143" s="212"/>
      <c r="O143" s="212"/>
      <c r="P143" s="212"/>
      <c r="Q143" s="212"/>
      <c r="R143" s="131"/>
      <c r="S143" s="131"/>
      <c r="T143" s="131"/>
      <c r="U143" s="131"/>
      <c r="V143" s="131"/>
      <c r="W143" s="131"/>
      <c r="X143" s="131"/>
      <c r="Y143" s="131"/>
      <c r="Z143" s="131"/>
      <c r="AJ143" s="278"/>
      <c r="AK143" s="278"/>
      <c r="AL143" s="278"/>
      <c r="AM143" s="278"/>
      <c r="AN143" s="278"/>
    </row>
    <row r="144" spans="1:40" x14ac:dyDescent="0.25">
      <c r="A144" s="507"/>
      <c r="B144" s="512" t="s">
        <v>1157</v>
      </c>
      <c r="C144" s="371"/>
      <c r="D144" s="371"/>
      <c r="E144" s="371"/>
      <c r="F144" s="371"/>
      <c r="G144" s="371"/>
      <c r="H144" s="371"/>
      <c r="I144" s="211"/>
      <c r="J144" s="212"/>
      <c r="K144" s="212"/>
      <c r="L144" s="212"/>
      <c r="M144" s="212"/>
      <c r="N144" s="212"/>
      <c r="O144" s="212"/>
      <c r="P144" s="212"/>
      <c r="Q144" s="212"/>
      <c r="R144" s="131"/>
      <c r="S144" s="131"/>
      <c r="T144" s="131"/>
      <c r="U144" s="131"/>
      <c r="V144" s="131"/>
      <c r="W144" s="131"/>
      <c r="X144" s="131"/>
      <c r="Y144" s="131"/>
      <c r="Z144" s="131"/>
      <c r="AJ144" s="278"/>
      <c r="AK144" s="278"/>
      <c r="AL144" s="278"/>
      <c r="AM144" s="278"/>
      <c r="AN144" s="278"/>
    </row>
    <row r="145" spans="1:40" ht="45" x14ac:dyDescent="0.25">
      <c r="A145" s="507"/>
      <c r="B145" s="301" t="s">
        <v>741</v>
      </c>
      <c r="C145" s="163" t="s">
        <v>801</v>
      </c>
      <c r="D145" s="394" t="s">
        <v>792</v>
      </c>
      <c r="E145" s="250" t="s">
        <v>672</v>
      </c>
      <c r="F145" s="250" t="s">
        <v>673</v>
      </c>
      <c r="G145" s="162" t="s">
        <v>766</v>
      </c>
      <c r="H145" s="162" t="s">
        <v>767</v>
      </c>
      <c r="I145" s="250" t="s">
        <v>768</v>
      </c>
      <c r="J145" s="515"/>
      <c r="K145" s="875"/>
      <c r="L145" s="876"/>
      <c r="M145" s="877"/>
      <c r="N145" s="877"/>
      <c r="O145" s="877"/>
      <c r="P145" s="877"/>
      <c r="Q145" s="877"/>
      <c r="R145" s="131"/>
      <c r="S145" s="131"/>
      <c r="T145" s="131"/>
      <c r="U145" s="131"/>
      <c r="V145" s="131"/>
      <c r="W145" s="131"/>
      <c r="X145" s="131"/>
      <c r="Y145" s="131"/>
      <c r="Z145" s="131"/>
      <c r="AJ145" s="278"/>
      <c r="AK145" s="278"/>
      <c r="AL145" s="278"/>
      <c r="AM145" s="278"/>
      <c r="AN145" s="278"/>
    </row>
    <row r="146" spans="1:40" x14ac:dyDescent="0.25">
      <c r="A146" s="507"/>
      <c r="B146" s="331" t="s">
        <v>1082</v>
      </c>
      <c r="C146" s="147">
        <f>'Inputs and eligible population'!H139</f>
        <v>2</v>
      </c>
      <c r="D146" s="126">
        <f>'Inputs and eligible population'!F59*'Capacity (local prices)'!$C146</f>
        <v>0</v>
      </c>
      <c r="E146" s="126">
        <f>'Inputs and eligible population'!G59*'Capacity (local prices)'!$C146</f>
        <v>0</v>
      </c>
      <c r="F146" s="126">
        <f>'Inputs and eligible population'!H59*'Capacity (local prices)'!$C146</f>
        <v>0</v>
      </c>
      <c r="G146" s="126">
        <f>'Inputs and eligible population'!I59*'Capacity (local prices)'!$C146</f>
        <v>0</v>
      </c>
      <c r="H146" s="126">
        <f>'Inputs and eligible population'!J59*'Capacity (local prices)'!$C146</f>
        <v>0</v>
      </c>
      <c r="I146" s="126">
        <f>'Inputs and eligible population'!K59*'Capacity (local prices)'!$C146</f>
        <v>0</v>
      </c>
      <c r="J146" s="515"/>
      <c r="K146" s="878"/>
      <c r="L146" s="879"/>
      <c r="M146" s="879"/>
      <c r="N146" s="879"/>
      <c r="O146" s="879"/>
      <c r="P146" s="879"/>
      <c r="Q146" s="879"/>
      <c r="R146" s="131"/>
      <c r="S146" s="131"/>
      <c r="T146" s="131"/>
      <c r="U146" s="131"/>
      <c r="V146" s="131"/>
      <c r="W146" s="131"/>
      <c r="X146" s="131"/>
      <c r="Y146" s="131"/>
      <c r="Z146" s="131"/>
      <c r="AJ146" s="278"/>
      <c r="AK146" s="278"/>
      <c r="AL146" s="278"/>
      <c r="AM146" s="278"/>
      <c r="AN146" s="278"/>
    </row>
    <row r="147" spans="1:40" x14ac:dyDescent="0.25">
      <c r="A147" s="507"/>
      <c r="B147" s="331" t="s">
        <v>1081</v>
      </c>
      <c r="C147" s="147">
        <f>'Inputs and eligible population'!G139</f>
        <v>2</v>
      </c>
      <c r="D147" s="126">
        <f>'Inputs and eligible population'!F60*'Capacity (local prices)'!$C147</f>
        <v>0</v>
      </c>
      <c r="E147" s="126">
        <f>'Inputs and eligible population'!G60*'Capacity (local prices)'!$C147</f>
        <v>0</v>
      </c>
      <c r="F147" s="126">
        <f>'Inputs and eligible population'!H60*'Capacity (local prices)'!$C147</f>
        <v>0</v>
      </c>
      <c r="G147" s="126">
        <f>'Inputs and eligible population'!I60*'Capacity (local prices)'!$C147</f>
        <v>0</v>
      </c>
      <c r="H147" s="126">
        <f>'Inputs and eligible population'!J60*'Capacity (local prices)'!$C147</f>
        <v>0</v>
      </c>
      <c r="I147" s="126">
        <f>'Inputs and eligible population'!K60*'Capacity (local prices)'!$C147</f>
        <v>0</v>
      </c>
      <c r="J147" s="515"/>
      <c r="K147" s="878"/>
      <c r="L147" s="879"/>
      <c r="M147" s="879"/>
      <c r="N147" s="879"/>
      <c r="O147" s="879"/>
      <c r="P147" s="879"/>
      <c r="Q147" s="879"/>
      <c r="R147" s="131"/>
      <c r="S147" s="131"/>
      <c r="T147" s="131"/>
      <c r="U147" s="131"/>
      <c r="V147" s="131"/>
      <c r="W147" s="131"/>
      <c r="X147" s="131"/>
      <c r="Y147" s="131"/>
      <c r="Z147" s="131"/>
      <c r="AJ147" s="278"/>
      <c r="AK147" s="278"/>
      <c r="AL147" s="278"/>
      <c r="AM147" s="278"/>
      <c r="AN147" s="278"/>
    </row>
    <row r="148" spans="1:40" x14ac:dyDescent="0.25">
      <c r="A148" s="507"/>
      <c r="B148" s="480"/>
      <c r="C148" s="275"/>
      <c r="D148" s="182">
        <f t="shared" ref="D148:I148" si="132">SUM(D146:D147)</f>
        <v>0</v>
      </c>
      <c r="E148" s="182">
        <f t="shared" si="132"/>
        <v>0</v>
      </c>
      <c r="F148" s="182">
        <f t="shared" si="132"/>
        <v>0</v>
      </c>
      <c r="G148" s="182">
        <f t="shared" si="132"/>
        <v>0</v>
      </c>
      <c r="H148" s="182">
        <f t="shared" si="132"/>
        <v>0</v>
      </c>
      <c r="I148" s="182">
        <f t="shared" si="132"/>
        <v>0</v>
      </c>
      <c r="J148" s="515"/>
      <c r="K148" s="212"/>
      <c r="L148" s="880"/>
      <c r="M148" s="880"/>
      <c r="N148" s="880"/>
      <c r="O148" s="880"/>
      <c r="P148" s="880"/>
      <c r="Q148" s="880"/>
      <c r="R148" s="131"/>
      <c r="S148" s="131"/>
      <c r="T148" s="131"/>
      <c r="U148" s="131"/>
      <c r="V148" s="131"/>
      <c r="W148" s="131"/>
      <c r="X148" s="131"/>
      <c r="Y148" s="131"/>
      <c r="Z148" s="131"/>
      <c r="AJ148" s="278"/>
      <c r="AK148" s="278"/>
      <c r="AL148" s="278"/>
      <c r="AM148" s="278"/>
      <c r="AN148" s="278"/>
    </row>
    <row r="149" spans="1:40" x14ac:dyDescent="0.25">
      <c r="A149" s="507"/>
      <c r="B149" s="251"/>
      <c r="C149" s="251"/>
      <c r="D149" s="277" t="s">
        <v>803</v>
      </c>
      <c r="E149" s="182">
        <f>E148-$D$148</f>
        <v>0</v>
      </c>
      <c r="F149" s="182">
        <f>F148-$D$148</f>
        <v>0</v>
      </c>
      <c r="G149" s="182">
        <f>G148-$D$148</f>
        <v>0</v>
      </c>
      <c r="H149" s="182">
        <f>H148-$D$148</f>
        <v>0</v>
      </c>
      <c r="I149" s="182">
        <f>I148-$D$148</f>
        <v>0</v>
      </c>
      <c r="J149" s="515"/>
      <c r="K149" s="212"/>
      <c r="L149" s="212"/>
      <c r="M149" s="880"/>
      <c r="N149" s="880"/>
      <c r="O149" s="880"/>
      <c r="P149" s="880"/>
      <c r="Q149" s="880"/>
      <c r="R149" s="131"/>
      <c r="S149" s="131"/>
      <c r="T149" s="131"/>
      <c r="U149" s="131"/>
      <c r="V149" s="131"/>
      <c r="W149" s="131"/>
      <c r="X149" s="131"/>
      <c r="Y149" s="131"/>
      <c r="Z149" s="131"/>
      <c r="AJ149" s="278"/>
      <c r="AK149" s="278"/>
      <c r="AL149" s="278"/>
      <c r="AM149" s="278"/>
      <c r="AN149" s="278"/>
    </row>
    <row r="150" spans="1:40" x14ac:dyDescent="0.25">
      <c r="A150" s="280"/>
      <c r="B150" s="508"/>
      <c r="C150" s="509"/>
      <c r="D150" s="510"/>
      <c r="E150" s="511"/>
      <c r="F150" s="280"/>
      <c r="G150" s="280"/>
      <c r="H150" s="280"/>
      <c r="I150" s="292"/>
      <c r="J150" s="212"/>
      <c r="K150" s="212"/>
      <c r="L150" s="212"/>
      <c r="M150" s="212"/>
      <c r="N150" s="212"/>
      <c r="O150" s="212"/>
      <c r="P150" s="212"/>
      <c r="Q150" s="212"/>
      <c r="R150" s="131"/>
      <c r="S150" s="131"/>
      <c r="T150" s="131"/>
      <c r="U150" s="131"/>
      <c r="V150" s="131"/>
      <c r="W150" s="131"/>
      <c r="X150" s="131"/>
      <c r="Y150" s="131"/>
      <c r="Z150" s="131"/>
      <c r="AJ150" s="278"/>
      <c r="AK150" s="278"/>
      <c r="AL150" s="278"/>
      <c r="AM150" s="278"/>
      <c r="AN150" s="278"/>
    </row>
    <row r="151" spans="1:40" x14ac:dyDescent="0.25">
      <c r="A151" s="280"/>
      <c r="B151" s="370" t="s">
        <v>1158</v>
      </c>
      <c r="C151" s="371"/>
      <c r="D151" s="371"/>
      <c r="E151" s="371"/>
      <c r="F151" s="371"/>
      <c r="G151" s="371"/>
      <c r="H151" s="371"/>
      <c r="I151" s="211"/>
      <c r="J151" s="212"/>
      <c r="K151" s="212"/>
      <c r="L151" s="212"/>
      <c r="M151" s="212"/>
      <c r="N151" s="212"/>
      <c r="O151" s="212"/>
      <c r="P151" s="212"/>
      <c r="Q151" s="212"/>
      <c r="R151" s="131"/>
      <c r="S151" s="131"/>
      <c r="T151" s="131"/>
      <c r="U151" s="131"/>
      <c r="V151" s="131"/>
      <c r="W151" s="131"/>
      <c r="X151" s="131"/>
      <c r="Y151" s="131"/>
      <c r="Z151" s="131"/>
      <c r="AJ151" s="278"/>
      <c r="AK151" s="278"/>
      <c r="AL151" s="278"/>
      <c r="AM151" s="278"/>
      <c r="AN151" s="278"/>
    </row>
    <row r="152" spans="1:40" ht="45" x14ac:dyDescent="0.25">
      <c r="A152" s="280"/>
      <c r="B152" s="271" t="s">
        <v>741</v>
      </c>
      <c r="C152" s="163" t="s">
        <v>1159</v>
      </c>
      <c r="D152" s="394" t="s">
        <v>792</v>
      </c>
      <c r="E152" s="250" t="s">
        <v>672</v>
      </c>
      <c r="F152" s="250" t="s">
        <v>673</v>
      </c>
      <c r="G152" s="162" t="s">
        <v>766</v>
      </c>
      <c r="H152" s="162" t="s">
        <v>767</v>
      </c>
      <c r="I152" s="250" t="s">
        <v>768</v>
      </c>
      <c r="J152" s="212"/>
      <c r="K152" s="506" t="s">
        <v>810</v>
      </c>
      <c r="L152" s="394" t="s">
        <v>792</v>
      </c>
      <c r="M152" s="496" t="s">
        <v>672</v>
      </c>
      <c r="N152" s="496" t="s">
        <v>673</v>
      </c>
      <c r="O152" s="395" t="s">
        <v>766</v>
      </c>
      <c r="P152" s="395" t="s">
        <v>767</v>
      </c>
      <c r="Q152" s="496" t="s">
        <v>768</v>
      </c>
      <c r="R152" s="131"/>
      <c r="S152" s="131"/>
      <c r="T152" s="131"/>
      <c r="U152" s="131"/>
      <c r="V152" s="131"/>
      <c r="W152" s="131"/>
      <c r="X152" s="131"/>
      <c r="Y152" s="131"/>
      <c r="Z152" s="131"/>
      <c r="AJ152" s="278"/>
      <c r="AK152" s="278"/>
      <c r="AL152" s="278"/>
      <c r="AM152" s="278"/>
      <c r="AN152" s="278"/>
    </row>
    <row r="153" spans="1:40" x14ac:dyDescent="0.25">
      <c r="A153" s="280"/>
      <c r="B153" s="331" t="s">
        <v>1082</v>
      </c>
      <c r="C153" s="147">
        <f>'Inputs and eligible population'!H140</f>
        <v>60</v>
      </c>
      <c r="D153" s="126">
        <f>D146*$C153/60</f>
        <v>0</v>
      </c>
      <c r="E153" s="126">
        <f t="shared" ref="E153:I153" si="133">E146*$C153/60</f>
        <v>0</v>
      </c>
      <c r="F153" s="126">
        <f t="shared" si="133"/>
        <v>0</v>
      </c>
      <c r="G153" s="126">
        <f t="shared" si="133"/>
        <v>0</v>
      </c>
      <c r="H153" s="126">
        <f t="shared" si="133"/>
        <v>0</v>
      </c>
      <c r="I153" s="126">
        <f t="shared" si="133"/>
        <v>0</v>
      </c>
      <c r="J153" s="212"/>
      <c r="K153" s="521">
        <f>'Inputs and eligible population'!L140</f>
        <v>122.51</v>
      </c>
      <c r="L153" s="284">
        <f>(D153*$K153)/1000</f>
        <v>0</v>
      </c>
      <c r="M153" s="284">
        <f t="shared" ref="M153:M154" si="134">(E153*$K153)/1000</f>
        <v>0</v>
      </c>
      <c r="N153" s="284">
        <f t="shared" ref="N153:N154" si="135">(F153*$K153)/1000</f>
        <v>0</v>
      </c>
      <c r="O153" s="284">
        <f t="shared" ref="O153:O154" si="136">(G153*$K153)/1000</f>
        <v>0</v>
      </c>
      <c r="P153" s="284">
        <f t="shared" ref="P153:P154" si="137">(H153*$K153)/1000</f>
        <v>0</v>
      </c>
      <c r="Q153" s="284">
        <f t="shared" ref="Q153:Q154" si="138">(I153*$K153)/1000</f>
        <v>0</v>
      </c>
      <c r="R153" s="131"/>
      <c r="S153" s="131"/>
      <c r="T153" s="131"/>
      <c r="U153" s="131"/>
      <c r="V153" s="131"/>
      <c r="W153" s="131"/>
      <c r="X153" s="131"/>
      <c r="Y153" s="131"/>
      <c r="Z153" s="131"/>
      <c r="AJ153" s="278"/>
      <c r="AK153" s="278"/>
      <c r="AL153" s="278"/>
      <c r="AM153" s="278"/>
      <c r="AN153" s="278"/>
    </row>
    <row r="154" spans="1:40" x14ac:dyDescent="0.25">
      <c r="A154" s="280"/>
      <c r="B154" s="331" t="s">
        <v>1081</v>
      </c>
      <c r="C154" s="147">
        <f>'Inputs and eligible population'!G140</f>
        <v>60</v>
      </c>
      <c r="D154" s="126">
        <f t="shared" ref="D154:I154" si="139">D147*$C154/60</f>
        <v>0</v>
      </c>
      <c r="E154" s="126">
        <f t="shared" si="139"/>
        <v>0</v>
      </c>
      <c r="F154" s="126">
        <f t="shared" si="139"/>
        <v>0</v>
      </c>
      <c r="G154" s="126">
        <f t="shared" si="139"/>
        <v>0</v>
      </c>
      <c r="H154" s="126">
        <f t="shared" si="139"/>
        <v>0</v>
      </c>
      <c r="I154" s="126">
        <f t="shared" si="139"/>
        <v>0</v>
      </c>
      <c r="J154" s="212"/>
      <c r="K154" s="521">
        <f>'Inputs and eligible population'!L140</f>
        <v>122.51</v>
      </c>
      <c r="L154" s="284">
        <f t="shared" ref="L154" si="140">(D154*$K154)/1000</f>
        <v>0</v>
      </c>
      <c r="M154" s="284">
        <f t="shared" si="134"/>
        <v>0</v>
      </c>
      <c r="N154" s="284">
        <f t="shared" si="135"/>
        <v>0</v>
      </c>
      <c r="O154" s="284">
        <f t="shared" si="136"/>
        <v>0</v>
      </c>
      <c r="P154" s="284">
        <f t="shared" si="137"/>
        <v>0</v>
      </c>
      <c r="Q154" s="284">
        <f t="shared" si="138"/>
        <v>0</v>
      </c>
      <c r="R154" s="131"/>
      <c r="S154" s="131"/>
      <c r="T154" s="131"/>
      <c r="U154" s="131"/>
      <c r="V154" s="131"/>
      <c r="W154" s="131"/>
      <c r="X154" s="131"/>
      <c r="Y154" s="131"/>
      <c r="Z154" s="131"/>
      <c r="AJ154" s="278"/>
      <c r="AK154" s="278"/>
      <c r="AL154" s="278"/>
      <c r="AM154" s="278"/>
      <c r="AN154" s="278"/>
    </row>
    <row r="155" spans="1:40" x14ac:dyDescent="0.25">
      <c r="A155" s="280"/>
      <c r="B155" s="272"/>
      <c r="C155" s="275"/>
      <c r="D155" s="182">
        <f t="shared" ref="D155:I155" si="141">SUM(D153:D154)</f>
        <v>0</v>
      </c>
      <c r="E155" s="182">
        <f t="shared" si="141"/>
        <v>0</v>
      </c>
      <c r="F155" s="182">
        <f t="shared" si="141"/>
        <v>0</v>
      </c>
      <c r="G155" s="182">
        <f t="shared" si="141"/>
        <v>0</v>
      </c>
      <c r="H155" s="182">
        <f t="shared" si="141"/>
        <v>0</v>
      </c>
      <c r="I155" s="182">
        <f t="shared" si="141"/>
        <v>0</v>
      </c>
      <c r="J155" s="212"/>
      <c r="K155" s="212"/>
      <c r="L155" s="285">
        <f t="shared" ref="L155:Q155" si="142">SUM(L153:L154)</f>
        <v>0</v>
      </c>
      <c r="M155" s="285">
        <f t="shared" si="142"/>
        <v>0</v>
      </c>
      <c r="N155" s="285">
        <f t="shared" si="142"/>
        <v>0</v>
      </c>
      <c r="O155" s="285">
        <f t="shared" si="142"/>
        <v>0</v>
      </c>
      <c r="P155" s="285">
        <f t="shared" si="142"/>
        <v>0</v>
      </c>
      <c r="Q155" s="285">
        <f t="shared" si="142"/>
        <v>0</v>
      </c>
      <c r="R155" s="131"/>
      <c r="S155" s="131"/>
      <c r="T155" s="131"/>
      <c r="U155" s="131"/>
      <c r="V155" s="131"/>
      <c r="W155" s="131"/>
      <c r="X155" s="131"/>
      <c r="Y155" s="131"/>
      <c r="Z155" s="131"/>
      <c r="AJ155" s="278"/>
      <c r="AK155" s="278"/>
      <c r="AL155" s="278"/>
      <c r="AM155" s="278"/>
      <c r="AN155" s="278"/>
    </row>
    <row r="156" spans="1:40" x14ac:dyDescent="0.25">
      <c r="A156" s="280"/>
      <c r="B156" s="291"/>
      <c r="C156" s="251"/>
      <c r="D156" s="277" t="s">
        <v>1141</v>
      </c>
      <c r="E156" s="182">
        <f>E155-$D$155</f>
        <v>0</v>
      </c>
      <c r="F156" s="182">
        <f t="shared" ref="F156:I156" si="143">F155-$D$155</f>
        <v>0</v>
      </c>
      <c r="G156" s="182">
        <f t="shared" si="143"/>
        <v>0</v>
      </c>
      <c r="H156" s="182">
        <f t="shared" si="143"/>
        <v>0</v>
      </c>
      <c r="I156" s="182">
        <f t="shared" si="143"/>
        <v>0</v>
      </c>
      <c r="J156" s="212"/>
      <c r="K156" s="212"/>
      <c r="L156" s="212"/>
      <c r="M156" s="285">
        <f>M155-$L155</f>
        <v>0</v>
      </c>
      <c r="N156" s="285">
        <f t="shared" ref="N156:Q156" si="144">N155-$L155</f>
        <v>0</v>
      </c>
      <c r="O156" s="285">
        <f t="shared" si="144"/>
        <v>0</v>
      </c>
      <c r="P156" s="285">
        <f t="shared" si="144"/>
        <v>0</v>
      </c>
      <c r="Q156" s="285">
        <f t="shared" si="144"/>
        <v>0</v>
      </c>
      <c r="R156" s="131"/>
      <c r="S156" s="131"/>
      <c r="T156" s="131"/>
      <c r="U156" s="131"/>
      <c r="V156" s="131"/>
      <c r="W156" s="131"/>
      <c r="X156" s="131"/>
      <c r="Y156" s="131"/>
      <c r="Z156" s="131"/>
      <c r="AJ156" s="278"/>
      <c r="AK156" s="278"/>
      <c r="AL156" s="278"/>
      <c r="AM156" s="278"/>
      <c r="AN156" s="278"/>
    </row>
    <row r="157" spans="1:40" x14ac:dyDescent="0.25">
      <c r="A157" s="280"/>
      <c r="B157" s="280"/>
      <c r="C157" s="280"/>
      <c r="D157" s="513"/>
      <c r="E157" s="514"/>
      <c r="F157" s="514"/>
      <c r="G157" s="514"/>
      <c r="H157" s="514"/>
      <c r="I157" s="514"/>
      <c r="J157" s="212"/>
      <c r="K157" s="212"/>
      <c r="L157" s="212"/>
      <c r="M157" s="212"/>
      <c r="N157" s="212"/>
      <c r="O157" s="212"/>
      <c r="P157" s="212"/>
      <c r="Q157" s="212"/>
      <c r="R157" s="131"/>
      <c r="S157" s="131"/>
      <c r="T157" s="131"/>
      <c r="U157" s="131"/>
      <c r="V157" s="131"/>
      <c r="W157" s="131"/>
      <c r="X157" s="131"/>
      <c r="Y157" s="131"/>
      <c r="Z157" s="131"/>
      <c r="AJ157" s="278"/>
      <c r="AK157" s="278"/>
      <c r="AL157" s="278"/>
      <c r="AM157" s="278"/>
      <c r="AN157" s="278"/>
    </row>
    <row r="158" spans="1:40" x14ac:dyDescent="0.25">
      <c r="A158" s="280"/>
      <c r="B158" s="516"/>
      <c r="C158" s="509"/>
      <c r="D158" s="510"/>
      <c r="E158" s="511"/>
      <c r="F158" s="280"/>
      <c r="G158" s="280"/>
      <c r="H158" s="212"/>
      <c r="I158" s="212"/>
      <c r="J158" s="212"/>
      <c r="K158" s="212"/>
      <c r="L158" s="212"/>
      <c r="M158" s="212"/>
      <c r="N158" s="212"/>
      <c r="O158" s="212"/>
      <c r="P158" s="212"/>
      <c r="Q158" s="212"/>
      <c r="R158" s="131"/>
      <c r="S158" s="131"/>
      <c r="T158" s="131"/>
      <c r="U158" s="131"/>
      <c r="V158" s="131"/>
      <c r="W158" s="131"/>
      <c r="X158" s="131"/>
      <c r="Y158" s="131"/>
      <c r="Z158" s="131"/>
      <c r="AJ158" s="278"/>
      <c r="AK158" s="278"/>
      <c r="AL158" s="278"/>
      <c r="AM158" s="278"/>
      <c r="AN158" s="278"/>
    </row>
    <row r="159" spans="1:40" x14ac:dyDescent="0.25">
      <c r="A159" s="507"/>
      <c r="B159" s="512" t="s">
        <v>1160</v>
      </c>
      <c r="C159" s="371"/>
      <c r="D159" s="371"/>
      <c r="E159" s="371"/>
      <c r="F159" s="371"/>
      <c r="G159" s="371"/>
      <c r="H159" s="371"/>
      <c r="I159" s="211"/>
      <c r="J159" s="212"/>
      <c r="K159" s="212"/>
      <c r="L159" s="212"/>
      <c r="M159" s="212"/>
      <c r="N159" s="212"/>
      <c r="O159" s="212"/>
      <c r="P159" s="212"/>
      <c r="Q159" s="212"/>
      <c r="R159" s="131"/>
      <c r="S159" s="131"/>
      <c r="T159" s="131"/>
      <c r="U159" s="131"/>
      <c r="V159" s="131"/>
      <c r="W159" s="131"/>
      <c r="X159" s="131"/>
      <c r="Y159" s="131"/>
      <c r="Z159" s="131"/>
      <c r="AJ159" s="278"/>
      <c r="AK159" s="278"/>
      <c r="AL159" s="278"/>
      <c r="AM159" s="278"/>
      <c r="AN159" s="278"/>
    </row>
    <row r="160" spans="1:40" ht="45" x14ac:dyDescent="0.25">
      <c r="A160" s="507"/>
      <c r="B160" s="301" t="s">
        <v>741</v>
      </c>
      <c r="C160" s="163" t="s">
        <v>801</v>
      </c>
      <c r="D160" s="394" t="s">
        <v>792</v>
      </c>
      <c r="E160" s="250" t="s">
        <v>672</v>
      </c>
      <c r="F160" s="250" t="s">
        <v>673</v>
      </c>
      <c r="G160" s="162" t="s">
        <v>766</v>
      </c>
      <c r="H160" s="162" t="s">
        <v>767</v>
      </c>
      <c r="I160" s="250" t="s">
        <v>768</v>
      </c>
      <c r="J160" s="515"/>
      <c r="K160" s="875"/>
      <c r="L160" s="876"/>
      <c r="M160" s="877"/>
      <c r="N160" s="877"/>
      <c r="O160" s="877"/>
      <c r="P160" s="877"/>
      <c r="Q160" s="877"/>
      <c r="R160" s="131"/>
      <c r="S160" s="131"/>
      <c r="T160" s="131"/>
      <c r="U160" s="131"/>
      <c r="V160" s="131"/>
      <c r="W160" s="131"/>
      <c r="X160" s="131"/>
      <c r="Y160" s="131"/>
      <c r="Z160" s="131"/>
      <c r="AJ160" s="278"/>
      <c r="AK160" s="278"/>
      <c r="AL160" s="278"/>
      <c r="AM160" s="278"/>
      <c r="AN160" s="278"/>
    </row>
    <row r="161" spans="1:40" x14ac:dyDescent="0.25">
      <c r="A161" s="507"/>
      <c r="B161" s="331" t="s">
        <v>1082</v>
      </c>
      <c r="C161" s="147">
        <f>'Inputs and eligible population'!H141</f>
        <v>1</v>
      </c>
      <c r="D161" s="126">
        <f>'Inputs and eligible population'!F59*'Capacity (local prices)'!$C161</f>
        <v>0</v>
      </c>
      <c r="E161" s="126">
        <f>'Inputs and eligible population'!G59*'Capacity (local prices)'!$C161</f>
        <v>0</v>
      </c>
      <c r="F161" s="126">
        <f>'Inputs and eligible population'!H59*'Capacity (local prices)'!$C161</f>
        <v>0</v>
      </c>
      <c r="G161" s="126">
        <f>'Inputs and eligible population'!I59*'Capacity (local prices)'!$C161</f>
        <v>0</v>
      </c>
      <c r="H161" s="126">
        <f>'Inputs and eligible population'!J59*'Capacity (local prices)'!$C161</f>
        <v>0</v>
      </c>
      <c r="I161" s="126">
        <f>'Inputs and eligible population'!K59*'Capacity (local prices)'!$C161</f>
        <v>0</v>
      </c>
      <c r="J161" s="515"/>
      <c r="K161" s="878"/>
      <c r="L161" s="879"/>
      <c r="M161" s="879"/>
      <c r="N161" s="879"/>
      <c r="O161" s="879"/>
      <c r="P161" s="879"/>
      <c r="Q161" s="879"/>
      <c r="R161" s="131"/>
      <c r="S161" s="131"/>
      <c r="T161" s="131"/>
      <c r="U161" s="131"/>
      <c r="V161" s="131"/>
      <c r="W161" s="131"/>
      <c r="X161" s="131"/>
      <c r="Y161" s="131"/>
      <c r="Z161" s="131"/>
      <c r="AJ161" s="278"/>
      <c r="AK161" s="278"/>
      <c r="AL161" s="278"/>
      <c r="AM161" s="278"/>
      <c r="AN161" s="278"/>
    </row>
    <row r="162" spans="1:40" x14ac:dyDescent="0.25">
      <c r="A162" s="507"/>
      <c r="B162" s="331" t="s">
        <v>1081</v>
      </c>
      <c r="C162" s="147">
        <f>'Inputs and eligible population'!G141</f>
        <v>1</v>
      </c>
      <c r="D162" s="126">
        <f>'Inputs and eligible population'!F60*'Capacity (local prices)'!$C162</f>
        <v>0</v>
      </c>
      <c r="E162" s="126">
        <f>'Inputs and eligible population'!G60*'Capacity (local prices)'!$C162</f>
        <v>0</v>
      </c>
      <c r="F162" s="126">
        <f>'Inputs and eligible population'!H60*'Capacity (local prices)'!$C162</f>
        <v>0</v>
      </c>
      <c r="G162" s="126">
        <f>'Inputs and eligible population'!I60*'Capacity (local prices)'!$C162</f>
        <v>0</v>
      </c>
      <c r="H162" s="126">
        <f>'Inputs and eligible population'!J60*'Capacity (local prices)'!$C162</f>
        <v>0</v>
      </c>
      <c r="I162" s="126">
        <f>'Inputs and eligible population'!K60*'Capacity (local prices)'!$C162</f>
        <v>0</v>
      </c>
      <c r="J162" s="515"/>
      <c r="K162" s="878"/>
      <c r="L162" s="879"/>
      <c r="M162" s="879"/>
      <c r="N162" s="879"/>
      <c r="O162" s="879"/>
      <c r="P162" s="879"/>
      <c r="Q162" s="879"/>
      <c r="R162" s="131"/>
      <c r="S162" s="131"/>
      <c r="T162" s="131"/>
      <c r="U162" s="131"/>
      <c r="V162" s="131"/>
      <c r="W162" s="131"/>
      <c r="X162" s="131"/>
      <c r="Y162" s="131"/>
      <c r="Z162" s="131"/>
      <c r="AJ162" s="278"/>
      <c r="AK162" s="278"/>
      <c r="AL162" s="278"/>
      <c r="AM162" s="278"/>
      <c r="AN162" s="278"/>
    </row>
    <row r="163" spans="1:40" x14ac:dyDescent="0.25">
      <c r="A163" s="507"/>
      <c r="B163" s="480"/>
      <c r="C163" s="275"/>
      <c r="D163" s="182">
        <f t="shared" ref="D163:I163" si="145">SUM(D161:D162)</f>
        <v>0</v>
      </c>
      <c r="E163" s="182">
        <f t="shared" si="145"/>
        <v>0</v>
      </c>
      <c r="F163" s="182">
        <f t="shared" si="145"/>
        <v>0</v>
      </c>
      <c r="G163" s="182">
        <f t="shared" si="145"/>
        <v>0</v>
      </c>
      <c r="H163" s="182">
        <f t="shared" si="145"/>
        <v>0</v>
      </c>
      <c r="I163" s="182">
        <f t="shared" si="145"/>
        <v>0</v>
      </c>
      <c r="J163" s="515"/>
      <c r="K163" s="212"/>
      <c r="L163" s="880"/>
      <c r="M163" s="880"/>
      <c r="N163" s="880"/>
      <c r="O163" s="880"/>
      <c r="P163" s="880"/>
      <c r="Q163" s="880"/>
      <c r="R163" s="131"/>
      <c r="S163" s="131"/>
      <c r="T163" s="131"/>
      <c r="U163" s="131"/>
      <c r="V163" s="131"/>
      <c r="W163" s="131"/>
      <c r="X163" s="131"/>
      <c r="Y163" s="131"/>
      <c r="Z163" s="131"/>
      <c r="AJ163" s="278"/>
      <c r="AK163" s="278"/>
      <c r="AL163" s="278"/>
      <c r="AM163" s="278"/>
      <c r="AN163" s="278"/>
    </row>
    <row r="164" spans="1:40" x14ac:dyDescent="0.25">
      <c r="A164" s="507"/>
      <c r="B164" s="251"/>
      <c r="C164" s="251"/>
      <c r="D164" s="277" t="s">
        <v>803</v>
      </c>
      <c r="E164" s="182">
        <f>E163-$D$163</f>
        <v>0</v>
      </c>
      <c r="F164" s="182">
        <f t="shared" ref="F164:I164" si="146">F163-$D$163</f>
        <v>0</v>
      </c>
      <c r="G164" s="182">
        <f t="shared" si="146"/>
        <v>0</v>
      </c>
      <c r="H164" s="182">
        <f t="shared" si="146"/>
        <v>0</v>
      </c>
      <c r="I164" s="182">
        <f t="shared" si="146"/>
        <v>0</v>
      </c>
      <c r="J164" s="515"/>
      <c r="K164" s="212"/>
      <c r="L164" s="212"/>
      <c r="M164" s="880"/>
      <c r="N164" s="880"/>
      <c r="O164" s="880"/>
      <c r="P164" s="880"/>
      <c r="Q164" s="880"/>
      <c r="R164" s="131"/>
      <c r="S164" s="131"/>
      <c r="T164" s="131"/>
      <c r="U164" s="131"/>
      <c r="V164" s="131"/>
      <c r="W164" s="131"/>
      <c r="X164" s="131"/>
      <c r="Y164" s="131"/>
      <c r="Z164" s="131"/>
      <c r="AJ164" s="278"/>
      <c r="AK164" s="278"/>
      <c r="AL164" s="278"/>
      <c r="AM164" s="278"/>
      <c r="AN164" s="278"/>
    </row>
    <row r="165" spans="1:40" x14ac:dyDescent="0.25">
      <c r="A165" s="280"/>
      <c r="B165" s="508"/>
      <c r="C165" s="509"/>
      <c r="D165" s="510"/>
      <c r="E165" s="511"/>
      <c r="F165" s="280"/>
      <c r="G165" s="280"/>
      <c r="H165" s="280"/>
      <c r="I165" s="292"/>
      <c r="J165" s="212"/>
      <c r="K165" s="212"/>
      <c r="L165" s="212"/>
      <c r="M165" s="212"/>
      <c r="N165" s="212"/>
      <c r="O165" s="212"/>
      <c r="P165" s="212"/>
      <c r="Q165" s="212"/>
      <c r="R165" s="131"/>
      <c r="S165" s="131"/>
      <c r="T165" s="131"/>
      <c r="U165" s="131"/>
      <c r="V165" s="131"/>
      <c r="W165" s="131"/>
      <c r="X165" s="131"/>
      <c r="Y165" s="131"/>
      <c r="Z165" s="131"/>
      <c r="AJ165" s="278"/>
      <c r="AK165" s="278"/>
      <c r="AL165" s="278"/>
      <c r="AM165" s="278"/>
      <c r="AN165" s="278"/>
    </row>
    <row r="166" spans="1:40" x14ac:dyDescent="0.25">
      <c r="A166" s="280"/>
      <c r="B166" s="512" t="s">
        <v>1161</v>
      </c>
      <c r="C166" s="371"/>
      <c r="D166" s="371"/>
      <c r="E166" s="371"/>
      <c r="F166" s="371"/>
      <c r="G166" s="371"/>
      <c r="H166" s="371"/>
      <c r="I166" s="211"/>
      <c r="J166" s="212"/>
      <c r="K166" s="212"/>
      <c r="L166" s="212"/>
      <c r="M166" s="212"/>
      <c r="N166" s="212"/>
      <c r="O166" s="212"/>
      <c r="P166" s="212"/>
      <c r="Q166" s="212"/>
      <c r="R166" s="131"/>
      <c r="S166" s="131"/>
      <c r="T166" s="131"/>
      <c r="U166" s="131"/>
      <c r="V166" s="131"/>
      <c r="W166" s="131"/>
      <c r="X166" s="131"/>
      <c r="Y166" s="131"/>
      <c r="Z166" s="131"/>
      <c r="AJ166" s="278"/>
      <c r="AK166" s="278"/>
      <c r="AL166" s="278"/>
      <c r="AM166" s="278"/>
      <c r="AN166" s="278"/>
    </row>
    <row r="167" spans="1:40" ht="45" x14ac:dyDescent="0.25">
      <c r="A167" s="280"/>
      <c r="B167" s="271" t="s">
        <v>741</v>
      </c>
      <c r="C167" s="163" t="s">
        <v>1159</v>
      </c>
      <c r="D167" s="394" t="s">
        <v>792</v>
      </c>
      <c r="E167" s="250" t="s">
        <v>672</v>
      </c>
      <c r="F167" s="250" t="s">
        <v>673</v>
      </c>
      <c r="G167" s="162" t="s">
        <v>766</v>
      </c>
      <c r="H167" s="162" t="s">
        <v>767</v>
      </c>
      <c r="I167" s="250" t="s">
        <v>768</v>
      </c>
      <c r="J167" s="212"/>
      <c r="K167" s="506" t="s">
        <v>810</v>
      </c>
      <c r="L167" s="394" t="s">
        <v>792</v>
      </c>
      <c r="M167" s="496" t="s">
        <v>672</v>
      </c>
      <c r="N167" s="496" t="s">
        <v>673</v>
      </c>
      <c r="O167" s="395" t="s">
        <v>766</v>
      </c>
      <c r="P167" s="395" t="s">
        <v>767</v>
      </c>
      <c r="Q167" s="496" t="s">
        <v>768</v>
      </c>
      <c r="R167" s="131"/>
      <c r="S167" s="131"/>
      <c r="T167" s="131"/>
      <c r="U167" s="131"/>
      <c r="V167" s="131"/>
      <c r="W167" s="131"/>
      <c r="X167" s="131"/>
      <c r="Y167" s="131"/>
      <c r="Z167" s="131"/>
      <c r="AJ167" s="278"/>
      <c r="AK167" s="278"/>
      <c r="AL167" s="278"/>
      <c r="AM167" s="278"/>
      <c r="AN167" s="278"/>
    </row>
    <row r="168" spans="1:40" x14ac:dyDescent="0.25">
      <c r="A168" s="280"/>
      <c r="B168" s="331" t="s">
        <v>1082</v>
      </c>
      <c r="C168" s="147">
        <f>'Inputs and eligible population'!H142</f>
        <v>120</v>
      </c>
      <c r="D168" s="126">
        <f>D161*$C168/60</f>
        <v>0</v>
      </c>
      <c r="E168" s="126">
        <f t="shared" ref="E168:I168" si="147">E161*$C168/60</f>
        <v>0</v>
      </c>
      <c r="F168" s="126">
        <f t="shared" si="147"/>
        <v>0</v>
      </c>
      <c r="G168" s="126">
        <f t="shared" si="147"/>
        <v>0</v>
      </c>
      <c r="H168" s="126">
        <f t="shared" si="147"/>
        <v>0</v>
      </c>
      <c r="I168" s="126">
        <f t="shared" si="147"/>
        <v>0</v>
      </c>
      <c r="J168" s="212"/>
      <c r="K168" s="521">
        <f>'Inputs and eligible population'!L142</f>
        <v>122.51</v>
      </c>
      <c r="L168" s="284">
        <f>(D168*$K168)/1000</f>
        <v>0</v>
      </c>
      <c r="M168" s="284">
        <f t="shared" ref="M168:M169" si="148">(E168*$K168)/1000</f>
        <v>0</v>
      </c>
      <c r="N168" s="284">
        <f t="shared" ref="N168:N169" si="149">(F168*$K168)/1000</f>
        <v>0</v>
      </c>
      <c r="O168" s="284">
        <f t="shared" ref="O168:O169" si="150">(G168*$K168)/1000</f>
        <v>0</v>
      </c>
      <c r="P168" s="284">
        <f t="shared" ref="P168:P169" si="151">(H168*$K168)/1000</f>
        <v>0</v>
      </c>
      <c r="Q168" s="284">
        <f t="shared" ref="Q168:Q169" si="152">(I168*$K168)/1000</f>
        <v>0</v>
      </c>
      <c r="R168" s="131"/>
      <c r="S168" s="131"/>
      <c r="T168" s="131"/>
      <c r="U168" s="131"/>
      <c r="V168" s="131"/>
      <c r="W168" s="131"/>
      <c r="X168" s="131"/>
      <c r="Y168" s="131"/>
      <c r="Z168" s="131"/>
      <c r="AJ168" s="278"/>
      <c r="AK168" s="278"/>
      <c r="AL168" s="278"/>
      <c r="AM168" s="278"/>
      <c r="AN168" s="278"/>
    </row>
    <row r="169" spans="1:40" x14ac:dyDescent="0.25">
      <c r="A169" s="280"/>
      <c r="B169" s="331" t="s">
        <v>1081</v>
      </c>
      <c r="C169" s="147">
        <f>'Inputs and eligible population'!G142</f>
        <v>120</v>
      </c>
      <c r="D169" s="126">
        <f t="shared" ref="D169:I169" si="153">D162*$C169/60</f>
        <v>0</v>
      </c>
      <c r="E169" s="126">
        <f t="shared" si="153"/>
        <v>0</v>
      </c>
      <c r="F169" s="126">
        <f t="shared" si="153"/>
        <v>0</v>
      </c>
      <c r="G169" s="126">
        <f t="shared" si="153"/>
        <v>0</v>
      </c>
      <c r="H169" s="126">
        <f t="shared" si="153"/>
        <v>0</v>
      </c>
      <c r="I169" s="126">
        <f t="shared" si="153"/>
        <v>0</v>
      </c>
      <c r="J169" s="212"/>
      <c r="K169" s="521">
        <f>'Inputs and eligible population'!L142</f>
        <v>122.51</v>
      </c>
      <c r="L169" s="284">
        <f t="shared" ref="L169" si="154">(D169*$K169)/1000</f>
        <v>0</v>
      </c>
      <c r="M169" s="284">
        <f t="shared" si="148"/>
        <v>0</v>
      </c>
      <c r="N169" s="284">
        <f t="shared" si="149"/>
        <v>0</v>
      </c>
      <c r="O169" s="284">
        <f t="shared" si="150"/>
        <v>0</v>
      </c>
      <c r="P169" s="284">
        <f t="shared" si="151"/>
        <v>0</v>
      </c>
      <c r="Q169" s="284">
        <f t="shared" si="152"/>
        <v>0</v>
      </c>
      <c r="R169" s="131"/>
      <c r="S169" s="131"/>
      <c r="T169" s="131"/>
      <c r="U169" s="131"/>
      <c r="V169" s="131"/>
      <c r="W169" s="131"/>
      <c r="X169" s="131"/>
      <c r="Y169" s="131"/>
      <c r="Z169" s="131"/>
      <c r="AJ169" s="278"/>
      <c r="AK169" s="278"/>
      <c r="AL169" s="278"/>
      <c r="AM169" s="278"/>
      <c r="AN169" s="278"/>
    </row>
    <row r="170" spans="1:40" x14ac:dyDescent="0.25">
      <c r="A170" s="280"/>
      <c r="B170" s="272"/>
      <c r="C170" s="275"/>
      <c r="D170" s="182">
        <f t="shared" ref="D170:I170" si="155">SUM(D168:D169)</f>
        <v>0</v>
      </c>
      <c r="E170" s="182">
        <f t="shared" si="155"/>
        <v>0</v>
      </c>
      <c r="F170" s="182">
        <f t="shared" si="155"/>
        <v>0</v>
      </c>
      <c r="G170" s="182">
        <f t="shared" si="155"/>
        <v>0</v>
      </c>
      <c r="H170" s="182">
        <f t="shared" si="155"/>
        <v>0</v>
      </c>
      <c r="I170" s="182">
        <f t="shared" si="155"/>
        <v>0</v>
      </c>
      <c r="J170" s="212"/>
      <c r="K170" s="212"/>
      <c r="L170" s="285">
        <f t="shared" ref="L170:Q170" si="156">SUM(L168:L169)</f>
        <v>0</v>
      </c>
      <c r="M170" s="285">
        <f t="shared" si="156"/>
        <v>0</v>
      </c>
      <c r="N170" s="285">
        <f t="shared" si="156"/>
        <v>0</v>
      </c>
      <c r="O170" s="285">
        <f t="shared" si="156"/>
        <v>0</v>
      </c>
      <c r="P170" s="285">
        <f t="shared" si="156"/>
        <v>0</v>
      </c>
      <c r="Q170" s="285">
        <f t="shared" si="156"/>
        <v>0</v>
      </c>
      <c r="R170" s="131"/>
      <c r="S170" s="131"/>
      <c r="T170" s="131"/>
      <c r="U170" s="131"/>
      <c r="V170" s="131"/>
      <c r="W170" s="131"/>
      <c r="X170" s="131"/>
      <c r="Y170" s="131"/>
      <c r="Z170" s="131"/>
      <c r="AJ170" s="278"/>
      <c r="AK170" s="278"/>
      <c r="AL170" s="278"/>
      <c r="AM170" s="278"/>
      <c r="AN170" s="278"/>
    </row>
    <row r="171" spans="1:40" x14ac:dyDescent="0.25">
      <c r="A171" s="280"/>
      <c r="B171" s="291"/>
      <c r="C171" s="251"/>
      <c r="D171" s="277" t="s">
        <v>1141</v>
      </c>
      <c r="E171" s="182">
        <f>E170-$D$170</f>
        <v>0</v>
      </c>
      <c r="F171" s="182">
        <f>F170-$D$170</f>
        <v>0</v>
      </c>
      <c r="G171" s="182">
        <f>G170-$D$170</f>
        <v>0</v>
      </c>
      <c r="H171" s="182">
        <f>H170-$D$170</f>
        <v>0</v>
      </c>
      <c r="I171" s="182">
        <f>I170-$D$170</f>
        <v>0</v>
      </c>
      <c r="J171" s="212"/>
      <c r="K171" s="212"/>
      <c r="L171" s="212"/>
      <c r="M171" s="285">
        <f>M170-$L170</f>
        <v>0</v>
      </c>
      <c r="N171" s="285">
        <f t="shared" ref="N171:Q171" si="157">N170-$L170</f>
        <v>0</v>
      </c>
      <c r="O171" s="285">
        <f t="shared" si="157"/>
        <v>0</v>
      </c>
      <c r="P171" s="285">
        <f t="shared" si="157"/>
        <v>0</v>
      </c>
      <c r="Q171" s="285">
        <f t="shared" si="157"/>
        <v>0</v>
      </c>
      <c r="R171" s="131"/>
      <c r="S171" s="131"/>
      <c r="T171" s="131"/>
      <c r="U171" s="131"/>
      <c r="V171" s="131"/>
      <c r="W171" s="131"/>
      <c r="X171" s="131"/>
      <c r="Y171" s="131"/>
      <c r="Z171" s="131"/>
      <c r="AJ171" s="278"/>
      <c r="AK171" s="278"/>
      <c r="AL171" s="278"/>
      <c r="AM171" s="278"/>
      <c r="AN171" s="278"/>
    </row>
    <row r="172" spans="1:40" x14ac:dyDescent="0.25">
      <c r="A172" s="280"/>
      <c r="B172" s="280"/>
      <c r="C172" s="280"/>
      <c r="D172" s="513"/>
      <c r="E172" s="514"/>
      <c r="F172" s="514"/>
      <c r="G172" s="514"/>
      <c r="H172" s="514"/>
      <c r="I172" s="514"/>
      <c r="J172" s="212"/>
      <c r="K172" s="212"/>
      <c r="L172" s="212"/>
      <c r="M172" s="212"/>
      <c r="N172" s="212"/>
      <c r="O172" s="212"/>
      <c r="P172" s="212"/>
      <c r="Q172" s="212"/>
      <c r="R172" s="131"/>
      <c r="S172" s="131"/>
      <c r="T172" s="131"/>
      <c r="U172" s="131"/>
      <c r="V172" s="131"/>
      <c r="W172" s="131"/>
      <c r="X172" s="131"/>
      <c r="Y172" s="131"/>
      <c r="Z172" s="131"/>
      <c r="AJ172" s="278"/>
      <c r="AK172" s="278"/>
      <c r="AL172" s="278"/>
      <c r="AM172" s="278"/>
      <c r="AN172" s="278"/>
    </row>
    <row r="173" spans="1:40" x14ac:dyDescent="0.25">
      <c r="A173" s="279"/>
      <c r="B173" s="304" t="s">
        <v>1162</v>
      </c>
      <c r="C173" s="287"/>
      <c r="D173" s="287"/>
      <c r="E173" s="288"/>
      <c r="F173" s="289"/>
      <c r="G173" s="290"/>
      <c r="H173" s="290"/>
      <c r="I173" s="290"/>
      <c r="J173" s="402"/>
      <c r="K173" s="279"/>
      <c r="L173" s="279"/>
      <c r="M173" s="279"/>
      <c r="N173" s="279"/>
      <c r="O173" s="279"/>
      <c r="P173" s="279"/>
      <c r="Q173" s="210"/>
      <c r="V173" s="131"/>
    </row>
    <row r="174" spans="1:40" x14ac:dyDescent="0.25">
      <c r="A174" s="279"/>
      <c r="B174" s="366" t="s">
        <v>1154</v>
      </c>
      <c r="C174" s="367"/>
      <c r="D174" s="367"/>
      <c r="E174" s="367"/>
      <c r="F174" s="367"/>
      <c r="G174" s="367"/>
      <c r="H174" s="367"/>
      <c r="I174" s="209"/>
      <c r="J174" s="400"/>
      <c r="K174" s="210"/>
      <c r="L174" s="210"/>
      <c r="M174" s="210"/>
      <c r="N174" s="210"/>
      <c r="O174" s="210"/>
      <c r="P174" s="210"/>
      <c r="Q174" s="210"/>
      <c r="V174" s="131"/>
    </row>
    <row r="175" spans="1:40" ht="74.45" customHeight="1" x14ac:dyDescent="0.25">
      <c r="A175" s="279"/>
      <c r="B175" s="274" t="s">
        <v>741</v>
      </c>
      <c r="C175" s="163" t="s">
        <v>1153</v>
      </c>
      <c r="D175" s="394" t="s">
        <v>792</v>
      </c>
      <c r="E175" s="250" t="s">
        <v>672</v>
      </c>
      <c r="F175" s="250" t="s">
        <v>673</v>
      </c>
      <c r="G175" s="162" t="s">
        <v>766</v>
      </c>
      <c r="H175" s="162" t="s">
        <v>767</v>
      </c>
      <c r="I175" s="250" t="s">
        <v>768</v>
      </c>
      <c r="J175" s="279"/>
      <c r="K175" s="506" t="s">
        <v>810</v>
      </c>
      <c r="L175" s="394" t="s">
        <v>792</v>
      </c>
      <c r="M175" s="496" t="s">
        <v>672</v>
      </c>
      <c r="N175" s="496" t="s">
        <v>673</v>
      </c>
      <c r="O175" s="395" t="s">
        <v>766</v>
      </c>
      <c r="P175" s="395" t="s">
        <v>767</v>
      </c>
      <c r="Q175" s="496" t="s">
        <v>768</v>
      </c>
      <c r="V175" s="131"/>
    </row>
    <row r="176" spans="1:40" x14ac:dyDescent="0.25">
      <c r="A176" s="279"/>
      <c r="B176" s="331" t="s">
        <v>1082</v>
      </c>
      <c r="C176" s="147">
        <f>'Inputs and eligible population'!H143</f>
        <v>21</v>
      </c>
      <c r="D176" s="126">
        <f>'Inputs and eligible population'!F59*$C176</f>
        <v>0</v>
      </c>
      <c r="E176" s="126">
        <f>'Inputs and eligible population'!G59*$C176</f>
        <v>0</v>
      </c>
      <c r="F176" s="126">
        <f>'Inputs and eligible population'!H59*$C176</f>
        <v>0</v>
      </c>
      <c r="G176" s="126">
        <f>'Inputs and eligible population'!I59*$C176</f>
        <v>0</v>
      </c>
      <c r="H176" s="126">
        <f>'Inputs and eligible population'!J59*$C176</f>
        <v>0</v>
      </c>
      <c r="I176" s="126">
        <f>'Inputs and eligible population'!K59*$C176</f>
        <v>0</v>
      </c>
      <c r="J176" s="279"/>
      <c r="K176" s="521">
        <f>'Unit costs'!C40</f>
        <v>0</v>
      </c>
      <c r="L176" s="284">
        <f>'Inputs and eligible population'!F59*'Capacity (local prices)'!$K176/1000</f>
        <v>0</v>
      </c>
      <c r="M176" s="284">
        <f>'Inputs and eligible population'!G59*'Capacity (local prices)'!$K176/1000</f>
        <v>0</v>
      </c>
      <c r="N176" s="284">
        <f>'Inputs and eligible population'!H59*'Capacity (local prices)'!$K176/1000</f>
        <v>0</v>
      </c>
      <c r="O176" s="284">
        <f>'Inputs and eligible population'!I59*'Capacity (local prices)'!$K176/1000</f>
        <v>0</v>
      </c>
      <c r="P176" s="284">
        <f>'Inputs and eligible population'!J59*'Capacity (local prices)'!$K176/1000</f>
        <v>0</v>
      </c>
      <c r="Q176" s="284">
        <f>'Inputs and eligible population'!K59*'Capacity (local prices)'!$K176/1000</f>
        <v>0</v>
      </c>
      <c r="S176" s="131"/>
      <c r="T176" s="131"/>
      <c r="U176" s="131"/>
      <c r="V176" s="131"/>
      <c r="W176" s="131"/>
      <c r="X176" s="131"/>
      <c r="Y176" s="131"/>
      <c r="Z176" s="131"/>
      <c r="AJ176" s="278"/>
      <c r="AK176" s="278"/>
      <c r="AL176" s="278"/>
      <c r="AM176" s="278"/>
      <c r="AN176" s="278"/>
    </row>
    <row r="177" spans="1:40" x14ac:dyDescent="0.25">
      <c r="A177" s="279"/>
      <c r="B177" s="331" t="s">
        <v>1081</v>
      </c>
      <c r="C177" s="147">
        <f>'Inputs and eligible population'!G143</f>
        <v>21</v>
      </c>
      <c r="D177" s="126">
        <f>'Inputs and eligible population'!F60*$C177</f>
        <v>0</v>
      </c>
      <c r="E177" s="126">
        <f>'Inputs and eligible population'!G60*$C177</f>
        <v>0</v>
      </c>
      <c r="F177" s="126">
        <f>'Inputs and eligible population'!H60*$C177</f>
        <v>0</v>
      </c>
      <c r="G177" s="126">
        <f>'Inputs and eligible population'!I60*$C177</f>
        <v>0</v>
      </c>
      <c r="H177" s="126">
        <f>'Inputs and eligible population'!J60*$C177</f>
        <v>0</v>
      </c>
      <c r="I177" s="126">
        <f>'Inputs and eligible population'!K60*$C177</f>
        <v>0</v>
      </c>
      <c r="J177" s="279"/>
      <c r="K177" s="521">
        <f>'Unit costs'!C40</f>
        <v>0</v>
      </c>
      <c r="L177" s="284">
        <f>'Inputs and eligible population'!F60*'Capacity (local prices)'!$K177/1000</f>
        <v>0</v>
      </c>
      <c r="M177" s="284">
        <f>'Inputs and eligible population'!G60*'Capacity (local prices)'!$K177/1000</f>
        <v>0</v>
      </c>
      <c r="N177" s="284">
        <f>'Inputs and eligible population'!H60*'Capacity (local prices)'!$K177/1000</f>
        <v>0</v>
      </c>
      <c r="O177" s="284">
        <f>'Inputs and eligible population'!I60*'Capacity (local prices)'!$K177/1000</f>
        <v>0</v>
      </c>
      <c r="P177" s="284">
        <f>'Inputs and eligible population'!J60*'Capacity (local prices)'!$K177/1000</f>
        <v>0</v>
      </c>
      <c r="Q177" s="284">
        <f>'Inputs and eligible population'!K60*'Capacity (local prices)'!$K177/1000</f>
        <v>0</v>
      </c>
      <c r="S177" s="131"/>
      <c r="T177" s="131"/>
      <c r="U177" s="131"/>
      <c r="V177" s="131"/>
      <c r="W177" s="131"/>
      <c r="X177" s="131"/>
      <c r="Y177" s="131"/>
      <c r="Z177" s="131"/>
      <c r="AJ177" s="278"/>
      <c r="AK177" s="278"/>
      <c r="AL177" s="278"/>
      <c r="AM177" s="278"/>
      <c r="AN177" s="278"/>
    </row>
    <row r="178" spans="1:40" x14ac:dyDescent="0.25">
      <c r="A178" s="279"/>
      <c r="B178" s="275" t="s">
        <v>804</v>
      </c>
      <c r="C178" s="303"/>
      <c r="D178" s="182">
        <f t="shared" ref="D178:I178" si="158">SUM(D176:D177)</f>
        <v>0</v>
      </c>
      <c r="E178" s="182">
        <f t="shared" si="158"/>
        <v>0</v>
      </c>
      <c r="F178" s="182">
        <f t="shared" si="158"/>
        <v>0</v>
      </c>
      <c r="G178" s="182">
        <f t="shared" si="158"/>
        <v>0</v>
      </c>
      <c r="H178" s="182">
        <f t="shared" si="158"/>
        <v>0</v>
      </c>
      <c r="I178" s="182">
        <f t="shared" si="158"/>
        <v>0</v>
      </c>
      <c r="J178" s="279"/>
      <c r="K178" s="210"/>
      <c r="L178" s="285">
        <f t="shared" ref="L178:Q178" si="159">SUM(L176:L177)</f>
        <v>0</v>
      </c>
      <c r="M178" s="285">
        <f t="shared" si="159"/>
        <v>0</v>
      </c>
      <c r="N178" s="285">
        <f t="shared" si="159"/>
        <v>0</v>
      </c>
      <c r="O178" s="285">
        <f t="shared" si="159"/>
        <v>0</v>
      </c>
      <c r="P178" s="285">
        <f t="shared" si="159"/>
        <v>0</v>
      </c>
      <c r="Q178" s="285">
        <f t="shared" si="159"/>
        <v>0</v>
      </c>
      <c r="S178" s="131"/>
      <c r="T178" s="131"/>
      <c r="U178" s="131"/>
      <c r="V178" s="131"/>
      <c r="W178" s="131"/>
      <c r="X178" s="131"/>
      <c r="Y178" s="131"/>
      <c r="Z178" s="131"/>
      <c r="AJ178" s="278"/>
      <c r="AK178" s="278"/>
      <c r="AL178" s="278"/>
      <c r="AM178" s="278"/>
      <c r="AN178" s="278"/>
    </row>
    <row r="179" spans="1:40" x14ac:dyDescent="0.25">
      <c r="A179" s="279"/>
      <c r="B179" s="291"/>
      <c r="C179" s="251"/>
      <c r="D179" s="277" t="s">
        <v>1164</v>
      </c>
      <c r="E179" s="182">
        <f>E178-$D$178</f>
        <v>0</v>
      </c>
      <c r="F179" s="182">
        <f>F178-$D$178</f>
        <v>0</v>
      </c>
      <c r="G179" s="182">
        <f>G178-$D$178</f>
        <v>0</v>
      </c>
      <c r="H179" s="182">
        <f>H178-$D$178</f>
        <v>0</v>
      </c>
      <c r="I179" s="182">
        <f>I178-$D$178</f>
        <v>0</v>
      </c>
      <c r="J179" s="279"/>
      <c r="K179" s="210"/>
      <c r="L179" s="210"/>
      <c r="M179" s="285">
        <f>M178-$L178</f>
        <v>0</v>
      </c>
      <c r="N179" s="285">
        <f t="shared" ref="N179:Q179" si="160">N178-$L178</f>
        <v>0</v>
      </c>
      <c r="O179" s="285">
        <f t="shared" si="160"/>
        <v>0</v>
      </c>
      <c r="P179" s="285">
        <f t="shared" si="160"/>
        <v>0</v>
      </c>
      <c r="Q179" s="285">
        <f t="shared" si="160"/>
        <v>0</v>
      </c>
      <c r="S179" s="131"/>
      <c r="T179" s="131"/>
      <c r="U179" s="131"/>
      <c r="V179" s="131"/>
      <c r="W179" s="131"/>
      <c r="X179" s="131"/>
      <c r="Y179" s="131"/>
      <c r="Z179" s="131"/>
      <c r="AJ179" s="278"/>
      <c r="AK179" s="278"/>
      <c r="AL179" s="278"/>
      <c r="AM179" s="278"/>
      <c r="AN179" s="278"/>
    </row>
    <row r="180" spans="1:40" x14ac:dyDescent="0.25">
      <c r="A180" s="279"/>
      <c r="B180" s="305"/>
      <c r="C180" s="210"/>
      <c r="D180" s="210"/>
      <c r="E180" s="210"/>
      <c r="F180" s="210"/>
      <c r="G180" s="210"/>
      <c r="H180" s="210"/>
      <c r="I180" s="210"/>
      <c r="J180" s="210"/>
      <c r="K180" s="210"/>
      <c r="L180" s="210"/>
      <c r="M180" s="210"/>
      <c r="N180" s="210"/>
      <c r="O180" s="210"/>
      <c r="P180" s="210"/>
      <c r="Q180" s="210"/>
      <c r="S180" s="131"/>
      <c r="T180" s="131"/>
      <c r="U180" s="131"/>
      <c r="V180" s="131"/>
      <c r="W180" s="131"/>
      <c r="X180" s="131"/>
      <c r="Y180" s="131"/>
      <c r="Z180" s="131"/>
      <c r="AJ180" s="278"/>
      <c r="AK180" s="278"/>
      <c r="AL180" s="278"/>
      <c r="AM180" s="278"/>
      <c r="AN180" s="278"/>
    </row>
    <row r="181" spans="1:40" x14ac:dyDescent="0.25">
      <c r="A181" s="279"/>
      <c r="B181" s="368" t="s">
        <v>1179</v>
      </c>
      <c r="C181" s="367"/>
      <c r="D181" s="367"/>
      <c r="E181" s="367"/>
      <c r="F181" s="367"/>
      <c r="G181" s="367"/>
      <c r="H181" s="367"/>
      <c r="I181" s="209"/>
      <c r="J181" s="400"/>
      <c r="K181" s="210"/>
      <c r="L181" s="210"/>
      <c r="M181" s="210"/>
      <c r="N181" s="210"/>
      <c r="O181" s="210"/>
      <c r="P181" s="210"/>
      <c r="Q181" s="210"/>
      <c r="S181" s="131"/>
      <c r="T181" s="131"/>
      <c r="U181" s="131"/>
      <c r="V181" s="131"/>
      <c r="W181" s="131"/>
      <c r="X181" s="131"/>
      <c r="Y181" s="131"/>
      <c r="Z181" s="131"/>
      <c r="AJ181" s="278"/>
      <c r="AK181" s="278"/>
      <c r="AL181" s="278"/>
      <c r="AM181" s="278"/>
      <c r="AN181" s="278"/>
    </row>
    <row r="182" spans="1:40" ht="74.45" customHeight="1" x14ac:dyDescent="0.25">
      <c r="A182" s="279"/>
      <c r="B182" s="274" t="s">
        <v>741</v>
      </c>
      <c r="C182" s="163" t="s">
        <v>1153</v>
      </c>
      <c r="D182" s="394" t="s">
        <v>792</v>
      </c>
      <c r="E182" s="250" t="s">
        <v>672</v>
      </c>
      <c r="F182" s="250" t="s">
        <v>673</v>
      </c>
      <c r="G182" s="162" t="s">
        <v>766</v>
      </c>
      <c r="H182" s="162" t="s">
        <v>767</v>
      </c>
      <c r="I182" s="250" t="s">
        <v>768</v>
      </c>
      <c r="J182" s="279"/>
      <c r="K182" s="506" t="s">
        <v>810</v>
      </c>
      <c r="L182" s="394" t="s">
        <v>792</v>
      </c>
      <c r="M182" s="496" t="s">
        <v>672</v>
      </c>
      <c r="N182" s="496" t="s">
        <v>673</v>
      </c>
      <c r="O182" s="395" t="s">
        <v>766</v>
      </c>
      <c r="P182" s="395" t="s">
        <v>767</v>
      </c>
      <c r="Q182" s="496" t="s">
        <v>768</v>
      </c>
      <c r="V182" s="131"/>
    </row>
    <row r="183" spans="1:40" x14ac:dyDescent="0.25">
      <c r="A183" s="279"/>
      <c r="B183" s="331" t="s">
        <v>1082</v>
      </c>
      <c r="C183" s="147">
        <f>'Inputs and eligible population'!H144</f>
        <v>28</v>
      </c>
      <c r="D183" s="126">
        <f>'Inputs and eligible population'!F59*$C183</f>
        <v>0</v>
      </c>
      <c r="E183" s="126">
        <f>'Inputs and eligible population'!G59*$C183</f>
        <v>0</v>
      </c>
      <c r="F183" s="126">
        <f>'Inputs and eligible population'!H59*$C183</f>
        <v>0</v>
      </c>
      <c r="G183" s="126">
        <f>'Inputs and eligible population'!I59*$C183</f>
        <v>0</v>
      </c>
      <c r="H183" s="126">
        <f>'Inputs and eligible population'!J59*$C183</f>
        <v>0</v>
      </c>
      <c r="I183" s="126">
        <f>'Inputs and eligible population'!K59*$C183</f>
        <v>0</v>
      </c>
      <c r="J183" s="279"/>
      <c r="K183" s="521">
        <f>'Unit costs'!C40</f>
        <v>0</v>
      </c>
      <c r="L183" s="284">
        <f>'Inputs and eligible population'!F59*'Capacity (local prices)'!$K183/1000</f>
        <v>0</v>
      </c>
      <c r="M183" s="284">
        <f>'Inputs and eligible population'!G59*'Capacity (local prices)'!$K183/1000</f>
        <v>0</v>
      </c>
      <c r="N183" s="284">
        <f>'Inputs and eligible population'!H59*'Capacity (local prices)'!$K183/1000</f>
        <v>0</v>
      </c>
      <c r="O183" s="284">
        <f>'Inputs and eligible population'!I59*'Capacity (local prices)'!$K183/1000</f>
        <v>0</v>
      </c>
      <c r="P183" s="284">
        <f>'Inputs and eligible population'!J59*'Capacity (local prices)'!$K183/1000</f>
        <v>0</v>
      </c>
      <c r="Q183" s="284">
        <f>'Inputs and eligible population'!K59*'Capacity (local prices)'!$K183/1000</f>
        <v>0</v>
      </c>
      <c r="S183" s="131"/>
      <c r="T183" s="131"/>
      <c r="U183" s="131"/>
      <c r="V183" s="131"/>
      <c r="W183" s="131"/>
      <c r="X183" s="131"/>
      <c r="Y183" s="131"/>
      <c r="Z183" s="131"/>
      <c r="AJ183" s="278"/>
      <c r="AK183" s="278"/>
      <c r="AL183" s="278"/>
      <c r="AM183" s="278"/>
      <c r="AN183" s="278"/>
    </row>
    <row r="184" spans="1:40" x14ac:dyDescent="0.25">
      <c r="A184" s="279"/>
      <c r="B184" s="331" t="s">
        <v>1081</v>
      </c>
      <c r="C184" s="147">
        <f>'Inputs and eligible population'!G144</f>
        <v>28</v>
      </c>
      <c r="D184" s="126">
        <f>'Inputs and eligible population'!F60*$C184</f>
        <v>0</v>
      </c>
      <c r="E184" s="126">
        <f>'Inputs and eligible population'!G60*$C184</f>
        <v>0</v>
      </c>
      <c r="F184" s="126">
        <f>'Inputs and eligible population'!H60*$C184</f>
        <v>0</v>
      </c>
      <c r="G184" s="126">
        <f>'Inputs and eligible population'!I60*$C184</f>
        <v>0</v>
      </c>
      <c r="H184" s="126">
        <f>'Inputs and eligible population'!J60*$C184</f>
        <v>0</v>
      </c>
      <c r="I184" s="126">
        <f>'Inputs and eligible population'!K60*$C184</f>
        <v>0</v>
      </c>
      <c r="J184" s="279"/>
      <c r="K184" s="521">
        <f>'Unit costs'!C40</f>
        <v>0</v>
      </c>
      <c r="L184" s="284">
        <f>'Inputs and eligible population'!F60*'Capacity (local prices)'!$K184/1000</f>
        <v>0</v>
      </c>
      <c r="M184" s="284">
        <f>'Inputs and eligible population'!G60*'Capacity (local prices)'!$K184/1000</f>
        <v>0</v>
      </c>
      <c r="N184" s="284">
        <f>'Inputs and eligible population'!H60*'Capacity (local prices)'!$K184/1000</f>
        <v>0</v>
      </c>
      <c r="O184" s="284">
        <f>'Inputs and eligible population'!I60*'Capacity (local prices)'!$K184/1000</f>
        <v>0</v>
      </c>
      <c r="P184" s="284">
        <f>'Inputs and eligible population'!J60*'Capacity (local prices)'!$K184/1000</f>
        <v>0</v>
      </c>
      <c r="Q184" s="284">
        <f>'Inputs and eligible population'!K60*'Capacity (local prices)'!$K184/1000</f>
        <v>0</v>
      </c>
      <c r="S184" s="131"/>
      <c r="T184" s="131"/>
      <c r="U184" s="131"/>
      <c r="V184" s="131"/>
      <c r="W184" s="131"/>
      <c r="X184" s="131"/>
      <c r="Y184" s="131"/>
      <c r="Z184" s="131"/>
      <c r="AJ184" s="278"/>
      <c r="AK184" s="278"/>
      <c r="AL184" s="278"/>
      <c r="AM184" s="278"/>
      <c r="AN184" s="278"/>
    </row>
    <row r="185" spans="1:40" x14ac:dyDescent="0.25">
      <c r="A185" s="279"/>
      <c r="B185" s="275" t="s">
        <v>804</v>
      </c>
      <c r="C185" s="303"/>
      <c r="D185" s="182">
        <f t="shared" ref="D185:I185" si="161">SUM(D183:D184)</f>
        <v>0</v>
      </c>
      <c r="E185" s="182">
        <f t="shared" si="161"/>
        <v>0</v>
      </c>
      <c r="F185" s="182">
        <f t="shared" si="161"/>
        <v>0</v>
      </c>
      <c r="G185" s="182">
        <f t="shared" si="161"/>
        <v>0</v>
      </c>
      <c r="H185" s="182">
        <f t="shared" si="161"/>
        <v>0</v>
      </c>
      <c r="I185" s="182">
        <f t="shared" si="161"/>
        <v>0</v>
      </c>
      <c r="J185" s="279"/>
      <c r="K185" s="210"/>
      <c r="L185" s="285">
        <f t="shared" ref="L185:Q185" si="162">SUM(L183:L184)</f>
        <v>0</v>
      </c>
      <c r="M185" s="285">
        <f t="shared" si="162"/>
        <v>0</v>
      </c>
      <c r="N185" s="285">
        <f t="shared" si="162"/>
        <v>0</v>
      </c>
      <c r="O185" s="285">
        <f t="shared" si="162"/>
        <v>0</v>
      </c>
      <c r="P185" s="285">
        <f t="shared" si="162"/>
        <v>0</v>
      </c>
      <c r="Q185" s="285">
        <f t="shared" si="162"/>
        <v>0</v>
      </c>
      <c r="S185" s="131"/>
      <c r="T185" s="131"/>
      <c r="U185" s="131"/>
      <c r="V185" s="131"/>
      <c r="W185" s="131"/>
      <c r="X185" s="131"/>
      <c r="Y185" s="131"/>
      <c r="Z185" s="131"/>
      <c r="AJ185" s="278"/>
      <c r="AK185" s="278"/>
      <c r="AL185" s="278"/>
      <c r="AM185" s="278"/>
      <c r="AN185" s="278"/>
    </row>
    <row r="186" spans="1:40" x14ac:dyDescent="0.25">
      <c r="A186" s="279"/>
      <c r="B186" s="291"/>
      <c r="C186" s="251"/>
      <c r="D186" s="277" t="s">
        <v>1164</v>
      </c>
      <c r="E186" s="182">
        <f>E185-$D$185</f>
        <v>0</v>
      </c>
      <c r="F186" s="182">
        <f>F185-$D$185</f>
        <v>0</v>
      </c>
      <c r="G186" s="182">
        <f>G185-$D$185</f>
        <v>0</v>
      </c>
      <c r="H186" s="182">
        <f>H185-$D$185</f>
        <v>0</v>
      </c>
      <c r="I186" s="182">
        <f>I185-$D$185</f>
        <v>0</v>
      </c>
      <c r="J186" s="279"/>
      <c r="K186" s="210"/>
      <c r="L186" s="210"/>
      <c r="M186" s="285">
        <f>M185-$L185</f>
        <v>0</v>
      </c>
      <c r="N186" s="285">
        <f t="shared" ref="N186:Q186" si="163">N185-$L185</f>
        <v>0</v>
      </c>
      <c r="O186" s="285">
        <f t="shared" si="163"/>
        <v>0</v>
      </c>
      <c r="P186" s="285">
        <f t="shared" si="163"/>
        <v>0</v>
      </c>
      <c r="Q186" s="285">
        <f t="shared" si="163"/>
        <v>0</v>
      </c>
      <c r="S186" s="131"/>
      <c r="T186" s="131"/>
      <c r="U186" s="131"/>
      <c r="V186" s="131"/>
      <c r="W186" s="131"/>
      <c r="X186" s="131"/>
      <c r="Y186" s="131"/>
      <c r="Z186" s="131"/>
      <c r="AJ186" s="278"/>
      <c r="AK186" s="278"/>
      <c r="AL186" s="278"/>
      <c r="AM186" s="278"/>
      <c r="AN186" s="278"/>
    </row>
    <row r="187" spans="1:40" x14ac:dyDescent="0.25">
      <c r="A187" s="279"/>
      <c r="B187" s="924"/>
      <c r="C187" s="290"/>
      <c r="D187" s="925"/>
      <c r="E187" s="926"/>
      <c r="F187" s="926"/>
      <c r="G187" s="926"/>
      <c r="H187" s="926"/>
      <c r="I187" s="926"/>
      <c r="J187" s="279"/>
      <c r="K187" s="210"/>
      <c r="L187" s="210"/>
      <c r="M187" s="881"/>
      <c r="N187" s="881"/>
      <c r="O187" s="881"/>
      <c r="P187" s="881"/>
      <c r="Q187" s="881"/>
      <c r="S187" s="131"/>
      <c r="T187" s="131"/>
      <c r="U187" s="131"/>
      <c r="V187" s="131"/>
      <c r="W187" s="131"/>
      <c r="X187" s="131"/>
      <c r="Y187" s="131"/>
      <c r="Z187" s="131"/>
      <c r="AJ187" s="278"/>
      <c r="AK187" s="278"/>
      <c r="AL187" s="278"/>
      <c r="AM187" s="278"/>
      <c r="AN187" s="278"/>
    </row>
    <row r="188" spans="1:40" x14ac:dyDescent="0.25">
      <c r="A188" s="283"/>
      <c r="B188" s="308" t="s">
        <v>806</v>
      </c>
      <c r="C188" s="297"/>
      <c r="D188" s="297"/>
      <c r="E188" s="298"/>
      <c r="F188" s="299"/>
      <c r="G188" s="300"/>
      <c r="H188" s="300"/>
      <c r="I188" s="300"/>
      <c r="J188" s="406"/>
      <c r="K188" s="283"/>
      <c r="L188" s="283"/>
      <c r="M188" s="283"/>
      <c r="N188" s="283"/>
      <c r="O188" s="283"/>
      <c r="P188" s="283"/>
      <c r="Q188" s="405"/>
      <c r="V188" s="131"/>
    </row>
    <row r="189" spans="1:40" x14ac:dyDescent="0.25">
      <c r="A189" s="283"/>
      <c r="B189" s="376" t="s">
        <v>1198</v>
      </c>
      <c r="C189" s="377"/>
      <c r="D189" s="377"/>
      <c r="E189" s="377"/>
      <c r="F189" s="377"/>
      <c r="G189" s="377"/>
      <c r="H189" s="377"/>
      <c r="I189" s="217"/>
      <c r="J189" s="914"/>
      <c r="K189" s="405"/>
      <c r="L189" s="405"/>
      <c r="M189" s="405"/>
      <c r="N189" s="405"/>
      <c r="O189" s="405"/>
      <c r="P189" s="405"/>
      <c r="Q189" s="405"/>
      <c r="V189" s="131"/>
    </row>
    <row r="190" spans="1:40" ht="74.45" customHeight="1" x14ac:dyDescent="0.25">
      <c r="A190" s="283"/>
      <c r="B190" s="274" t="s">
        <v>741</v>
      </c>
      <c r="C190" s="163" t="s">
        <v>1195</v>
      </c>
      <c r="D190" s="394" t="s">
        <v>792</v>
      </c>
      <c r="E190" s="250" t="s">
        <v>672</v>
      </c>
      <c r="F190" s="250" t="s">
        <v>673</v>
      </c>
      <c r="G190" s="162" t="s">
        <v>766</v>
      </c>
      <c r="H190" s="162" t="s">
        <v>767</v>
      </c>
      <c r="I190" s="250" t="s">
        <v>768</v>
      </c>
      <c r="J190" s="283"/>
      <c r="K190" s="918"/>
      <c r="L190" s="919"/>
      <c r="M190" s="920"/>
      <c r="N190" s="920"/>
      <c r="O190" s="920"/>
      <c r="P190" s="920"/>
      <c r="Q190" s="920"/>
      <c r="V190" s="131"/>
    </row>
    <row r="191" spans="1:40" x14ac:dyDescent="0.25">
      <c r="A191" s="283"/>
      <c r="B191" s="331" t="s">
        <v>986</v>
      </c>
      <c r="C191" s="147">
        <f>'Inputs and eligible population'!G145+'Inputs and eligible population'!G147</f>
        <v>8</v>
      </c>
      <c r="D191" s="126">
        <f>'Inputs and eligible population'!F61*$C191</f>
        <v>0</v>
      </c>
      <c r="E191" s="126">
        <f>'Inputs and eligible population'!G61*$C191</f>
        <v>0</v>
      </c>
      <c r="F191" s="126">
        <f>'Inputs and eligible population'!H61*$C191</f>
        <v>0</v>
      </c>
      <c r="G191" s="126">
        <f>'Inputs and eligible population'!I61*$C191</f>
        <v>0</v>
      </c>
      <c r="H191" s="126">
        <f>'Inputs and eligible population'!J61*$C191</f>
        <v>0</v>
      </c>
      <c r="I191" s="126">
        <f>'Inputs and eligible population'!K61*$C191</f>
        <v>0</v>
      </c>
      <c r="J191" s="283"/>
      <c r="K191" s="921"/>
      <c r="L191" s="922"/>
      <c r="M191" s="922"/>
      <c r="N191" s="922"/>
      <c r="O191" s="922"/>
      <c r="P191" s="922"/>
      <c r="Q191" s="922"/>
      <c r="S191" s="131"/>
      <c r="T191" s="131"/>
      <c r="U191" s="131"/>
      <c r="V191" s="131"/>
      <c r="W191" s="131"/>
      <c r="X191" s="131"/>
      <c r="Y191" s="131"/>
      <c r="Z191" s="131"/>
      <c r="AJ191" s="278"/>
      <c r="AK191" s="278"/>
      <c r="AL191" s="278"/>
      <c r="AM191" s="278"/>
      <c r="AN191" s="278"/>
    </row>
    <row r="192" spans="1:40" x14ac:dyDescent="0.25">
      <c r="A192" s="283"/>
      <c r="B192" s="331" t="s">
        <v>987</v>
      </c>
      <c r="C192" s="147">
        <f>'Inputs and eligible population'!G146+'Inputs and eligible population'!G148</f>
        <v>0</v>
      </c>
      <c r="D192" s="126">
        <f>'Inputs and eligible population'!F61*$C192</f>
        <v>0</v>
      </c>
      <c r="E192" s="126">
        <f>'Inputs and eligible population'!G61*$C192</f>
        <v>0</v>
      </c>
      <c r="F192" s="126">
        <f>'Inputs and eligible population'!H61*$C192</f>
        <v>0</v>
      </c>
      <c r="G192" s="126">
        <f>'Inputs and eligible population'!I61*$C192</f>
        <v>0</v>
      </c>
      <c r="H192" s="126">
        <f>'Inputs and eligible population'!J61*$C192</f>
        <v>0</v>
      </c>
      <c r="I192" s="126">
        <f>'Inputs and eligible population'!K61*$C192</f>
        <v>0</v>
      </c>
      <c r="J192" s="283"/>
      <c r="K192" s="921"/>
      <c r="L192" s="922"/>
      <c r="M192" s="922"/>
      <c r="N192" s="922"/>
      <c r="O192" s="922"/>
      <c r="P192" s="922"/>
      <c r="Q192" s="922"/>
      <c r="S192" s="131"/>
      <c r="T192" s="131"/>
      <c r="U192" s="131"/>
      <c r="V192" s="131"/>
      <c r="W192" s="131"/>
      <c r="X192" s="131"/>
      <c r="Y192" s="131"/>
      <c r="Z192" s="131"/>
      <c r="AJ192" s="278"/>
      <c r="AK192" s="278"/>
      <c r="AL192" s="278"/>
      <c r="AM192" s="278"/>
      <c r="AN192" s="278"/>
    </row>
    <row r="193" spans="1:40" x14ac:dyDescent="0.25">
      <c r="A193" s="283"/>
      <c r="B193" s="275" t="s">
        <v>804</v>
      </c>
      <c r="C193" s="303"/>
      <c r="D193" s="182">
        <f t="shared" ref="D193:I193" si="164">SUM(D191:D192)</f>
        <v>0</v>
      </c>
      <c r="E193" s="182">
        <f t="shared" si="164"/>
        <v>0</v>
      </c>
      <c r="F193" s="182">
        <f t="shared" si="164"/>
        <v>0</v>
      </c>
      <c r="G193" s="182">
        <f t="shared" si="164"/>
        <v>0</v>
      </c>
      <c r="H193" s="182">
        <f t="shared" si="164"/>
        <v>0</v>
      </c>
      <c r="I193" s="182">
        <f t="shared" si="164"/>
        <v>0</v>
      </c>
      <c r="J193" s="283"/>
      <c r="K193" s="405"/>
      <c r="L193" s="923"/>
      <c r="M193" s="923"/>
      <c r="N193" s="923"/>
      <c r="O193" s="923"/>
      <c r="P193" s="923"/>
      <c r="Q193" s="923"/>
      <c r="S193" s="131"/>
      <c r="T193" s="131"/>
      <c r="U193" s="131"/>
      <c r="V193" s="131"/>
      <c r="W193" s="131"/>
      <c r="X193" s="131"/>
      <c r="Y193" s="131"/>
      <c r="Z193" s="131"/>
      <c r="AJ193" s="278"/>
      <c r="AK193" s="278"/>
      <c r="AL193" s="278"/>
      <c r="AM193" s="278"/>
      <c r="AN193" s="278"/>
    </row>
    <row r="194" spans="1:40" x14ac:dyDescent="0.25">
      <c r="A194" s="283"/>
      <c r="B194" s="291"/>
      <c r="C194" s="251"/>
      <c r="D194" s="277" t="s">
        <v>1197</v>
      </c>
      <c r="E194" s="182">
        <f>E193-$D$193</f>
        <v>0</v>
      </c>
      <c r="F194" s="182">
        <f>F193-$D$193</f>
        <v>0</v>
      </c>
      <c r="G194" s="182">
        <f>G193-$D$193</f>
        <v>0</v>
      </c>
      <c r="H194" s="182">
        <f>H193-$D$193</f>
        <v>0</v>
      </c>
      <c r="I194" s="182">
        <f>I193-$D$193</f>
        <v>0</v>
      </c>
      <c r="J194" s="283"/>
      <c r="K194" s="405"/>
      <c r="L194" s="405"/>
      <c r="M194" s="923"/>
      <c r="N194" s="923"/>
      <c r="O194" s="923"/>
      <c r="P194" s="923"/>
      <c r="Q194" s="923"/>
      <c r="S194" s="131"/>
      <c r="T194" s="131"/>
      <c r="U194" s="131"/>
      <c r="V194" s="131"/>
      <c r="W194" s="131"/>
      <c r="X194" s="131"/>
      <c r="Y194" s="131"/>
      <c r="Z194" s="131"/>
      <c r="AJ194" s="278"/>
      <c r="AK194" s="278"/>
      <c r="AL194" s="278"/>
      <c r="AM194" s="278"/>
      <c r="AN194" s="278"/>
    </row>
    <row r="195" spans="1:40" x14ac:dyDescent="0.25">
      <c r="A195" s="283"/>
      <c r="B195" s="916"/>
      <c r="C195" s="405"/>
      <c r="D195" s="405"/>
      <c r="E195" s="405"/>
      <c r="F195" s="405"/>
      <c r="G195" s="405"/>
      <c r="H195" s="405"/>
      <c r="I195" s="405"/>
      <c r="J195" s="405"/>
      <c r="K195" s="405"/>
      <c r="L195" s="405"/>
      <c r="M195" s="405"/>
      <c r="N195" s="405"/>
      <c r="O195" s="405"/>
      <c r="P195" s="405"/>
      <c r="Q195" s="405"/>
      <c r="S195" s="131"/>
      <c r="T195" s="131"/>
      <c r="U195" s="131"/>
      <c r="V195" s="131"/>
      <c r="W195" s="131"/>
      <c r="X195" s="131"/>
      <c r="Y195" s="131"/>
      <c r="Z195" s="131"/>
      <c r="AJ195" s="278"/>
      <c r="AK195" s="278"/>
      <c r="AL195" s="278"/>
      <c r="AM195" s="278"/>
      <c r="AN195" s="278"/>
    </row>
    <row r="196" spans="1:40" x14ac:dyDescent="0.25">
      <c r="A196" s="283"/>
      <c r="B196" s="917" t="s">
        <v>1199</v>
      </c>
      <c r="C196" s="377"/>
      <c r="D196" s="377"/>
      <c r="E196" s="377"/>
      <c r="F196" s="377"/>
      <c r="G196" s="377"/>
      <c r="H196" s="377"/>
      <c r="I196" s="217"/>
      <c r="J196" s="914"/>
      <c r="K196" s="405"/>
      <c r="L196" s="405"/>
      <c r="M196" s="405"/>
      <c r="N196" s="405"/>
      <c r="O196" s="405"/>
      <c r="P196" s="405"/>
      <c r="Q196" s="405"/>
      <c r="S196" s="131"/>
      <c r="T196" s="131"/>
      <c r="U196" s="131"/>
      <c r="V196" s="131"/>
      <c r="W196" s="131"/>
      <c r="X196" s="131"/>
      <c r="Y196" s="131"/>
      <c r="Z196" s="131"/>
      <c r="AJ196" s="278"/>
      <c r="AK196" s="278"/>
      <c r="AL196" s="278"/>
      <c r="AM196" s="278"/>
      <c r="AN196" s="278"/>
    </row>
    <row r="197" spans="1:40" ht="74.45" customHeight="1" x14ac:dyDescent="0.25">
      <c r="A197" s="283"/>
      <c r="B197" s="274" t="s">
        <v>741</v>
      </c>
      <c r="C197" s="163" t="s">
        <v>1196</v>
      </c>
      <c r="D197" s="394" t="s">
        <v>792</v>
      </c>
      <c r="E197" s="250" t="s">
        <v>672</v>
      </c>
      <c r="F197" s="250" t="s">
        <v>673</v>
      </c>
      <c r="G197" s="162" t="s">
        <v>766</v>
      </c>
      <c r="H197" s="162" t="s">
        <v>767</v>
      </c>
      <c r="I197" s="250" t="s">
        <v>768</v>
      </c>
      <c r="J197" s="283"/>
      <c r="K197" s="506" t="s">
        <v>810</v>
      </c>
      <c r="L197" s="394" t="s">
        <v>792</v>
      </c>
      <c r="M197" s="496" t="s">
        <v>672</v>
      </c>
      <c r="N197" s="496" t="s">
        <v>673</v>
      </c>
      <c r="O197" s="395" t="s">
        <v>766</v>
      </c>
      <c r="P197" s="395" t="s">
        <v>767</v>
      </c>
      <c r="Q197" s="496" t="s">
        <v>768</v>
      </c>
      <c r="V197" s="131"/>
    </row>
    <row r="198" spans="1:40" x14ac:dyDescent="0.25">
      <c r="A198" s="283"/>
      <c r="B198" s="331" t="s">
        <v>986</v>
      </c>
      <c r="C198" s="147">
        <f>'Inputs and eligible population'!G149</f>
        <v>40</v>
      </c>
      <c r="D198" s="126">
        <f>D191*$C198/60</f>
        <v>0</v>
      </c>
      <c r="E198" s="126">
        <f t="shared" ref="E198:I198" si="165">E191*$C198/60</f>
        <v>0</v>
      </c>
      <c r="F198" s="126">
        <f t="shared" si="165"/>
        <v>0</v>
      </c>
      <c r="G198" s="126">
        <f t="shared" si="165"/>
        <v>0</v>
      </c>
      <c r="H198" s="126">
        <f t="shared" si="165"/>
        <v>0</v>
      </c>
      <c r="I198" s="126">
        <f t="shared" si="165"/>
        <v>0</v>
      </c>
      <c r="J198" s="283"/>
      <c r="K198" s="521">
        <f>'Inputs and eligible population'!L149</f>
        <v>42.84</v>
      </c>
      <c r="L198" s="284">
        <f>D198*$K198/1000</f>
        <v>0</v>
      </c>
      <c r="M198" s="284">
        <f t="shared" ref="M198:M199" si="166">E198*$K198/1000</f>
        <v>0</v>
      </c>
      <c r="N198" s="284">
        <f t="shared" ref="N198:N199" si="167">F198*$K198/1000</f>
        <v>0</v>
      </c>
      <c r="O198" s="284">
        <f t="shared" ref="O198:O199" si="168">G198*$K198/1000</f>
        <v>0</v>
      </c>
      <c r="P198" s="284">
        <f t="shared" ref="P198:P199" si="169">H198*$K198/1000</f>
        <v>0</v>
      </c>
      <c r="Q198" s="284">
        <f t="shared" ref="Q198:Q199" si="170">I198*$K198/1000</f>
        <v>0</v>
      </c>
      <c r="S198" s="131"/>
      <c r="T198" s="131"/>
      <c r="U198" s="131"/>
      <c r="V198" s="131"/>
      <c r="W198" s="131"/>
      <c r="X198" s="131"/>
      <c r="Y198" s="131"/>
      <c r="Z198" s="131"/>
      <c r="AJ198" s="278"/>
      <c r="AK198" s="278"/>
      <c r="AL198" s="278"/>
      <c r="AM198" s="278"/>
      <c r="AN198" s="278"/>
    </row>
    <row r="199" spans="1:40" x14ac:dyDescent="0.25">
      <c r="A199" s="283"/>
      <c r="B199" s="331" t="s">
        <v>987</v>
      </c>
      <c r="C199" s="147">
        <f>'Inputs and eligible population'!G150</f>
        <v>0</v>
      </c>
      <c r="D199" s="126">
        <f t="shared" ref="D199:I199" si="171">D192*$C199/60</f>
        <v>0</v>
      </c>
      <c r="E199" s="126">
        <f t="shared" si="171"/>
        <v>0</v>
      </c>
      <c r="F199" s="126">
        <f t="shared" si="171"/>
        <v>0</v>
      </c>
      <c r="G199" s="126">
        <f t="shared" si="171"/>
        <v>0</v>
      </c>
      <c r="H199" s="126">
        <f t="shared" si="171"/>
        <v>0</v>
      </c>
      <c r="I199" s="126">
        <f t="shared" si="171"/>
        <v>0</v>
      </c>
      <c r="J199" s="283"/>
      <c r="K199" s="521">
        <f>'Inputs and eligible population'!L150</f>
        <v>42.84</v>
      </c>
      <c r="L199" s="284">
        <f t="shared" ref="L199" si="172">D199*$K199/1000</f>
        <v>0</v>
      </c>
      <c r="M199" s="284">
        <f t="shared" si="166"/>
        <v>0</v>
      </c>
      <c r="N199" s="284">
        <f t="shared" si="167"/>
        <v>0</v>
      </c>
      <c r="O199" s="284">
        <f t="shared" si="168"/>
        <v>0</v>
      </c>
      <c r="P199" s="284">
        <f t="shared" si="169"/>
        <v>0</v>
      </c>
      <c r="Q199" s="284">
        <f t="shared" si="170"/>
        <v>0</v>
      </c>
      <c r="S199" s="131"/>
      <c r="T199" s="131"/>
      <c r="U199" s="131"/>
      <c r="V199" s="131"/>
      <c r="W199" s="131"/>
      <c r="X199" s="131"/>
      <c r="Y199" s="131"/>
      <c r="Z199" s="131"/>
      <c r="AJ199" s="278"/>
      <c r="AK199" s="278"/>
      <c r="AL199" s="278"/>
      <c r="AM199" s="278"/>
      <c r="AN199" s="278"/>
    </row>
    <row r="200" spans="1:40" x14ac:dyDescent="0.25">
      <c r="A200" s="283"/>
      <c r="B200" s="275" t="s">
        <v>804</v>
      </c>
      <c r="C200" s="303"/>
      <c r="D200" s="182">
        <f t="shared" ref="D200:I200" si="173">SUM(D198:D199)</f>
        <v>0</v>
      </c>
      <c r="E200" s="182">
        <f t="shared" si="173"/>
        <v>0</v>
      </c>
      <c r="F200" s="182">
        <f t="shared" si="173"/>
        <v>0</v>
      </c>
      <c r="G200" s="182">
        <f t="shared" si="173"/>
        <v>0</v>
      </c>
      <c r="H200" s="182">
        <f t="shared" si="173"/>
        <v>0</v>
      </c>
      <c r="I200" s="182">
        <f t="shared" si="173"/>
        <v>0</v>
      </c>
      <c r="J200" s="283"/>
      <c r="K200" s="405"/>
      <c r="L200" s="285">
        <f t="shared" ref="L200:Q200" si="174">SUM(L198:L199)</f>
        <v>0</v>
      </c>
      <c r="M200" s="285">
        <f t="shared" si="174"/>
        <v>0</v>
      </c>
      <c r="N200" s="285">
        <f t="shared" si="174"/>
        <v>0</v>
      </c>
      <c r="O200" s="285">
        <f t="shared" si="174"/>
        <v>0</v>
      </c>
      <c r="P200" s="285">
        <f t="shared" si="174"/>
        <v>0</v>
      </c>
      <c r="Q200" s="285">
        <f t="shared" si="174"/>
        <v>0</v>
      </c>
      <c r="S200" s="131"/>
      <c r="T200" s="131"/>
      <c r="U200" s="131"/>
      <c r="V200" s="131"/>
      <c r="W200" s="131"/>
      <c r="X200" s="131"/>
      <c r="Y200" s="131"/>
      <c r="Z200" s="131"/>
      <c r="AJ200" s="278"/>
      <c r="AK200" s="278"/>
      <c r="AL200" s="278"/>
      <c r="AM200" s="278"/>
      <c r="AN200" s="278"/>
    </row>
    <row r="201" spans="1:40" x14ac:dyDescent="0.25">
      <c r="A201" s="283"/>
      <c r="B201" s="291"/>
      <c r="C201" s="251"/>
      <c r="D201" s="277" t="s">
        <v>805</v>
      </c>
      <c r="E201" s="182">
        <f>E200-$D$200</f>
        <v>0</v>
      </c>
      <c r="F201" s="182">
        <f t="shared" ref="F201:I201" si="175">F200-$D$200</f>
        <v>0</v>
      </c>
      <c r="G201" s="182">
        <f t="shared" si="175"/>
        <v>0</v>
      </c>
      <c r="H201" s="182">
        <f t="shared" si="175"/>
        <v>0</v>
      </c>
      <c r="I201" s="182">
        <f t="shared" si="175"/>
        <v>0</v>
      </c>
      <c r="J201" s="283"/>
      <c r="K201" s="405"/>
      <c r="L201" s="405"/>
      <c r="M201" s="285">
        <f>M200-$L200</f>
        <v>0</v>
      </c>
      <c r="N201" s="285">
        <f t="shared" ref="N201:Q201" si="176">N200-$L200</f>
        <v>0</v>
      </c>
      <c r="O201" s="285">
        <f t="shared" si="176"/>
        <v>0</v>
      </c>
      <c r="P201" s="285">
        <f t="shared" si="176"/>
        <v>0</v>
      </c>
      <c r="Q201" s="285">
        <f t="shared" si="176"/>
        <v>0</v>
      </c>
      <c r="S201" s="131"/>
      <c r="T201" s="131"/>
      <c r="U201" s="131"/>
      <c r="V201" s="131"/>
      <c r="W201" s="131"/>
      <c r="X201" s="131"/>
      <c r="Y201" s="131"/>
      <c r="Z201" s="131"/>
      <c r="AJ201" s="278"/>
      <c r="AK201" s="278"/>
      <c r="AL201" s="278"/>
      <c r="AM201" s="278"/>
      <c r="AN201" s="278"/>
    </row>
    <row r="202" spans="1:40" x14ac:dyDescent="0.25">
      <c r="A202" s="283"/>
      <c r="B202" s="915"/>
      <c r="C202" s="283"/>
      <c r="D202" s="283"/>
      <c r="E202" s="283"/>
      <c r="F202" s="283"/>
      <c r="G202" s="283"/>
      <c r="H202" s="283"/>
      <c r="I202" s="283"/>
      <c r="J202" s="283"/>
      <c r="K202" s="283"/>
      <c r="L202" s="283"/>
      <c r="M202" s="283"/>
      <c r="N202" s="283"/>
      <c r="O202" s="283"/>
      <c r="P202" s="283"/>
      <c r="Q202" s="283"/>
    </row>
    <row r="203" spans="1:40" x14ac:dyDescent="0.25">
      <c r="A203" s="283"/>
      <c r="B203" s="915"/>
      <c r="C203" s="283"/>
      <c r="D203" s="283"/>
      <c r="E203" s="283"/>
      <c r="F203" s="283"/>
      <c r="G203" s="283"/>
      <c r="H203" s="283"/>
      <c r="I203" s="283"/>
      <c r="J203" s="283"/>
      <c r="K203" s="283"/>
      <c r="L203" s="283"/>
      <c r="M203" s="283"/>
      <c r="N203" s="283"/>
      <c r="O203" s="283"/>
      <c r="P203" s="283"/>
      <c r="Q203" s="283"/>
    </row>
    <row r="204" spans="1:40" x14ac:dyDescent="0.25">
      <c r="A204" s="283"/>
      <c r="B204" s="283"/>
      <c r="C204" s="283"/>
      <c r="D204" s="283"/>
      <c r="E204" s="283"/>
      <c r="F204" s="283"/>
      <c r="G204" s="283"/>
      <c r="H204" s="283"/>
      <c r="I204" s="283"/>
      <c r="J204" s="283"/>
      <c r="K204" s="283"/>
      <c r="L204" s="283"/>
      <c r="M204" s="283"/>
      <c r="N204" s="283"/>
      <c r="O204" s="283"/>
      <c r="P204" s="283"/>
      <c r="Q204" s="283"/>
    </row>
    <row r="205" spans="1:40" x14ac:dyDescent="0.25">
      <c r="A205" s="283"/>
      <c r="B205" s="283"/>
      <c r="C205" s="283"/>
      <c r="D205" s="283"/>
      <c r="E205" s="283"/>
      <c r="F205" s="283"/>
      <c r="G205" s="283"/>
      <c r="H205" s="283"/>
      <c r="I205" s="283"/>
      <c r="J205" s="283"/>
      <c r="K205" s="283"/>
      <c r="L205" s="283"/>
      <c r="M205" s="283"/>
      <c r="N205" s="283"/>
      <c r="O205" s="283"/>
      <c r="P205" s="283"/>
      <c r="Q205" s="283"/>
    </row>
  </sheetData>
  <sheetProtection algorithmName="SHA-512" hashValue="TUrRmx98xL/kWJtZI/8+4Td3r4ZRT2I7Sdj+ZHfIh98T9bvypNzbS2S3Ss6lbJp1kMCP0pOILX44SBuGZiZ7Qg==" saltValue="p+kzD+gptVP9FsAiVZpG/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4"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acaf4567-dc07-471f-892c-2bcb86ef35ae"/>
    <ds:schemaRef ds:uri="http://schemas.openxmlformats.org/package/2006/metadata/core-properties"/>
    <ds:schemaRef ds:uri="http://schemas.microsoft.com/office/infopath/2007/PartnerControls"/>
    <ds:schemaRef ds:uri="0eb656aa-4e79-4e95-9076-bc119a23e0cc"/>
    <ds:schemaRef ds:uri="http://purl.org/dc/terms/"/>
    <ds:schemaRef ds:uri="http://schemas.microsoft.com/office/2006/documentManagement/types"/>
    <ds:schemaRef ds:uri="http://purl.org/dc/dcmitype/"/>
    <ds:schemaRef ds:uri="http://purl.org/dc/elements/1.1/"/>
    <ds:schemaRef ds:uri="c1f338ac-e338-414f-952c-f74dcc6d59e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Financial impact (cash)</vt:lpstr>
      <vt:lpstr>Summary</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TA1044 Exagamglogene autotemcel for treating severe sickle cell disease in people 12 years and over: Resource impact template 26/02/2025</dc:title>
  <dc:subject/>
  <dc:creator/>
  <cp:keywords/>
  <dc:description/>
  <cp:lastModifiedBy/>
  <cp:revision/>
  <dcterms:created xsi:type="dcterms:W3CDTF">2022-07-27T12:38:28Z</dcterms:created>
  <dcterms:modified xsi:type="dcterms:W3CDTF">2025-04-11T15:01:12Z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