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5A26CA8-894C-4A5D-8694-545842384F00}" xr6:coauthVersionLast="47" xr6:coauthVersionMax="47" xr10:uidLastSave="{00000000-0000-0000-0000-000000000000}"/>
  <bookViews>
    <workbookView xWindow="-110" yWindow="-110" windowWidth="19420" windowHeight="10420" tabRatio="889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prices)'!$B$1:$S$281</definedName>
    <definedName name="_xlnm.Print_Area" localSheetId="8">'Capacity (national prices)'!$B$1:$S$281</definedName>
    <definedName name="_xlnm.Print_Area" localSheetId="1">Contents!$A$1:$P$29</definedName>
    <definedName name="_xlnm.Print_Area" localSheetId="0">Cover!$A$1:$P$25</definedName>
    <definedName name="_xlnm.Print_Area" localSheetId="6">'Financial impact (cash)'!$B$1:$J$58</definedName>
    <definedName name="_xlnm.Print_Area" localSheetId="3">'Inputs and eligible population'!$A$2:$AB$147</definedName>
    <definedName name="_xlnm.Print_Area" localSheetId="2">'Population selection'!$B$11:$J$17</definedName>
    <definedName name="_xlnm.Print_Area" localSheetId="5">Summary!$B$1:$K$83</definedName>
    <definedName name="_xlnm.Print_Area" localSheetId="4">'Unit costs'!$B$1:$T$202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21" l="1"/>
  <c r="C84" i="56"/>
  <c r="C81" i="56"/>
  <c r="C80" i="56"/>
  <c r="C79" i="56"/>
  <c r="C84" i="46"/>
  <c r="C80" i="46"/>
  <c r="C79" i="46"/>
  <c r="D6" i="47"/>
  <c r="E6" i="47"/>
  <c r="F6" i="47"/>
  <c r="G6" i="47"/>
  <c r="H6" i="47"/>
  <c r="C6" i="47"/>
  <c r="N36" i="21" l="1"/>
  <c r="P54" i="21" l="1"/>
  <c r="P41" i="21"/>
  <c r="P42" i="21"/>
  <c r="P43" i="21"/>
  <c r="P35" i="21"/>
  <c r="P36" i="21"/>
  <c r="P28" i="21"/>
  <c r="P23" i="21"/>
  <c r="P22" i="21"/>
  <c r="P21" i="21"/>
  <c r="K54" i="21" l="1"/>
  <c r="M54" i="21" s="1"/>
  <c r="O34" i="21" l="1"/>
  <c r="K34" i="21"/>
  <c r="M34" i="21" s="1"/>
  <c r="H34" i="21"/>
  <c r="N34" i="21" l="1"/>
  <c r="Q34" i="21" s="1"/>
  <c r="C245" i="56" l="1"/>
  <c r="C221" i="56"/>
  <c r="C197" i="56"/>
  <c r="C154" i="56"/>
  <c r="C130" i="56"/>
  <c r="C106" i="56"/>
  <c r="K42" i="56"/>
  <c r="C42" i="56"/>
  <c r="F173" i="21"/>
  <c r="F174" i="21"/>
  <c r="F175" i="21"/>
  <c r="F176" i="21"/>
  <c r="F177" i="21"/>
  <c r="F178" i="21"/>
  <c r="F179" i="21"/>
  <c r="F180" i="21"/>
  <c r="F181" i="21"/>
  <c r="F182" i="21"/>
  <c r="F172" i="21"/>
  <c r="C245" i="46"/>
  <c r="C221" i="46"/>
  <c r="C197" i="46"/>
  <c r="C154" i="46"/>
  <c r="C130" i="46"/>
  <c r="C106" i="46"/>
  <c r="K15" i="21" l="1"/>
  <c r="M15" i="21" s="1"/>
  <c r="K16" i="21"/>
  <c r="M16" i="21" s="1"/>
  <c r="K14" i="21"/>
  <c r="C249" i="56"/>
  <c r="C225" i="56"/>
  <c r="C201" i="56"/>
  <c r="C158" i="56"/>
  <c r="C134" i="56"/>
  <c r="C110" i="56"/>
  <c r="K46" i="56"/>
  <c r="C46" i="56"/>
  <c r="C249" i="46" l="1"/>
  <c r="C225" i="46"/>
  <c r="C201" i="46"/>
  <c r="C158" i="46"/>
  <c r="C134" i="46"/>
  <c r="C110" i="46"/>
  <c r="C45" i="46"/>
  <c r="B19" i="42"/>
  <c r="B41" i="42" s="1"/>
  <c r="B16" i="47" s="1"/>
  <c r="J172" i="21"/>
  <c r="J173" i="21"/>
  <c r="J174" i="21"/>
  <c r="J175" i="21"/>
  <c r="J176" i="21"/>
  <c r="J177" i="21"/>
  <c r="J178" i="21"/>
  <c r="J179" i="21"/>
  <c r="J180" i="21"/>
  <c r="J181" i="21"/>
  <c r="J182" i="21"/>
  <c r="O54" i="21"/>
  <c r="H54" i="21"/>
  <c r="N54" i="21" s="1"/>
  <c r="B110" i="46" l="1"/>
  <c r="B134" i="46" s="1"/>
  <c r="B158" i="46" s="1"/>
  <c r="Q54" i="21" l="1"/>
  <c r="C85" i="46"/>
  <c r="C85" i="56"/>
  <c r="E47" i="57"/>
  <c r="H47" i="57" s="1"/>
  <c r="D47" i="57"/>
  <c r="E46" i="57"/>
  <c r="H46" i="57" s="1"/>
  <c r="D46" i="57"/>
  <c r="C46" i="57"/>
  <c r="E45" i="57"/>
  <c r="D45" i="57"/>
  <c r="J44" i="57"/>
  <c r="H44" i="57"/>
  <c r="E44" i="57"/>
  <c r="F44" i="57" s="1"/>
  <c r="D44" i="57"/>
  <c r="J43" i="57"/>
  <c r="H43" i="57"/>
  <c r="E43" i="57"/>
  <c r="G43" i="57" s="1"/>
  <c r="D43" i="57"/>
  <c r="C43" i="57"/>
  <c r="J42" i="57"/>
  <c r="H42" i="57"/>
  <c r="E42" i="57"/>
  <c r="G42" i="57" s="1"/>
  <c r="D42" i="57"/>
  <c r="C41" i="57"/>
  <c r="D41" i="57" s="1"/>
  <c r="C40" i="57"/>
  <c r="D40" i="57" s="1"/>
  <c r="C39" i="57"/>
  <c r="D39" i="57" s="1"/>
  <c r="C38" i="57"/>
  <c r="D38" i="57" s="1"/>
  <c r="C37" i="57"/>
  <c r="D37" i="57" s="1"/>
  <c r="W36" i="57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E28" i="57" s="1"/>
  <c r="C27" i="57"/>
  <c r="D27" i="57" s="1"/>
  <c r="C26" i="57"/>
  <c r="D26" i="57" s="1"/>
  <c r="C25" i="57"/>
  <c r="E25" i="57" s="1"/>
  <c r="F25" i="57" s="1"/>
  <c r="C24" i="57"/>
  <c r="E24" i="57" s="1"/>
  <c r="C23" i="57"/>
  <c r="E23" i="57" s="1"/>
  <c r="C22" i="57"/>
  <c r="E22" i="57" s="1"/>
  <c r="C21" i="57"/>
  <c r="D21" i="57" s="1"/>
  <c r="C20" i="57"/>
  <c r="D20" i="57" s="1"/>
  <c r="W19" i="57"/>
  <c r="C19" i="57"/>
  <c r="E19" i="57" s="1"/>
  <c r="C18" i="57"/>
  <c r="D18" i="57" s="1"/>
  <c r="C17" i="57"/>
  <c r="D17" i="57" s="1"/>
  <c r="C16" i="57"/>
  <c r="E16" i="57" s="1"/>
  <c r="G16" i="57" s="1"/>
  <c r="C15" i="57"/>
  <c r="D15" i="57" s="1"/>
  <c r="C14" i="57"/>
  <c r="E14" i="57" s="1"/>
  <c r="C13" i="57"/>
  <c r="E13" i="57" s="1"/>
  <c r="C12" i="57"/>
  <c r="E12" i="57" s="1"/>
  <c r="K278" i="56"/>
  <c r="K277" i="56"/>
  <c r="K276" i="56"/>
  <c r="K275" i="56"/>
  <c r="K274" i="56"/>
  <c r="K273" i="56"/>
  <c r="K272" i="56"/>
  <c r="K271" i="56"/>
  <c r="K270" i="56"/>
  <c r="K269" i="56"/>
  <c r="K268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8" i="56"/>
  <c r="C247" i="56"/>
  <c r="C246" i="56"/>
  <c r="C244" i="56"/>
  <c r="C243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4" i="56"/>
  <c r="C223" i="56"/>
  <c r="C222" i="56"/>
  <c r="C220" i="56"/>
  <c r="C219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0" i="56"/>
  <c r="C199" i="56"/>
  <c r="C198" i="56"/>
  <c r="C196" i="56"/>
  <c r="C195" i="56"/>
  <c r="C188" i="56"/>
  <c r="K188" i="56" s="1"/>
  <c r="C187" i="56"/>
  <c r="K187" i="56" s="1"/>
  <c r="C186" i="56"/>
  <c r="K186" i="56" s="1"/>
  <c r="K189" i="56" s="1"/>
  <c r="I180" i="56"/>
  <c r="I16" i="56" s="1"/>
  <c r="H180" i="56"/>
  <c r="H16" i="56" s="1"/>
  <c r="G180" i="56"/>
  <c r="G16" i="56" s="1"/>
  <c r="F180" i="56"/>
  <c r="F16" i="56" s="1"/>
  <c r="E180" i="56"/>
  <c r="D180" i="56"/>
  <c r="C179" i="56"/>
  <c r="C178" i="56"/>
  <c r="C177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7" i="56"/>
  <c r="C156" i="56"/>
  <c r="C155" i="56"/>
  <c r="C153" i="56"/>
  <c r="C152" i="56"/>
  <c r="C146" i="56"/>
  <c r="B146" i="56"/>
  <c r="B170" i="56" s="1"/>
  <c r="C145" i="56"/>
  <c r="B145" i="56"/>
  <c r="B169" i="56" s="1"/>
  <c r="C144" i="56"/>
  <c r="B144" i="56"/>
  <c r="B168" i="56" s="1"/>
  <c r="C143" i="56"/>
  <c r="B143" i="56"/>
  <c r="B167" i="56" s="1"/>
  <c r="C142" i="56"/>
  <c r="B142" i="56"/>
  <c r="B166" i="56" s="1"/>
  <c r="C141" i="56"/>
  <c r="B141" i="56"/>
  <c r="B165" i="56" s="1"/>
  <c r="C140" i="56"/>
  <c r="B140" i="56"/>
  <c r="B164" i="56" s="1"/>
  <c r="C139" i="56"/>
  <c r="B139" i="56"/>
  <c r="B163" i="56" s="1"/>
  <c r="C138" i="56"/>
  <c r="B138" i="56"/>
  <c r="B162" i="56" s="1"/>
  <c r="C137" i="56"/>
  <c r="B137" i="56"/>
  <c r="B161" i="56" s="1"/>
  <c r="C136" i="56"/>
  <c r="B136" i="56"/>
  <c r="B160" i="56" s="1"/>
  <c r="C135" i="56"/>
  <c r="B135" i="56"/>
  <c r="B159" i="56" s="1"/>
  <c r="C133" i="56"/>
  <c r="B133" i="56"/>
  <c r="B157" i="56" s="1"/>
  <c r="C132" i="56"/>
  <c r="B132" i="56"/>
  <c r="B156" i="56" s="1"/>
  <c r="C131" i="56"/>
  <c r="B131" i="56"/>
  <c r="B155" i="56" s="1"/>
  <c r="C129" i="56"/>
  <c r="C128" i="56"/>
  <c r="B128" i="56"/>
  <c r="B152" i="56" s="1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09" i="56"/>
  <c r="C108" i="56"/>
  <c r="C107" i="56"/>
  <c r="C105" i="56"/>
  <c r="C104" i="56"/>
  <c r="K73" i="56"/>
  <c r="K72" i="56"/>
  <c r="K58" i="56"/>
  <c r="C58" i="56"/>
  <c r="K57" i="56"/>
  <c r="C57" i="56"/>
  <c r="K56" i="56"/>
  <c r="C56" i="56"/>
  <c r="K55" i="56"/>
  <c r="C55" i="56"/>
  <c r="K54" i="56"/>
  <c r="C54" i="56"/>
  <c r="K53" i="56"/>
  <c r="C53" i="56"/>
  <c r="K52" i="56"/>
  <c r="C52" i="56"/>
  <c r="K51" i="56"/>
  <c r="C51" i="56"/>
  <c r="K50" i="56"/>
  <c r="C50" i="56"/>
  <c r="K49" i="56"/>
  <c r="C49" i="56"/>
  <c r="K48" i="56"/>
  <c r="C48" i="56"/>
  <c r="K47" i="56"/>
  <c r="C47" i="56"/>
  <c r="K45" i="56"/>
  <c r="C45" i="56"/>
  <c r="K44" i="56"/>
  <c r="C44" i="56"/>
  <c r="K43" i="56"/>
  <c r="C43" i="56"/>
  <c r="K41" i="56"/>
  <c r="C41" i="56"/>
  <c r="K40" i="56"/>
  <c r="C40" i="56"/>
  <c r="Q35" i="56"/>
  <c r="Q10" i="56" s="1"/>
  <c r="P35" i="56"/>
  <c r="P10" i="56" s="1"/>
  <c r="O35" i="56"/>
  <c r="O10" i="56" s="1"/>
  <c r="N35" i="56"/>
  <c r="M35" i="56"/>
  <c r="M10" i="56" s="1"/>
  <c r="L35" i="56"/>
  <c r="C34" i="56"/>
  <c r="C33" i="56"/>
  <c r="C32" i="56"/>
  <c r="B22" i="56"/>
  <c r="I21" i="56"/>
  <c r="H21" i="56"/>
  <c r="G21" i="56"/>
  <c r="F21" i="56"/>
  <c r="E21" i="56"/>
  <c r="D21" i="56"/>
  <c r="B21" i="56"/>
  <c r="B20" i="56"/>
  <c r="B19" i="56"/>
  <c r="B18" i="56"/>
  <c r="B17" i="56"/>
  <c r="E16" i="56"/>
  <c r="B16" i="56"/>
  <c r="B15" i="56"/>
  <c r="B14" i="56"/>
  <c r="B13" i="56"/>
  <c r="B12" i="56"/>
  <c r="B11" i="56"/>
  <c r="B11" i="46" s="1"/>
  <c r="B10" i="56"/>
  <c r="B1" i="56"/>
  <c r="C261" i="46"/>
  <c r="C260" i="46"/>
  <c r="C259" i="46"/>
  <c r="C258" i="46"/>
  <c r="C257" i="46"/>
  <c r="C256" i="46"/>
  <c r="C255" i="46"/>
  <c r="C254" i="46"/>
  <c r="C253" i="46"/>
  <c r="C252" i="46"/>
  <c r="C251" i="46"/>
  <c r="C250" i="46"/>
  <c r="C248" i="46"/>
  <c r="C247" i="46"/>
  <c r="C246" i="46"/>
  <c r="C244" i="46"/>
  <c r="C243" i="46"/>
  <c r="C237" i="46"/>
  <c r="C236" i="46"/>
  <c r="C235" i="46"/>
  <c r="C234" i="46"/>
  <c r="C233" i="46"/>
  <c r="C232" i="46"/>
  <c r="C231" i="46"/>
  <c r="C230" i="46"/>
  <c r="C229" i="46"/>
  <c r="C228" i="46"/>
  <c r="C227" i="46"/>
  <c r="C226" i="46"/>
  <c r="C224" i="46"/>
  <c r="C223" i="46"/>
  <c r="C222" i="46"/>
  <c r="C220" i="46"/>
  <c r="C219" i="46"/>
  <c r="C213" i="46"/>
  <c r="C212" i="46"/>
  <c r="C211" i="46"/>
  <c r="C210" i="46"/>
  <c r="C209" i="46"/>
  <c r="C208" i="46"/>
  <c r="C207" i="46"/>
  <c r="C206" i="46"/>
  <c r="C205" i="46"/>
  <c r="C204" i="46"/>
  <c r="C203" i="46"/>
  <c r="C202" i="46"/>
  <c r="C200" i="46"/>
  <c r="C199" i="46"/>
  <c r="C198" i="46"/>
  <c r="C196" i="46"/>
  <c r="C195" i="46"/>
  <c r="C188" i="46"/>
  <c r="C187" i="46"/>
  <c r="C186" i="46"/>
  <c r="I180" i="46"/>
  <c r="H180" i="46"/>
  <c r="G180" i="46"/>
  <c r="F180" i="46"/>
  <c r="E180" i="46"/>
  <c r="E18" i="46" s="1"/>
  <c r="D180" i="46"/>
  <c r="D18" i="46" s="1"/>
  <c r="C179" i="46"/>
  <c r="C178" i="46"/>
  <c r="C177" i="46"/>
  <c r="C170" i="46"/>
  <c r="C169" i="46"/>
  <c r="C168" i="46"/>
  <c r="C167" i="46"/>
  <c r="C166" i="46"/>
  <c r="C165" i="46"/>
  <c r="C164" i="46"/>
  <c r="C163" i="46"/>
  <c r="C162" i="46"/>
  <c r="C161" i="46"/>
  <c r="C160" i="46"/>
  <c r="C159" i="46"/>
  <c r="C157" i="46"/>
  <c r="C156" i="46"/>
  <c r="C155" i="46"/>
  <c r="C153" i="46"/>
  <c r="C152" i="46"/>
  <c r="C146" i="46"/>
  <c r="C145" i="46"/>
  <c r="C144" i="46"/>
  <c r="C143" i="46"/>
  <c r="C142" i="46"/>
  <c r="C141" i="46"/>
  <c r="C140" i="46"/>
  <c r="C139" i="46"/>
  <c r="C138" i="46"/>
  <c r="C137" i="46"/>
  <c r="C136" i="46"/>
  <c r="C135" i="46"/>
  <c r="C133" i="46"/>
  <c r="C132" i="46"/>
  <c r="C131" i="46"/>
  <c r="C129" i="46"/>
  <c r="C128" i="46"/>
  <c r="C122" i="46"/>
  <c r="C121" i="46"/>
  <c r="C120" i="46"/>
  <c r="C119" i="46"/>
  <c r="C118" i="46"/>
  <c r="C117" i="46"/>
  <c r="C116" i="46"/>
  <c r="C115" i="46"/>
  <c r="C114" i="46"/>
  <c r="C113" i="46"/>
  <c r="C112" i="46"/>
  <c r="C111" i="46"/>
  <c r="C109" i="46"/>
  <c r="C108" i="46"/>
  <c r="C107" i="46"/>
  <c r="C105" i="46"/>
  <c r="C104" i="46"/>
  <c r="C57" i="46"/>
  <c r="C56" i="46"/>
  <c r="C55" i="46"/>
  <c r="C54" i="46"/>
  <c r="C53" i="46"/>
  <c r="C52" i="46"/>
  <c r="C51" i="46"/>
  <c r="C50" i="46"/>
  <c r="C49" i="46"/>
  <c r="C48" i="46"/>
  <c r="C47" i="46"/>
  <c r="C46" i="46"/>
  <c r="C44" i="46"/>
  <c r="C43" i="46"/>
  <c r="C42" i="46"/>
  <c r="C41" i="46"/>
  <c r="C40" i="46"/>
  <c r="C39" i="46"/>
  <c r="C33" i="46"/>
  <c r="C32" i="46"/>
  <c r="C31" i="46"/>
  <c r="B23" i="46"/>
  <c r="B22" i="46"/>
  <c r="B21" i="46"/>
  <c r="B20" i="46"/>
  <c r="B19" i="46"/>
  <c r="I18" i="46"/>
  <c r="H18" i="46"/>
  <c r="G18" i="46"/>
  <c r="B18" i="46"/>
  <c r="B17" i="46"/>
  <c r="B16" i="46"/>
  <c r="B15" i="46"/>
  <c r="B14" i="46"/>
  <c r="B13" i="46"/>
  <c r="B12" i="46"/>
  <c r="B10" i="46"/>
  <c r="B1" i="46"/>
  <c r="B31" i="42"/>
  <c r="B122" i="46" s="1"/>
  <c r="B146" i="46" s="1"/>
  <c r="B170" i="46" s="1"/>
  <c r="B30" i="42"/>
  <c r="B121" i="46" s="1"/>
  <c r="B145" i="46" s="1"/>
  <c r="B169" i="46" s="1"/>
  <c r="B29" i="42"/>
  <c r="B120" i="46" s="1"/>
  <c r="B144" i="46" s="1"/>
  <c r="B168" i="46" s="1"/>
  <c r="B28" i="42"/>
  <c r="B119" i="46" s="1"/>
  <c r="B143" i="46" s="1"/>
  <c r="B167" i="46" s="1"/>
  <c r="B27" i="42"/>
  <c r="B118" i="46" s="1"/>
  <c r="B142" i="46" s="1"/>
  <c r="B166" i="46" s="1"/>
  <c r="B26" i="42"/>
  <c r="B117" i="46" s="1"/>
  <c r="B141" i="46" s="1"/>
  <c r="B165" i="46" s="1"/>
  <c r="B25" i="42"/>
  <c r="B116" i="46" s="1"/>
  <c r="B140" i="46" s="1"/>
  <c r="B164" i="46" s="1"/>
  <c r="B24" i="42"/>
  <c r="B115" i="46" s="1"/>
  <c r="B139" i="46" s="1"/>
  <c r="B163" i="46" s="1"/>
  <c r="B23" i="42"/>
  <c r="B114" i="46" s="1"/>
  <c r="B138" i="46" s="1"/>
  <c r="B162" i="46" s="1"/>
  <c r="B22" i="42"/>
  <c r="B113" i="46" s="1"/>
  <c r="B137" i="46" s="1"/>
  <c r="B161" i="46" s="1"/>
  <c r="B21" i="42"/>
  <c r="B112" i="46" s="1"/>
  <c r="B136" i="46" s="1"/>
  <c r="B160" i="46" s="1"/>
  <c r="B20" i="42"/>
  <c r="B111" i="46" s="1"/>
  <c r="B135" i="46" s="1"/>
  <c r="B159" i="46" s="1"/>
  <c r="B18" i="42"/>
  <c r="B109" i="46" s="1"/>
  <c r="B133" i="46" s="1"/>
  <c r="B157" i="46" s="1"/>
  <c r="B17" i="42"/>
  <c r="B108" i="46" s="1"/>
  <c r="B132" i="46" s="1"/>
  <c r="B156" i="46" s="1"/>
  <c r="B16" i="42"/>
  <c r="B107" i="46" s="1"/>
  <c r="B131" i="46" s="1"/>
  <c r="B155" i="46" s="1"/>
  <c r="B15" i="42"/>
  <c r="B14" i="42"/>
  <c r="B105" i="46" s="1"/>
  <c r="B129" i="46" s="1"/>
  <c r="B153" i="46" s="1"/>
  <c r="B13" i="42"/>
  <c r="B104" i="46" s="1"/>
  <c r="B128" i="46" s="1"/>
  <c r="B152" i="46" s="1"/>
  <c r="B1" i="42"/>
  <c r="B1" i="47"/>
  <c r="C198" i="21"/>
  <c r="F198" i="21" s="1"/>
  <c r="C197" i="21"/>
  <c r="F197" i="21" s="1"/>
  <c r="C196" i="21"/>
  <c r="F196" i="21" s="1"/>
  <c r="C195" i="21"/>
  <c r="C194" i="21"/>
  <c r="F194" i="21" s="1"/>
  <c r="C193" i="21"/>
  <c r="F193" i="21" s="1"/>
  <c r="C192" i="21"/>
  <c r="F192" i="21" s="1"/>
  <c r="C191" i="21"/>
  <c r="F191" i="21" s="1"/>
  <c r="C190" i="21"/>
  <c r="F190" i="21" s="1"/>
  <c r="C189" i="21"/>
  <c r="F189" i="21" s="1"/>
  <c r="C188" i="21"/>
  <c r="F188" i="21" s="1"/>
  <c r="V182" i="21"/>
  <c r="U182" i="21"/>
  <c r="T182" i="21"/>
  <c r="S182" i="21"/>
  <c r="R182" i="21"/>
  <c r="Q182" i="21"/>
  <c r="P182" i="21"/>
  <c r="O182" i="21"/>
  <c r="N182" i="21"/>
  <c r="M182" i="21"/>
  <c r="L182" i="21"/>
  <c r="K182" i="21"/>
  <c r="I182" i="21"/>
  <c r="H182" i="21"/>
  <c r="G182" i="21"/>
  <c r="E182" i="21"/>
  <c r="D182" i="21"/>
  <c r="V181" i="21"/>
  <c r="U181" i="21"/>
  <c r="T181" i="21"/>
  <c r="S181" i="21"/>
  <c r="R181" i="21"/>
  <c r="Q181" i="21"/>
  <c r="P181" i="21"/>
  <c r="O181" i="21"/>
  <c r="N181" i="21"/>
  <c r="M181" i="21"/>
  <c r="L181" i="21"/>
  <c r="K181" i="21"/>
  <c r="I181" i="21"/>
  <c r="H181" i="21"/>
  <c r="G181" i="21"/>
  <c r="E181" i="21"/>
  <c r="D181" i="21"/>
  <c r="V180" i="21"/>
  <c r="U180" i="21"/>
  <c r="T180" i="21"/>
  <c r="S180" i="21"/>
  <c r="R180" i="21"/>
  <c r="Q180" i="21"/>
  <c r="P180" i="21"/>
  <c r="O180" i="21"/>
  <c r="N180" i="21"/>
  <c r="M180" i="21"/>
  <c r="L180" i="21"/>
  <c r="K180" i="21"/>
  <c r="I180" i="21"/>
  <c r="H180" i="21"/>
  <c r="G180" i="21"/>
  <c r="E180" i="21"/>
  <c r="D180" i="21"/>
  <c r="V179" i="21"/>
  <c r="U179" i="21"/>
  <c r="T179" i="21"/>
  <c r="S179" i="21"/>
  <c r="R179" i="21"/>
  <c r="Q179" i="21"/>
  <c r="P179" i="21"/>
  <c r="O179" i="21"/>
  <c r="N179" i="21"/>
  <c r="M179" i="21"/>
  <c r="L179" i="21"/>
  <c r="K179" i="21"/>
  <c r="I179" i="21"/>
  <c r="H179" i="21"/>
  <c r="G179" i="21"/>
  <c r="E179" i="21"/>
  <c r="D179" i="21"/>
  <c r="V178" i="21"/>
  <c r="U178" i="21"/>
  <c r="T178" i="21"/>
  <c r="S178" i="21"/>
  <c r="R178" i="21"/>
  <c r="Q178" i="21"/>
  <c r="P178" i="21"/>
  <c r="O178" i="21"/>
  <c r="N178" i="21"/>
  <c r="M178" i="21"/>
  <c r="L178" i="21"/>
  <c r="K178" i="21"/>
  <c r="I178" i="21"/>
  <c r="H178" i="21"/>
  <c r="G178" i="21"/>
  <c r="E178" i="21"/>
  <c r="V177" i="21"/>
  <c r="U177" i="21"/>
  <c r="T177" i="21"/>
  <c r="S177" i="21"/>
  <c r="R177" i="21"/>
  <c r="Q177" i="21"/>
  <c r="P177" i="21"/>
  <c r="O177" i="21"/>
  <c r="N177" i="21"/>
  <c r="M177" i="21"/>
  <c r="L177" i="21"/>
  <c r="K177" i="21"/>
  <c r="I177" i="21"/>
  <c r="H177" i="21"/>
  <c r="G177" i="21"/>
  <c r="E177" i="21"/>
  <c r="D177" i="21"/>
  <c r="V176" i="21"/>
  <c r="U176" i="21"/>
  <c r="T176" i="21"/>
  <c r="S176" i="21"/>
  <c r="R176" i="21"/>
  <c r="Q176" i="21"/>
  <c r="P176" i="21"/>
  <c r="O176" i="21"/>
  <c r="N176" i="21"/>
  <c r="M176" i="21"/>
  <c r="L176" i="21"/>
  <c r="K176" i="21"/>
  <c r="I176" i="21"/>
  <c r="H176" i="21"/>
  <c r="G176" i="21"/>
  <c r="E176" i="21"/>
  <c r="D176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I175" i="21"/>
  <c r="H175" i="21"/>
  <c r="G175" i="21"/>
  <c r="E175" i="21"/>
  <c r="D175" i="21"/>
  <c r="V174" i="21"/>
  <c r="U174" i="21"/>
  <c r="T174" i="21"/>
  <c r="S174" i="21"/>
  <c r="R174" i="21"/>
  <c r="Q174" i="21"/>
  <c r="P174" i="21"/>
  <c r="O174" i="21"/>
  <c r="N174" i="21"/>
  <c r="M174" i="21"/>
  <c r="L174" i="21"/>
  <c r="K174" i="21"/>
  <c r="I174" i="21"/>
  <c r="H174" i="21"/>
  <c r="G174" i="21"/>
  <c r="E174" i="21"/>
  <c r="D174" i="21"/>
  <c r="V173" i="21"/>
  <c r="U173" i="21"/>
  <c r="T173" i="21"/>
  <c r="S173" i="21"/>
  <c r="R173" i="21"/>
  <c r="Q173" i="21"/>
  <c r="P173" i="21"/>
  <c r="O173" i="21"/>
  <c r="N173" i="21"/>
  <c r="M173" i="21"/>
  <c r="L173" i="21"/>
  <c r="K173" i="21"/>
  <c r="I173" i="21"/>
  <c r="H173" i="21"/>
  <c r="G173" i="21"/>
  <c r="E173" i="21"/>
  <c r="D173" i="21"/>
  <c r="V172" i="21"/>
  <c r="U172" i="21"/>
  <c r="T172" i="21"/>
  <c r="S172" i="21"/>
  <c r="R172" i="21"/>
  <c r="Q172" i="21"/>
  <c r="P172" i="21"/>
  <c r="O172" i="21"/>
  <c r="N172" i="21"/>
  <c r="M172" i="21"/>
  <c r="L172" i="21"/>
  <c r="K172" i="21"/>
  <c r="I172" i="21"/>
  <c r="H172" i="21"/>
  <c r="G172" i="21"/>
  <c r="E172" i="21"/>
  <c r="D172" i="21"/>
  <c r="P104" i="21"/>
  <c r="O104" i="21"/>
  <c r="K104" i="21"/>
  <c r="M104" i="21" s="1"/>
  <c r="H104" i="21"/>
  <c r="P100" i="21"/>
  <c r="O100" i="21"/>
  <c r="K100" i="21"/>
  <c r="M100" i="21" s="1"/>
  <c r="H100" i="21"/>
  <c r="P96" i="21"/>
  <c r="O96" i="21"/>
  <c r="K96" i="21"/>
  <c r="M96" i="21" s="1"/>
  <c r="H96" i="21"/>
  <c r="P92" i="21"/>
  <c r="O92" i="21"/>
  <c r="L92" i="21"/>
  <c r="K92" i="21"/>
  <c r="H92" i="21"/>
  <c r="P88" i="21"/>
  <c r="O88" i="21"/>
  <c r="K88" i="21"/>
  <c r="M88" i="21" s="1"/>
  <c r="H88" i="21"/>
  <c r="P84" i="21"/>
  <c r="O84" i="21"/>
  <c r="K84" i="21"/>
  <c r="M84" i="21" s="1"/>
  <c r="H84" i="21"/>
  <c r="P80" i="21"/>
  <c r="O80" i="21"/>
  <c r="K80" i="21"/>
  <c r="M80" i="21" s="1"/>
  <c r="H80" i="21"/>
  <c r="P76" i="21"/>
  <c r="O76" i="21"/>
  <c r="K76" i="21"/>
  <c r="M76" i="21" s="1"/>
  <c r="H76" i="21"/>
  <c r="P72" i="21"/>
  <c r="O72" i="21"/>
  <c r="K72" i="21"/>
  <c r="M72" i="21" s="1"/>
  <c r="H72" i="21"/>
  <c r="P67" i="21"/>
  <c r="O67" i="21"/>
  <c r="K67" i="21"/>
  <c r="M67" i="21" s="1"/>
  <c r="H67" i="21"/>
  <c r="P66" i="21"/>
  <c r="O66" i="21"/>
  <c r="L66" i="21"/>
  <c r="K66" i="21"/>
  <c r="H66" i="21"/>
  <c r="P65" i="21"/>
  <c r="O65" i="21"/>
  <c r="K65" i="21"/>
  <c r="M65" i="21" s="1"/>
  <c r="H65" i="21"/>
  <c r="P60" i="21"/>
  <c r="O60" i="21"/>
  <c r="K60" i="21"/>
  <c r="M60" i="21" s="1"/>
  <c r="H60" i="21"/>
  <c r="P59" i="21"/>
  <c r="O59" i="21"/>
  <c r="L59" i="21"/>
  <c r="K59" i="21"/>
  <c r="H59" i="21"/>
  <c r="P58" i="21"/>
  <c r="O58" i="21"/>
  <c r="K58" i="21"/>
  <c r="M58" i="21" s="1"/>
  <c r="H58" i="21"/>
  <c r="P49" i="21"/>
  <c r="O49" i="21"/>
  <c r="K49" i="21"/>
  <c r="M49" i="21" s="1"/>
  <c r="H49" i="21"/>
  <c r="P48" i="21"/>
  <c r="O48" i="21"/>
  <c r="K48" i="21"/>
  <c r="M48" i="21" s="1"/>
  <c r="H48" i="21"/>
  <c r="O43" i="21"/>
  <c r="K43" i="21"/>
  <c r="M43" i="21" s="1"/>
  <c r="H43" i="21"/>
  <c r="O42" i="21"/>
  <c r="L42" i="21"/>
  <c r="K42" i="21"/>
  <c r="H42" i="21"/>
  <c r="O41" i="21"/>
  <c r="I41" i="21"/>
  <c r="K41" i="21" s="1"/>
  <c r="M41" i="21" s="1"/>
  <c r="N41" i="21" s="1"/>
  <c r="O36" i="21"/>
  <c r="K36" i="21"/>
  <c r="M36" i="21" s="1"/>
  <c r="H36" i="21"/>
  <c r="O35" i="21"/>
  <c r="K35" i="21"/>
  <c r="M35" i="21" s="1"/>
  <c r="H35" i="21"/>
  <c r="O33" i="21"/>
  <c r="K33" i="21"/>
  <c r="M33" i="21" s="1"/>
  <c r="H33" i="21"/>
  <c r="O28" i="21"/>
  <c r="K28" i="21"/>
  <c r="M28" i="21" s="1"/>
  <c r="H28" i="21"/>
  <c r="O23" i="21"/>
  <c r="K23" i="21"/>
  <c r="M23" i="21" s="1"/>
  <c r="H23" i="21"/>
  <c r="O22" i="21"/>
  <c r="K22" i="21"/>
  <c r="M22" i="21" s="1"/>
  <c r="H22" i="21"/>
  <c r="O21" i="21"/>
  <c r="K21" i="21"/>
  <c r="M21" i="21" s="1"/>
  <c r="H21" i="21"/>
  <c r="P16" i="21"/>
  <c r="O16" i="21"/>
  <c r="N16" i="21"/>
  <c r="P15" i="21"/>
  <c r="O15" i="21"/>
  <c r="N15" i="21"/>
  <c r="P14" i="21"/>
  <c r="O14" i="21"/>
  <c r="M14" i="21"/>
  <c r="H14" i="21"/>
  <c r="B1" i="21"/>
  <c r="J97" i="50"/>
  <c r="I97" i="50"/>
  <c r="H97" i="50"/>
  <c r="G97" i="50"/>
  <c r="F97" i="50"/>
  <c r="E97" i="50"/>
  <c r="L42" i="50"/>
  <c r="C42" i="50"/>
  <c r="C41" i="50"/>
  <c r="G40" i="50"/>
  <c r="H40" i="50" s="1"/>
  <c r="I40" i="50" s="1"/>
  <c r="J40" i="50" s="1"/>
  <c r="K40" i="50" s="1"/>
  <c r="G39" i="50"/>
  <c r="H39" i="50" s="1"/>
  <c r="I39" i="50" s="1"/>
  <c r="J39" i="50" s="1"/>
  <c r="K39" i="50" s="1"/>
  <c r="G37" i="50"/>
  <c r="G36" i="50"/>
  <c r="C36" i="50"/>
  <c r="E27" i="50"/>
  <c r="F20" i="50"/>
  <c r="F19" i="50"/>
  <c r="F18" i="50"/>
  <c r="F17" i="50"/>
  <c r="C17" i="50"/>
  <c r="B15" i="32" s="1"/>
  <c r="F16" i="50"/>
  <c r="F15" i="50"/>
  <c r="G13" i="50"/>
  <c r="H12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K563" i="32"/>
  <c r="J563" i="32"/>
  <c r="K562" i="32"/>
  <c r="J562" i="32"/>
  <c r="K561" i="32"/>
  <c r="J561" i="32"/>
  <c r="K560" i="32"/>
  <c r="J560" i="32"/>
  <c r="K559" i="32"/>
  <c r="J559" i="32"/>
  <c r="K558" i="32"/>
  <c r="J558" i="32"/>
  <c r="K557" i="32"/>
  <c r="J557" i="32"/>
  <c r="K556" i="32"/>
  <c r="J556" i="32"/>
  <c r="K555" i="32"/>
  <c r="J555" i="32"/>
  <c r="K554" i="32"/>
  <c r="J554" i="32"/>
  <c r="K553" i="32"/>
  <c r="J553" i="32"/>
  <c r="K552" i="32"/>
  <c r="J552" i="32"/>
  <c r="K551" i="32"/>
  <c r="J551" i="32"/>
  <c r="K550" i="32"/>
  <c r="J550" i="32"/>
  <c r="F544" i="32"/>
  <c r="F543" i="32"/>
  <c r="F542" i="32"/>
  <c r="E542" i="32"/>
  <c r="L532" i="32"/>
  <c r="K532" i="32"/>
  <c r="J532" i="32"/>
  <c r="I532" i="32"/>
  <c r="H532" i="32"/>
  <c r="G532" i="32"/>
  <c r="F532" i="32"/>
  <c r="E532" i="32"/>
  <c r="D532" i="32"/>
  <c r="L531" i="32"/>
  <c r="K531" i="32"/>
  <c r="J531" i="32"/>
  <c r="I531" i="32"/>
  <c r="H531" i="32"/>
  <c r="G531" i="32"/>
  <c r="F531" i="32"/>
  <c r="E531" i="32"/>
  <c r="D531" i="32"/>
  <c r="C531" i="32"/>
  <c r="L530" i="32"/>
  <c r="K530" i="32"/>
  <c r="J530" i="32"/>
  <c r="I530" i="32"/>
  <c r="H530" i="32"/>
  <c r="G530" i="32"/>
  <c r="F530" i="32"/>
  <c r="E530" i="32"/>
  <c r="D530" i="32"/>
  <c r="C530" i="32"/>
  <c r="L529" i="32"/>
  <c r="K529" i="32"/>
  <c r="J529" i="32"/>
  <c r="I529" i="32"/>
  <c r="H529" i="32"/>
  <c r="G529" i="32"/>
  <c r="F529" i="32"/>
  <c r="E529" i="32"/>
  <c r="D529" i="32"/>
  <c r="C529" i="32"/>
  <c r="L528" i="32"/>
  <c r="K528" i="32"/>
  <c r="J528" i="32"/>
  <c r="I528" i="32"/>
  <c r="H528" i="32"/>
  <c r="G528" i="32"/>
  <c r="F528" i="32"/>
  <c r="E528" i="32"/>
  <c r="D528" i="32"/>
  <c r="C528" i="32"/>
  <c r="L527" i="32"/>
  <c r="K527" i="32"/>
  <c r="J527" i="32"/>
  <c r="I527" i="32"/>
  <c r="H527" i="32"/>
  <c r="G527" i="32"/>
  <c r="F527" i="32"/>
  <c r="E527" i="32"/>
  <c r="D527" i="32"/>
  <c r="C527" i="32"/>
  <c r="L526" i="32"/>
  <c r="K526" i="32"/>
  <c r="J526" i="32"/>
  <c r="I526" i="32"/>
  <c r="H526" i="32"/>
  <c r="G526" i="32"/>
  <c r="F526" i="32"/>
  <c r="E526" i="32"/>
  <c r="D526" i="32"/>
  <c r="C526" i="32"/>
  <c r="L525" i="32"/>
  <c r="K525" i="32"/>
  <c r="J525" i="32"/>
  <c r="I525" i="32"/>
  <c r="H525" i="32"/>
  <c r="G525" i="32"/>
  <c r="F525" i="32"/>
  <c r="E525" i="32"/>
  <c r="D525" i="32"/>
  <c r="C525" i="32"/>
  <c r="L524" i="32"/>
  <c r="K524" i="32"/>
  <c r="J524" i="32"/>
  <c r="I524" i="32"/>
  <c r="H524" i="32"/>
  <c r="G524" i="32"/>
  <c r="F524" i="32"/>
  <c r="E524" i="32"/>
  <c r="D524" i="32"/>
  <c r="C524" i="32"/>
  <c r="L523" i="32"/>
  <c r="K523" i="32"/>
  <c r="J523" i="32"/>
  <c r="I523" i="32"/>
  <c r="H523" i="32"/>
  <c r="G523" i="32"/>
  <c r="F523" i="32"/>
  <c r="E523" i="32"/>
  <c r="D523" i="32"/>
  <c r="C523" i="32"/>
  <c r="L522" i="32"/>
  <c r="K522" i="32"/>
  <c r="J522" i="32"/>
  <c r="I522" i="32"/>
  <c r="H522" i="32"/>
  <c r="G522" i="32"/>
  <c r="F522" i="32"/>
  <c r="E522" i="32"/>
  <c r="D522" i="32"/>
  <c r="C522" i="32"/>
  <c r="L521" i="32"/>
  <c r="K521" i="32"/>
  <c r="J521" i="32"/>
  <c r="I521" i="32"/>
  <c r="H521" i="32"/>
  <c r="G521" i="32"/>
  <c r="F521" i="32"/>
  <c r="E521" i="32"/>
  <c r="D521" i="32"/>
  <c r="C521" i="32"/>
  <c r="L520" i="32"/>
  <c r="K520" i="32"/>
  <c r="J520" i="32"/>
  <c r="I520" i="32"/>
  <c r="H520" i="32"/>
  <c r="G520" i="32"/>
  <c r="F520" i="32"/>
  <c r="E520" i="32"/>
  <c r="D520" i="32"/>
  <c r="L519" i="32"/>
  <c r="K519" i="32"/>
  <c r="J519" i="32"/>
  <c r="I519" i="32"/>
  <c r="H519" i="32"/>
  <c r="G519" i="32"/>
  <c r="F519" i="32"/>
  <c r="E519" i="32"/>
  <c r="D519" i="32"/>
  <c r="C519" i="32"/>
  <c r="L518" i="32"/>
  <c r="K518" i="32"/>
  <c r="J518" i="32"/>
  <c r="I518" i="32"/>
  <c r="H518" i="32"/>
  <c r="G518" i="32"/>
  <c r="F518" i="32"/>
  <c r="E518" i="32"/>
  <c r="D518" i="32"/>
  <c r="C518" i="32"/>
  <c r="L517" i="32"/>
  <c r="K517" i="32"/>
  <c r="J517" i="32"/>
  <c r="I517" i="32"/>
  <c r="H517" i="32"/>
  <c r="G517" i="32"/>
  <c r="F517" i="32"/>
  <c r="E517" i="32"/>
  <c r="D517" i="32"/>
  <c r="C517" i="32"/>
  <c r="L516" i="32"/>
  <c r="K516" i="32"/>
  <c r="J516" i="32"/>
  <c r="I516" i="32"/>
  <c r="H516" i="32"/>
  <c r="G516" i="32"/>
  <c r="F516" i="32"/>
  <c r="E516" i="32"/>
  <c r="D516" i="32"/>
  <c r="C516" i="32"/>
  <c r="L515" i="32"/>
  <c r="K515" i="32"/>
  <c r="J515" i="32"/>
  <c r="I515" i="32"/>
  <c r="H515" i="32"/>
  <c r="G515" i="32"/>
  <c r="F515" i="32"/>
  <c r="E515" i="32"/>
  <c r="D515" i="32"/>
  <c r="C515" i="32"/>
  <c r="L514" i="32"/>
  <c r="K514" i="32"/>
  <c r="J514" i="32"/>
  <c r="I514" i="32"/>
  <c r="H514" i="32"/>
  <c r="G514" i="32"/>
  <c r="F514" i="32"/>
  <c r="E514" i="32"/>
  <c r="D514" i="32"/>
  <c r="C514" i="32"/>
  <c r="L513" i="32"/>
  <c r="K513" i="32"/>
  <c r="J513" i="32"/>
  <c r="I513" i="32"/>
  <c r="H513" i="32"/>
  <c r="G513" i="32"/>
  <c r="F513" i="32"/>
  <c r="E513" i="32"/>
  <c r="D513" i="32"/>
  <c r="C513" i="32"/>
  <c r="L512" i="32"/>
  <c r="K512" i="32"/>
  <c r="J512" i="32"/>
  <c r="I512" i="32"/>
  <c r="H512" i="32"/>
  <c r="G512" i="32"/>
  <c r="F512" i="32"/>
  <c r="E512" i="32"/>
  <c r="D512" i="32"/>
  <c r="C512" i="32"/>
  <c r="L511" i="32"/>
  <c r="K511" i="32"/>
  <c r="J511" i="32"/>
  <c r="I511" i="32"/>
  <c r="H511" i="32"/>
  <c r="G511" i="32"/>
  <c r="F511" i="32"/>
  <c r="E511" i="32"/>
  <c r="D511" i="32"/>
  <c r="C511" i="32"/>
  <c r="L510" i="32"/>
  <c r="K510" i="32"/>
  <c r="J510" i="32"/>
  <c r="I510" i="32"/>
  <c r="H510" i="32"/>
  <c r="G510" i="32"/>
  <c r="F510" i="32"/>
  <c r="E510" i="32"/>
  <c r="D510" i="32"/>
  <c r="C510" i="32"/>
  <c r="L509" i="32"/>
  <c r="K509" i="32"/>
  <c r="J509" i="32"/>
  <c r="I509" i="32"/>
  <c r="H509" i="32"/>
  <c r="G509" i="32"/>
  <c r="F509" i="32"/>
  <c r="E509" i="32"/>
  <c r="D509" i="32"/>
  <c r="C509" i="32"/>
  <c r="L508" i="32"/>
  <c r="K508" i="32"/>
  <c r="J508" i="32"/>
  <c r="I508" i="32"/>
  <c r="H508" i="32"/>
  <c r="G508" i="32"/>
  <c r="F508" i="32"/>
  <c r="E508" i="32"/>
  <c r="D508" i="32"/>
  <c r="C508" i="32"/>
  <c r="L507" i="32"/>
  <c r="K507" i="32"/>
  <c r="J507" i="32"/>
  <c r="I507" i="32"/>
  <c r="H507" i="32"/>
  <c r="G507" i="32"/>
  <c r="F507" i="32"/>
  <c r="E507" i="32"/>
  <c r="D507" i="32"/>
  <c r="C507" i="32"/>
  <c r="L506" i="32"/>
  <c r="K506" i="32"/>
  <c r="J506" i="32"/>
  <c r="I506" i="32"/>
  <c r="H506" i="32"/>
  <c r="G506" i="32"/>
  <c r="F506" i="32"/>
  <c r="E506" i="32"/>
  <c r="D506" i="32"/>
  <c r="C506" i="32"/>
  <c r="L505" i="32"/>
  <c r="K505" i="32"/>
  <c r="J505" i="32"/>
  <c r="I505" i="32"/>
  <c r="H505" i="32"/>
  <c r="G505" i="32"/>
  <c r="F505" i="32"/>
  <c r="E505" i="32"/>
  <c r="D505" i="32"/>
  <c r="C505" i="32"/>
  <c r="L504" i="32"/>
  <c r="K504" i="32"/>
  <c r="J504" i="32"/>
  <c r="I504" i="32"/>
  <c r="H504" i="32"/>
  <c r="G504" i="32"/>
  <c r="F504" i="32"/>
  <c r="E504" i="32"/>
  <c r="D504" i="32"/>
  <c r="C504" i="32"/>
  <c r="L503" i="32"/>
  <c r="K503" i="32"/>
  <c r="J503" i="32"/>
  <c r="I503" i="32"/>
  <c r="H503" i="32"/>
  <c r="G503" i="32"/>
  <c r="F503" i="32"/>
  <c r="E503" i="32"/>
  <c r="D503" i="32"/>
  <c r="C503" i="32"/>
  <c r="L502" i="32"/>
  <c r="K502" i="32"/>
  <c r="J502" i="32"/>
  <c r="I502" i="32"/>
  <c r="H502" i="32"/>
  <c r="G502" i="32"/>
  <c r="F502" i="32"/>
  <c r="E502" i="32"/>
  <c r="D502" i="32"/>
  <c r="C502" i="32"/>
  <c r="L501" i="32"/>
  <c r="K501" i="32"/>
  <c r="J501" i="32"/>
  <c r="I501" i="32"/>
  <c r="H501" i="32"/>
  <c r="G501" i="32"/>
  <c r="F501" i="32"/>
  <c r="E501" i="32"/>
  <c r="D501" i="32"/>
  <c r="C501" i="32"/>
  <c r="L500" i="32"/>
  <c r="K500" i="32"/>
  <c r="J500" i="32"/>
  <c r="I500" i="32"/>
  <c r="H500" i="32"/>
  <c r="G500" i="32"/>
  <c r="F500" i="32"/>
  <c r="E500" i="32"/>
  <c r="D500" i="32"/>
  <c r="C500" i="32"/>
  <c r="L499" i="32"/>
  <c r="K499" i="32"/>
  <c r="J499" i="32"/>
  <c r="I499" i="32"/>
  <c r="H499" i="32"/>
  <c r="G499" i="32"/>
  <c r="F499" i="32"/>
  <c r="E499" i="32"/>
  <c r="D499" i="32"/>
  <c r="C499" i="32"/>
  <c r="L498" i="32"/>
  <c r="K498" i="32"/>
  <c r="J498" i="32"/>
  <c r="I498" i="32"/>
  <c r="H498" i="32"/>
  <c r="G498" i="32"/>
  <c r="F498" i="32"/>
  <c r="E498" i="32"/>
  <c r="D498" i="32"/>
  <c r="C498" i="32"/>
  <c r="L497" i="32"/>
  <c r="K497" i="32"/>
  <c r="J497" i="32"/>
  <c r="I497" i="32"/>
  <c r="H497" i="32"/>
  <c r="G497" i="32"/>
  <c r="F497" i="32"/>
  <c r="E497" i="32"/>
  <c r="D497" i="32"/>
  <c r="L496" i="32"/>
  <c r="K496" i="32"/>
  <c r="J496" i="32"/>
  <c r="I496" i="32"/>
  <c r="H496" i="32"/>
  <c r="G496" i="32"/>
  <c r="F496" i="32"/>
  <c r="E496" i="32"/>
  <c r="D496" i="32"/>
  <c r="C496" i="32"/>
  <c r="L495" i="32"/>
  <c r="K495" i="32"/>
  <c r="J495" i="32"/>
  <c r="I495" i="32"/>
  <c r="H495" i="32"/>
  <c r="G495" i="32"/>
  <c r="F495" i="32"/>
  <c r="E495" i="32"/>
  <c r="D495" i="32"/>
  <c r="C495" i="32"/>
  <c r="L494" i="32"/>
  <c r="K494" i="32"/>
  <c r="J494" i="32"/>
  <c r="I494" i="32"/>
  <c r="H494" i="32"/>
  <c r="G494" i="32"/>
  <c r="F494" i="32"/>
  <c r="E494" i="32"/>
  <c r="D494" i="32"/>
  <c r="C494" i="32"/>
  <c r="L493" i="32"/>
  <c r="K493" i="32"/>
  <c r="J493" i="32"/>
  <c r="I493" i="32"/>
  <c r="H493" i="32"/>
  <c r="G493" i="32"/>
  <c r="F493" i="32"/>
  <c r="E493" i="32"/>
  <c r="D493" i="32"/>
  <c r="C493" i="32"/>
  <c r="L492" i="32"/>
  <c r="K492" i="32"/>
  <c r="J492" i="32"/>
  <c r="I492" i="32"/>
  <c r="H492" i="32"/>
  <c r="G492" i="32"/>
  <c r="F492" i="32"/>
  <c r="E492" i="32"/>
  <c r="D492" i="32"/>
  <c r="C492" i="32"/>
  <c r="L491" i="32"/>
  <c r="K491" i="32"/>
  <c r="J491" i="32"/>
  <c r="I491" i="32"/>
  <c r="H491" i="32"/>
  <c r="G491" i="32"/>
  <c r="F491" i="32"/>
  <c r="E491" i="32"/>
  <c r="D491" i="32"/>
  <c r="C491" i="32"/>
  <c r="L490" i="32"/>
  <c r="K490" i="32"/>
  <c r="J490" i="32"/>
  <c r="I490" i="32"/>
  <c r="H490" i="32"/>
  <c r="G490" i="32"/>
  <c r="F490" i="32"/>
  <c r="E490" i="32"/>
  <c r="D490" i="32"/>
  <c r="C490" i="32"/>
  <c r="L489" i="32"/>
  <c r="K489" i="32"/>
  <c r="J489" i="32"/>
  <c r="I489" i="32"/>
  <c r="H489" i="32"/>
  <c r="G489" i="32"/>
  <c r="F489" i="32"/>
  <c r="E489" i="32"/>
  <c r="D489" i="32"/>
  <c r="C489" i="32"/>
  <c r="L488" i="32"/>
  <c r="K488" i="32"/>
  <c r="J488" i="32"/>
  <c r="I488" i="32"/>
  <c r="H488" i="32"/>
  <c r="G488" i="32"/>
  <c r="F488" i="32"/>
  <c r="E488" i="32"/>
  <c r="D488" i="32"/>
  <c r="C488" i="32"/>
  <c r="L487" i="32"/>
  <c r="K487" i="32"/>
  <c r="J487" i="32"/>
  <c r="I487" i="32"/>
  <c r="H487" i="32"/>
  <c r="G487" i="32"/>
  <c r="F487" i="32"/>
  <c r="E487" i="32"/>
  <c r="D487" i="32"/>
  <c r="C487" i="32"/>
  <c r="L486" i="32"/>
  <c r="K486" i="32"/>
  <c r="J486" i="32"/>
  <c r="I486" i="32"/>
  <c r="H486" i="32"/>
  <c r="G486" i="32"/>
  <c r="F486" i="32"/>
  <c r="E486" i="32"/>
  <c r="D486" i="32"/>
  <c r="C486" i="32"/>
  <c r="L485" i="32"/>
  <c r="K485" i="32"/>
  <c r="J485" i="32"/>
  <c r="I485" i="32"/>
  <c r="H485" i="32"/>
  <c r="G485" i="32"/>
  <c r="F485" i="32"/>
  <c r="E485" i="32"/>
  <c r="D485" i="32"/>
  <c r="C485" i="32"/>
  <c r="L484" i="32"/>
  <c r="K484" i="32"/>
  <c r="J484" i="32"/>
  <c r="I484" i="32"/>
  <c r="H484" i="32"/>
  <c r="G484" i="32"/>
  <c r="F484" i="32"/>
  <c r="E484" i="32"/>
  <c r="D484" i="32"/>
  <c r="C484" i="32"/>
  <c r="L483" i="32"/>
  <c r="K483" i="32"/>
  <c r="J483" i="32"/>
  <c r="I483" i="32"/>
  <c r="H483" i="32"/>
  <c r="G483" i="32"/>
  <c r="F483" i="32"/>
  <c r="E483" i="32"/>
  <c r="D483" i="32"/>
  <c r="C483" i="32"/>
  <c r="L482" i="32"/>
  <c r="K482" i="32"/>
  <c r="J482" i="32"/>
  <c r="I482" i="32"/>
  <c r="H482" i="32"/>
  <c r="G482" i="32"/>
  <c r="F482" i="32"/>
  <c r="E482" i="32"/>
  <c r="D482" i="32"/>
  <c r="C482" i="32"/>
  <c r="L481" i="32"/>
  <c r="K481" i="32"/>
  <c r="J481" i="32"/>
  <c r="I481" i="32"/>
  <c r="H481" i="32"/>
  <c r="G481" i="32"/>
  <c r="F481" i="32"/>
  <c r="E481" i="32"/>
  <c r="D481" i="32"/>
  <c r="C481" i="32"/>
  <c r="L480" i="32"/>
  <c r="K480" i="32"/>
  <c r="J480" i="32"/>
  <c r="I480" i="32"/>
  <c r="H480" i="32"/>
  <c r="G480" i="32"/>
  <c r="F480" i="32"/>
  <c r="E480" i="32"/>
  <c r="D480" i="32"/>
  <c r="C480" i="32"/>
  <c r="L479" i="32"/>
  <c r="K479" i="32"/>
  <c r="J479" i="32"/>
  <c r="I479" i="32"/>
  <c r="H479" i="32"/>
  <c r="G479" i="32"/>
  <c r="F479" i="32"/>
  <c r="E479" i="32"/>
  <c r="D479" i="32"/>
  <c r="C479" i="32"/>
  <c r="L478" i="32"/>
  <c r="K478" i="32"/>
  <c r="J478" i="32"/>
  <c r="I478" i="32"/>
  <c r="H478" i="32"/>
  <c r="G478" i="32"/>
  <c r="F478" i="32"/>
  <c r="E478" i="32"/>
  <c r="D478" i="32"/>
  <c r="C478" i="32"/>
  <c r="L477" i="32"/>
  <c r="K477" i="32"/>
  <c r="J477" i="32"/>
  <c r="I477" i="32"/>
  <c r="H477" i="32"/>
  <c r="G477" i="32"/>
  <c r="F477" i="32"/>
  <c r="E477" i="32"/>
  <c r="D477" i="32"/>
  <c r="C477" i="32"/>
  <c r="L476" i="32"/>
  <c r="K476" i="32"/>
  <c r="J476" i="32"/>
  <c r="I476" i="32"/>
  <c r="H476" i="32"/>
  <c r="G476" i="32"/>
  <c r="F476" i="32"/>
  <c r="E476" i="32"/>
  <c r="D476" i="32"/>
  <c r="C476" i="32"/>
  <c r="L475" i="32"/>
  <c r="K475" i="32"/>
  <c r="J475" i="32"/>
  <c r="I475" i="32"/>
  <c r="H475" i="32"/>
  <c r="G475" i="32"/>
  <c r="F475" i="32"/>
  <c r="E475" i="32"/>
  <c r="D475" i="32"/>
  <c r="C475" i="32"/>
  <c r="L474" i="32"/>
  <c r="K474" i="32"/>
  <c r="J474" i="32"/>
  <c r="I474" i="32"/>
  <c r="H474" i="32"/>
  <c r="G474" i="32"/>
  <c r="F474" i="32"/>
  <c r="E474" i="32"/>
  <c r="D474" i="32"/>
  <c r="C474" i="32"/>
  <c r="L473" i="32"/>
  <c r="K473" i="32"/>
  <c r="J473" i="32"/>
  <c r="I473" i="32"/>
  <c r="H473" i="32"/>
  <c r="G473" i="32"/>
  <c r="F473" i="32"/>
  <c r="E473" i="32"/>
  <c r="D473" i="32"/>
  <c r="C473" i="32"/>
  <c r="L472" i="32"/>
  <c r="K472" i="32"/>
  <c r="J472" i="32"/>
  <c r="I472" i="32"/>
  <c r="H472" i="32"/>
  <c r="G472" i="32"/>
  <c r="F472" i="32"/>
  <c r="E472" i="32"/>
  <c r="D472" i="32"/>
  <c r="C472" i="32"/>
  <c r="L471" i="32"/>
  <c r="K471" i="32"/>
  <c r="J471" i="32"/>
  <c r="I471" i="32"/>
  <c r="H471" i="32"/>
  <c r="G471" i="32"/>
  <c r="F471" i="32"/>
  <c r="E471" i="32"/>
  <c r="D471" i="32"/>
  <c r="C471" i="32"/>
  <c r="L470" i="32"/>
  <c r="K470" i="32"/>
  <c r="J470" i="32"/>
  <c r="I470" i="32"/>
  <c r="H470" i="32"/>
  <c r="G470" i="32"/>
  <c r="F470" i="32"/>
  <c r="E470" i="32"/>
  <c r="D470" i="32"/>
  <c r="C470" i="32"/>
  <c r="L469" i="32"/>
  <c r="K469" i="32"/>
  <c r="J469" i="32"/>
  <c r="I469" i="32"/>
  <c r="H469" i="32"/>
  <c r="G469" i="32"/>
  <c r="F469" i="32"/>
  <c r="E469" i="32"/>
  <c r="D469" i="32"/>
  <c r="C469" i="32"/>
  <c r="L468" i="32"/>
  <c r="K468" i="32"/>
  <c r="J468" i="32"/>
  <c r="I468" i="32"/>
  <c r="H468" i="32"/>
  <c r="G468" i="32"/>
  <c r="F468" i="32"/>
  <c r="E468" i="32"/>
  <c r="D468" i="32"/>
  <c r="C468" i="32"/>
  <c r="L467" i="32"/>
  <c r="K467" i="32"/>
  <c r="J467" i="32"/>
  <c r="I467" i="32"/>
  <c r="H467" i="32"/>
  <c r="G467" i="32"/>
  <c r="F467" i="32"/>
  <c r="E467" i="32"/>
  <c r="D467" i="32"/>
  <c r="C467" i="32"/>
  <c r="L466" i="32"/>
  <c r="K466" i="32"/>
  <c r="J466" i="32"/>
  <c r="I466" i="32"/>
  <c r="H466" i="32"/>
  <c r="G466" i="32"/>
  <c r="F466" i="32"/>
  <c r="E466" i="32"/>
  <c r="D466" i="32"/>
  <c r="C466" i="32"/>
  <c r="L465" i="32"/>
  <c r="K465" i="32"/>
  <c r="J465" i="32"/>
  <c r="I465" i="32"/>
  <c r="H465" i="32"/>
  <c r="G465" i="32"/>
  <c r="F465" i="32"/>
  <c r="E465" i="32"/>
  <c r="D465" i="32"/>
  <c r="C465" i="32"/>
  <c r="L464" i="32"/>
  <c r="K464" i="32"/>
  <c r="J464" i="32"/>
  <c r="I464" i="32"/>
  <c r="H464" i="32"/>
  <c r="G464" i="32"/>
  <c r="F464" i="32"/>
  <c r="E464" i="32"/>
  <c r="D464" i="32"/>
  <c r="C464" i="32"/>
  <c r="L463" i="32"/>
  <c r="K463" i="32"/>
  <c r="J463" i="32"/>
  <c r="I463" i="32"/>
  <c r="H463" i="32"/>
  <c r="G463" i="32"/>
  <c r="F463" i="32"/>
  <c r="E463" i="32"/>
  <c r="D463" i="32"/>
  <c r="C463" i="32"/>
  <c r="L462" i="32"/>
  <c r="K462" i="32"/>
  <c r="J462" i="32"/>
  <c r="I462" i="32"/>
  <c r="H462" i="32"/>
  <c r="G462" i="32"/>
  <c r="F462" i="32"/>
  <c r="E462" i="32"/>
  <c r="D462" i="32"/>
  <c r="C462" i="32"/>
  <c r="L461" i="32"/>
  <c r="K461" i="32"/>
  <c r="J461" i="32"/>
  <c r="I461" i="32"/>
  <c r="H461" i="32"/>
  <c r="G461" i="32"/>
  <c r="F461" i="32"/>
  <c r="E461" i="32"/>
  <c r="D461" i="32"/>
  <c r="C461" i="32"/>
  <c r="L460" i="32"/>
  <c r="K460" i="32"/>
  <c r="J460" i="32"/>
  <c r="I460" i="32"/>
  <c r="H460" i="32"/>
  <c r="G460" i="32"/>
  <c r="F460" i="32"/>
  <c r="E460" i="32"/>
  <c r="D460" i="32"/>
  <c r="C460" i="32"/>
  <c r="L459" i="32"/>
  <c r="K459" i="32"/>
  <c r="J459" i="32"/>
  <c r="I459" i="32"/>
  <c r="H459" i="32"/>
  <c r="G459" i="32"/>
  <c r="F459" i="32"/>
  <c r="E459" i="32"/>
  <c r="D459" i="32"/>
  <c r="C459" i="32"/>
  <c r="L458" i="32"/>
  <c r="K458" i="32"/>
  <c r="J458" i="32"/>
  <c r="I458" i="32"/>
  <c r="H458" i="32"/>
  <c r="G458" i="32"/>
  <c r="F458" i="32"/>
  <c r="E458" i="32"/>
  <c r="D458" i="32"/>
  <c r="C458" i="32"/>
  <c r="L457" i="32"/>
  <c r="K457" i="32"/>
  <c r="J457" i="32"/>
  <c r="I457" i="32"/>
  <c r="H457" i="32"/>
  <c r="G457" i="32"/>
  <c r="F457" i="32"/>
  <c r="E457" i="32"/>
  <c r="D457" i="32"/>
  <c r="C457" i="32"/>
  <c r="L456" i="32"/>
  <c r="K456" i="32"/>
  <c r="J456" i="32"/>
  <c r="I456" i="32"/>
  <c r="H456" i="32"/>
  <c r="G456" i="32"/>
  <c r="F456" i="32"/>
  <c r="E456" i="32"/>
  <c r="D456" i="32"/>
  <c r="C456" i="32"/>
  <c r="L455" i="32"/>
  <c r="K455" i="32"/>
  <c r="J455" i="32"/>
  <c r="I455" i="32"/>
  <c r="H455" i="32"/>
  <c r="G455" i="32"/>
  <c r="F455" i="32"/>
  <c r="E455" i="32"/>
  <c r="D455" i="32"/>
  <c r="C455" i="32"/>
  <c r="L454" i="32"/>
  <c r="K454" i="32"/>
  <c r="J454" i="32"/>
  <c r="I454" i="32"/>
  <c r="H454" i="32"/>
  <c r="G454" i="32"/>
  <c r="F454" i="32"/>
  <c r="E454" i="32"/>
  <c r="D454" i="32"/>
  <c r="C454" i="32"/>
  <c r="L453" i="32"/>
  <c r="K453" i="32"/>
  <c r="J453" i="32"/>
  <c r="I453" i="32"/>
  <c r="H453" i="32"/>
  <c r="G453" i="32"/>
  <c r="F453" i="32"/>
  <c r="E453" i="32"/>
  <c r="D453" i="32"/>
  <c r="C453" i="32"/>
  <c r="L452" i="32"/>
  <c r="K452" i="32"/>
  <c r="J452" i="32"/>
  <c r="I452" i="32"/>
  <c r="H452" i="32"/>
  <c r="G452" i="32"/>
  <c r="F452" i="32"/>
  <c r="E452" i="32"/>
  <c r="D452" i="32"/>
  <c r="C452" i="32"/>
  <c r="L451" i="32"/>
  <c r="K451" i="32"/>
  <c r="J451" i="32"/>
  <c r="I451" i="32"/>
  <c r="H451" i="32"/>
  <c r="G451" i="32"/>
  <c r="F451" i="32"/>
  <c r="E451" i="32"/>
  <c r="D451" i="32"/>
  <c r="C451" i="32"/>
  <c r="L450" i="32"/>
  <c r="K450" i="32"/>
  <c r="J450" i="32"/>
  <c r="I450" i="32"/>
  <c r="H450" i="32"/>
  <c r="G450" i="32"/>
  <c r="F450" i="32"/>
  <c r="E450" i="32"/>
  <c r="D450" i="32"/>
  <c r="C450" i="32"/>
  <c r="L449" i="32"/>
  <c r="K449" i="32"/>
  <c r="J449" i="32"/>
  <c r="I449" i="32"/>
  <c r="H449" i="32"/>
  <c r="G449" i="32"/>
  <c r="F449" i="32"/>
  <c r="E449" i="32"/>
  <c r="D449" i="32"/>
  <c r="C449" i="32"/>
  <c r="L448" i="32"/>
  <c r="K448" i="32"/>
  <c r="J448" i="32"/>
  <c r="I448" i="32"/>
  <c r="H448" i="32"/>
  <c r="G448" i="32"/>
  <c r="F448" i="32"/>
  <c r="E448" i="32"/>
  <c r="D448" i="32"/>
  <c r="C448" i="32"/>
  <c r="L447" i="32"/>
  <c r="K447" i="32"/>
  <c r="J447" i="32"/>
  <c r="I447" i="32"/>
  <c r="H447" i="32"/>
  <c r="G447" i="32"/>
  <c r="F447" i="32"/>
  <c r="E447" i="32"/>
  <c r="D447" i="32"/>
  <c r="C447" i="32"/>
  <c r="L446" i="32"/>
  <c r="K446" i="32"/>
  <c r="J446" i="32"/>
  <c r="I446" i="32"/>
  <c r="H446" i="32"/>
  <c r="G446" i="32"/>
  <c r="F446" i="32"/>
  <c r="E446" i="32"/>
  <c r="D446" i="32"/>
  <c r="C446" i="32"/>
  <c r="L445" i="32"/>
  <c r="K445" i="32"/>
  <c r="J445" i="32"/>
  <c r="I445" i="32"/>
  <c r="H445" i="32"/>
  <c r="G445" i="32"/>
  <c r="F445" i="32"/>
  <c r="E445" i="32"/>
  <c r="D445" i="32"/>
  <c r="C445" i="32"/>
  <c r="L444" i="32"/>
  <c r="K444" i="32"/>
  <c r="J444" i="32"/>
  <c r="I444" i="32"/>
  <c r="H444" i="32"/>
  <c r="G444" i="32"/>
  <c r="F444" i="32"/>
  <c r="E444" i="32"/>
  <c r="D444" i="32"/>
  <c r="C444" i="32"/>
  <c r="L443" i="32"/>
  <c r="K443" i="32"/>
  <c r="J443" i="32"/>
  <c r="I443" i="32"/>
  <c r="H443" i="32"/>
  <c r="G443" i="32"/>
  <c r="F443" i="32"/>
  <c r="E443" i="32"/>
  <c r="D443" i="32"/>
  <c r="C443" i="32"/>
  <c r="L442" i="32"/>
  <c r="K442" i="32"/>
  <c r="J442" i="32"/>
  <c r="I442" i="32"/>
  <c r="H442" i="32"/>
  <c r="G442" i="32"/>
  <c r="F442" i="32"/>
  <c r="E442" i="32"/>
  <c r="D442" i="32"/>
  <c r="C442" i="32"/>
  <c r="L441" i="32"/>
  <c r="K441" i="32"/>
  <c r="J441" i="32"/>
  <c r="I441" i="32"/>
  <c r="H441" i="32"/>
  <c r="G441" i="32"/>
  <c r="F441" i="32"/>
  <c r="E441" i="32"/>
  <c r="D441" i="32"/>
  <c r="C441" i="32"/>
  <c r="L440" i="32"/>
  <c r="K440" i="32"/>
  <c r="J440" i="32"/>
  <c r="I440" i="32"/>
  <c r="H440" i="32"/>
  <c r="G440" i="32"/>
  <c r="F440" i="32"/>
  <c r="E440" i="32"/>
  <c r="D440" i="32"/>
  <c r="C440" i="32"/>
  <c r="L439" i="32"/>
  <c r="K439" i="32"/>
  <c r="J439" i="32"/>
  <c r="I439" i="32"/>
  <c r="H439" i="32"/>
  <c r="G439" i="32"/>
  <c r="F439" i="32"/>
  <c r="E439" i="32"/>
  <c r="D439" i="32"/>
  <c r="C439" i="32"/>
  <c r="L438" i="32"/>
  <c r="K438" i="32"/>
  <c r="J438" i="32"/>
  <c r="I438" i="32"/>
  <c r="H438" i="32"/>
  <c r="G438" i="32"/>
  <c r="F438" i="32"/>
  <c r="E438" i="32"/>
  <c r="D438" i="32"/>
  <c r="C438" i="32"/>
  <c r="L437" i="32"/>
  <c r="K437" i="32"/>
  <c r="J437" i="32"/>
  <c r="I437" i="32"/>
  <c r="H437" i="32"/>
  <c r="G437" i="32"/>
  <c r="F437" i="32"/>
  <c r="E437" i="32"/>
  <c r="D437" i="32"/>
  <c r="C437" i="32"/>
  <c r="L436" i="32"/>
  <c r="K436" i="32"/>
  <c r="J436" i="32"/>
  <c r="I436" i="32"/>
  <c r="H436" i="32"/>
  <c r="G436" i="32"/>
  <c r="F436" i="32"/>
  <c r="E436" i="32"/>
  <c r="D436" i="32"/>
  <c r="C436" i="32"/>
  <c r="L435" i="32"/>
  <c r="K435" i="32"/>
  <c r="J435" i="32"/>
  <c r="I435" i="32"/>
  <c r="H435" i="32"/>
  <c r="G435" i="32"/>
  <c r="F435" i="32"/>
  <c r="E435" i="32"/>
  <c r="D435" i="32"/>
  <c r="C435" i="32"/>
  <c r="L434" i="32"/>
  <c r="K434" i="32"/>
  <c r="J434" i="32"/>
  <c r="I434" i="32"/>
  <c r="H434" i="32"/>
  <c r="G434" i="32"/>
  <c r="F434" i="32"/>
  <c r="E434" i="32"/>
  <c r="D434" i="32"/>
  <c r="C434" i="32"/>
  <c r="L433" i="32"/>
  <c r="K433" i="32"/>
  <c r="J433" i="32"/>
  <c r="I433" i="32"/>
  <c r="H433" i="32"/>
  <c r="G433" i="32"/>
  <c r="F433" i="32"/>
  <c r="E433" i="32"/>
  <c r="D433" i="32"/>
  <c r="C433" i="32"/>
  <c r="L432" i="32"/>
  <c r="K432" i="32"/>
  <c r="J432" i="32"/>
  <c r="I432" i="32"/>
  <c r="H432" i="32"/>
  <c r="G432" i="32"/>
  <c r="F432" i="32"/>
  <c r="E432" i="32"/>
  <c r="D432" i="32"/>
  <c r="C432" i="32"/>
  <c r="L431" i="32"/>
  <c r="K431" i="32"/>
  <c r="J431" i="32"/>
  <c r="I431" i="32"/>
  <c r="H431" i="32"/>
  <c r="G431" i="32"/>
  <c r="F431" i="32"/>
  <c r="E431" i="32"/>
  <c r="D431" i="32"/>
  <c r="C431" i="32"/>
  <c r="L430" i="32"/>
  <c r="K430" i="32"/>
  <c r="J430" i="32"/>
  <c r="I430" i="32"/>
  <c r="H430" i="32"/>
  <c r="G430" i="32"/>
  <c r="F430" i="32"/>
  <c r="E430" i="32"/>
  <c r="D430" i="32"/>
  <c r="C430" i="32"/>
  <c r="L429" i="32"/>
  <c r="K429" i="32"/>
  <c r="J429" i="32"/>
  <c r="I429" i="32"/>
  <c r="H429" i="32"/>
  <c r="G429" i="32"/>
  <c r="F429" i="32"/>
  <c r="E429" i="32"/>
  <c r="D429" i="32"/>
  <c r="C429" i="32"/>
  <c r="L428" i="32"/>
  <c r="K428" i="32"/>
  <c r="J428" i="32"/>
  <c r="I428" i="32"/>
  <c r="H428" i="32"/>
  <c r="G428" i="32"/>
  <c r="F428" i="32"/>
  <c r="E428" i="32"/>
  <c r="D428" i="32"/>
  <c r="C428" i="32"/>
  <c r="L427" i="32"/>
  <c r="K427" i="32"/>
  <c r="J427" i="32"/>
  <c r="I427" i="32"/>
  <c r="H427" i="32"/>
  <c r="G427" i="32"/>
  <c r="F427" i="32"/>
  <c r="E427" i="32"/>
  <c r="D427" i="32"/>
  <c r="C427" i="32"/>
  <c r="L426" i="32"/>
  <c r="K426" i="32"/>
  <c r="J426" i="32"/>
  <c r="I426" i="32"/>
  <c r="H426" i="32"/>
  <c r="G426" i="32"/>
  <c r="F426" i="32"/>
  <c r="E426" i="32"/>
  <c r="D426" i="32"/>
  <c r="C426" i="32"/>
  <c r="L425" i="32"/>
  <c r="K425" i="32"/>
  <c r="J425" i="32"/>
  <c r="I425" i="32"/>
  <c r="H425" i="32"/>
  <c r="G425" i="32"/>
  <c r="F425" i="32"/>
  <c r="E425" i="32"/>
  <c r="D425" i="32"/>
  <c r="C425" i="32"/>
  <c r="L424" i="32"/>
  <c r="K424" i="32"/>
  <c r="J424" i="32"/>
  <c r="I424" i="32"/>
  <c r="H424" i="32"/>
  <c r="G424" i="32"/>
  <c r="F424" i="32"/>
  <c r="E424" i="32"/>
  <c r="D424" i="32"/>
  <c r="C424" i="32"/>
  <c r="L423" i="32"/>
  <c r="K423" i="32"/>
  <c r="J423" i="32"/>
  <c r="I423" i="32"/>
  <c r="H423" i="32"/>
  <c r="G423" i="32"/>
  <c r="F423" i="32"/>
  <c r="E423" i="32"/>
  <c r="D423" i="32"/>
  <c r="C423" i="32"/>
  <c r="L422" i="32"/>
  <c r="K422" i="32"/>
  <c r="J422" i="32"/>
  <c r="I422" i="32"/>
  <c r="H422" i="32"/>
  <c r="G422" i="32"/>
  <c r="F422" i="32"/>
  <c r="E422" i="32"/>
  <c r="D422" i="32"/>
  <c r="C422" i="32"/>
  <c r="L421" i="32"/>
  <c r="K421" i="32"/>
  <c r="J421" i="32"/>
  <c r="I421" i="32"/>
  <c r="H421" i="32"/>
  <c r="G421" i="32"/>
  <c r="F421" i="32"/>
  <c r="E421" i="32"/>
  <c r="D421" i="32"/>
  <c r="C421" i="32"/>
  <c r="L420" i="32"/>
  <c r="K420" i="32"/>
  <c r="J420" i="32"/>
  <c r="I420" i="32"/>
  <c r="H420" i="32"/>
  <c r="G420" i="32"/>
  <c r="F420" i="32"/>
  <c r="E420" i="32"/>
  <c r="D420" i="32"/>
  <c r="C420" i="32"/>
  <c r="L419" i="32"/>
  <c r="K419" i="32"/>
  <c r="J419" i="32"/>
  <c r="I419" i="32"/>
  <c r="H419" i="32"/>
  <c r="G419" i="32"/>
  <c r="F419" i="32"/>
  <c r="E419" i="32"/>
  <c r="D419" i="32"/>
  <c r="C419" i="32"/>
  <c r="L418" i="32"/>
  <c r="K418" i="32"/>
  <c r="J418" i="32"/>
  <c r="I418" i="32"/>
  <c r="H418" i="32"/>
  <c r="G418" i="32"/>
  <c r="F418" i="32"/>
  <c r="E418" i="32"/>
  <c r="D418" i="32"/>
  <c r="C418" i="32"/>
  <c r="L417" i="32"/>
  <c r="K417" i="32"/>
  <c r="J417" i="32"/>
  <c r="I417" i="32"/>
  <c r="H417" i="32"/>
  <c r="G417" i="32"/>
  <c r="F417" i="32"/>
  <c r="E417" i="32"/>
  <c r="D417" i="32"/>
  <c r="C417" i="32"/>
  <c r="L416" i="32"/>
  <c r="K416" i="32"/>
  <c r="J416" i="32"/>
  <c r="I416" i="32"/>
  <c r="H416" i="32"/>
  <c r="G416" i="32"/>
  <c r="F416" i="32"/>
  <c r="E416" i="32"/>
  <c r="D416" i="32"/>
  <c r="C416" i="32"/>
  <c r="L415" i="32"/>
  <c r="K415" i="32"/>
  <c r="J415" i="32"/>
  <c r="I415" i="32"/>
  <c r="H415" i="32"/>
  <c r="G415" i="32"/>
  <c r="F415" i="32"/>
  <c r="E415" i="32"/>
  <c r="D415" i="32"/>
  <c r="C415" i="32"/>
  <c r="L414" i="32"/>
  <c r="K414" i="32"/>
  <c r="J414" i="32"/>
  <c r="I414" i="32"/>
  <c r="H414" i="32"/>
  <c r="G414" i="32"/>
  <c r="F414" i="32"/>
  <c r="E414" i="32"/>
  <c r="D414" i="32"/>
  <c r="C414" i="32"/>
  <c r="L413" i="32"/>
  <c r="K413" i="32"/>
  <c r="J413" i="32"/>
  <c r="I413" i="32"/>
  <c r="H413" i="32"/>
  <c r="G413" i="32"/>
  <c r="F413" i="32"/>
  <c r="E413" i="32"/>
  <c r="D413" i="32"/>
  <c r="C413" i="32"/>
  <c r="L412" i="32"/>
  <c r="K412" i="32"/>
  <c r="J412" i="32"/>
  <c r="I412" i="32"/>
  <c r="H412" i="32"/>
  <c r="G412" i="32"/>
  <c r="F412" i="32"/>
  <c r="E412" i="32"/>
  <c r="D412" i="32"/>
  <c r="C412" i="32"/>
  <c r="L411" i="32"/>
  <c r="K411" i="32"/>
  <c r="J411" i="32"/>
  <c r="I411" i="32"/>
  <c r="H411" i="32"/>
  <c r="G411" i="32"/>
  <c r="F411" i="32"/>
  <c r="E411" i="32"/>
  <c r="D411" i="32"/>
  <c r="C411" i="32"/>
  <c r="L410" i="32"/>
  <c r="K410" i="32"/>
  <c r="J410" i="32"/>
  <c r="I410" i="32"/>
  <c r="H410" i="32"/>
  <c r="G410" i="32"/>
  <c r="F410" i="32"/>
  <c r="E410" i="32"/>
  <c r="D410" i="32"/>
  <c r="C410" i="32"/>
  <c r="L409" i="32"/>
  <c r="K409" i="32"/>
  <c r="J409" i="32"/>
  <c r="I409" i="32"/>
  <c r="H409" i="32"/>
  <c r="G409" i="32"/>
  <c r="F409" i="32"/>
  <c r="E409" i="32"/>
  <c r="D409" i="32"/>
  <c r="C409" i="32"/>
  <c r="L408" i="32"/>
  <c r="K408" i="32"/>
  <c r="J408" i="32"/>
  <c r="I408" i="32"/>
  <c r="H408" i="32"/>
  <c r="G408" i="32"/>
  <c r="F408" i="32"/>
  <c r="E408" i="32"/>
  <c r="D408" i="32"/>
  <c r="C408" i="32"/>
  <c r="L407" i="32"/>
  <c r="K407" i="32"/>
  <c r="J407" i="32"/>
  <c r="I407" i="32"/>
  <c r="H407" i="32"/>
  <c r="G407" i="32"/>
  <c r="F407" i="32"/>
  <c r="E407" i="32"/>
  <c r="D407" i="32"/>
  <c r="C407" i="32"/>
  <c r="L406" i="32"/>
  <c r="K406" i="32"/>
  <c r="J406" i="32"/>
  <c r="I406" i="32"/>
  <c r="H406" i="32"/>
  <c r="G406" i="32"/>
  <c r="F406" i="32"/>
  <c r="E406" i="32"/>
  <c r="D406" i="32"/>
  <c r="C406" i="32"/>
  <c r="L405" i="32"/>
  <c r="K405" i="32"/>
  <c r="J405" i="32"/>
  <c r="I405" i="32"/>
  <c r="H405" i="32"/>
  <c r="G405" i="32"/>
  <c r="F405" i="32"/>
  <c r="E405" i="32"/>
  <c r="D405" i="32"/>
  <c r="C405" i="32"/>
  <c r="L404" i="32"/>
  <c r="K404" i="32"/>
  <c r="J404" i="32"/>
  <c r="I404" i="32"/>
  <c r="H404" i="32"/>
  <c r="G404" i="32"/>
  <c r="F404" i="32"/>
  <c r="E404" i="32"/>
  <c r="D404" i="32"/>
  <c r="C404" i="32"/>
  <c r="L403" i="32"/>
  <c r="K403" i="32"/>
  <c r="J403" i="32"/>
  <c r="I403" i="32"/>
  <c r="H403" i="32"/>
  <c r="G403" i="32"/>
  <c r="F403" i="32"/>
  <c r="E403" i="32"/>
  <c r="D403" i="32"/>
  <c r="C403" i="32"/>
  <c r="L402" i="32"/>
  <c r="K402" i="32"/>
  <c r="J402" i="32"/>
  <c r="I402" i="32"/>
  <c r="H402" i="32"/>
  <c r="G402" i="32"/>
  <c r="F402" i="32"/>
  <c r="E402" i="32"/>
  <c r="D402" i="32"/>
  <c r="C402" i="32"/>
  <c r="L401" i="32"/>
  <c r="K401" i="32"/>
  <c r="J401" i="32"/>
  <c r="I401" i="32"/>
  <c r="H401" i="32"/>
  <c r="G401" i="32"/>
  <c r="F401" i="32"/>
  <c r="E401" i="32"/>
  <c r="D401" i="32"/>
  <c r="C401" i="32"/>
  <c r="L400" i="32"/>
  <c r="K400" i="32"/>
  <c r="J400" i="32"/>
  <c r="I400" i="32"/>
  <c r="H400" i="32"/>
  <c r="G400" i="32"/>
  <c r="F400" i="32"/>
  <c r="E400" i="32"/>
  <c r="D400" i="32"/>
  <c r="C400" i="32"/>
  <c r="L399" i="32"/>
  <c r="K399" i="32"/>
  <c r="J399" i="32"/>
  <c r="I399" i="32"/>
  <c r="H399" i="32"/>
  <c r="G399" i="32"/>
  <c r="F399" i="32"/>
  <c r="E399" i="32"/>
  <c r="D399" i="32"/>
  <c r="C399" i="32"/>
  <c r="L398" i="32"/>
  <c r="K398" i="32"/>
  <c r="J398" i="32"/>
  <c r="I398" i="32"/>
  <c r="H398" i="32"/>
  <c r="G398" i="32"/>
  <c r="F398" i="32"/>
  <c r="E398" i="32"/>
  <c r="D398" i="32"/>
  <c r="C398" i="32"/>
  <c r="L397" i="32"/>
  <c r="K397" i="32"/>
  <c r="J397" i="32"/>
  <c r="I397" i="32"/>
  <c r="H397" i="32"/>
  <c r="G397" i="32"/>
  <c r="F397" i="32"/>
  <c r="E397" i="32"/>
  <c r="D397" i="32"/>
  <c r="C397" i="32"/>
  <c r="L396" i="32"/>
  <c r="K396" i="32"/>
  <c r="J396" i="32"/>
  <c r="I396" i="32"/>
  <c r="H396" i="32"/>
  <c r="G396" i="32"/>
  <c r="F396" i="32"/>
  <c r="E396" i="32"/>
  <c r="D396" i="32"/>
  <c r="C396" i="32"/>
  <c r="L395" i="32"/>
  <c r="K395" i="32"/>
  <c r="J395" i="32"/>
  <c r="I395" i="32"/>
  <c r="H395" i="32"/>
  <c r="G395" i="32"/>
  <c r="F395" i="32"/>
  <c r="E395" i="32"/>
  <c r="D395" i="32"/>
  <c r="C395" i="32"/>
  <c r="L394" i="32"/>
  <c r="K394" i="32"/>
  <c r="J394" i="32"/>
  <c r="I394" i="32"/>
  <c r="H394" i="32"/>
  <c r="G394" i="32"/>
  <c r="F394" i="32"/>
  <c r="E394" i="32"/>
  <c r="D394" i="32"/>
  <c r="C394" i="32"/>
  <c r="L393" i="32"/>
  <c r="K393" i="32"/>
  <c r="J393" i="32"/>
  <c r="I393" i="32"/>
  <c r="H393" i="32"/>
  <c r="G393" i="32"/>
  <c r="F393" i="32"/>
  <c r="E393" i="32"/>
  <c r="D393" i="32"/>
  <c r="C393" i="32"/>
  <c r="L392" i="32"/>
  <c r="K392" i="32"/>
  <c r="J392" i="32"/>
  <c r="I392" i="32"/>
  <c r="H392" i="32"/>
  <c r="G392" i="32"/>
  <c r="F392" i="32"/>
  <c r="E392" i="32"/>
  <c r="D392" i="32"/>
  <c r="C392" i="32"/>
  <c r="L391" i="32"/>
  <c r="K391" i="32"/>
  <c r="J391" i="32"/>
  <c r="I391" i="32"/>
  <c r="H391" i="32"/>
  <c r="G391" i="32"/>
  <c r="F391" i="32"/>
  <c r="E391" i="32"/>
  <c r="D391" i="32"/>
  <c r="C391" i="32"/>
  <c r="L390" i="32"/>
  <c r="K390" i="32"/>
  <c r="J390" i="32"/>
  <c r="I390" i="32"/>
  <c r="H390" i="32"/>
  <c r="G390" i="32"/>
  <c r="F390" i="32"/>
  <c r="E390" i="32"/>
  <c r="D390" i="32"/>
  <c r="C390" i="32"/>
  <c r="L389" i="32"/>
  <c r="K389" i="32"/>
  <c r="J389" i="32"/>
  <c r="I389" i="32"/>
  <c r="H389" i="32"/>
  <c r="G389" i="32"/>
  <c r="F389" i="32"/>
  <c r="E389" i="32"/>
  <c r="D389" i="32"/>
  <c r="C389" i="32"/>
  <c r="L388" i="32"/>
  <c r="K388" i="32"/>
  <c r="J388" i="32"/>
  <c r="I388" i="32"/>
  <c r="H388" i="32"/>
  <c r="G388" i="32"/>
  <c r="F388" i="32"/>
  <c r="E388" i="32"/>
  <c r="D388" i="32"/>
  <c r="C388" i="32"/>
  <c r="L387" i="32"/>
  <c r="K387" i="32"/>
  <c r="J387" i="32"/>
  <c r="I387" i="32"/>
  <c r="H387" i="32"/>
  <c r="G387" i="32"/>
  <c r="F387" i="32"/>
  <c r="E387" i="32"/>
  <c r="D387" i="32"/>
  <c r="C387" i="32"/>
  <c r="L386" i="32"/>
  <c r="K386" i="32"/>
  <c r="J386" i="32"/>
  <c r="I386" i="32"/>
  <c r="H386" i="32"/>
  <c r="G386" i="32"/>
  <c r="F386" i="32"/>
  <c r="E386" i="32"/>
  <c r="D386" i="32"/>
  <c r="C386" i="32"/>
  <c r="L385" i="32"/>
  <c r="K385" i="32"/>
  <c r="J385" i="32"/>
  <c r="I385" i="32"/>
  <c r="H385" i="32"/>
  <c r="G385" i="32"/>
  <c r="F385" i="32"/>
  <c r="E385" i="32"/>
  <c r="D385" i="32"/>
  <c r="C385" i="32"/>
  <c r="L384" i="32"/>
  <c r="K384" i="32"/>
  <c r="J384" i="32"/>
  <c r="I384" i="32"/>
  <c r="H384" i="32"/>
  <c r="G384" i="32"/>
  <c r="F384" i="32"/>
  <c r="E384" i="32"/>
  <c r="D384" i="32"/>
  <c r="C384" i="32"/>
  <c r="L383" i="32"/>
  <c r="K383" i="32"/>
  <c r="J383" i="32"/>
  <c r="I383" i="32"/>
  <c r="H383" i="32"/>
  <c r="G383" i="32"/>
  <c r="F383" i="32"/>
  <c r="E383" i="32"/>
  <c r="D383" i="32"/>
  <c r="C383" i="32"/>
  <c r="L382" i="32"/>
  <c r="K382" i="32"/>
  <c r="J382" i="32"/>
  <c r="I382" i="32"/>
  <c r="H382" i="32"/>
  <c r="G382" i="32"/>
  <c r="F382" i="32"/>
  <c r="E382" i="32"/>
  <c r="D382" i="32"/>
  <c r="C382" i="32"/>
  <c r="L381" i="32"/>
  <c r="K381" i="32"/>
  <c r="J381" i="32"/>
  <c r="I381" i="32"/>
  <c r="H381" i="32"/>
  <c r="G381" i="32"/>
  <c r="F381" i="32"/>
  <c r="E381" i="32"/>
  <c r="D381" i="32"/>
  <c r="C381" i="32"/>
  <c r="L380" i="32"/>
  <c r="K380" i="32"/>
  <c r="J380" i="32"/>
  <c r="I380" i="32"/>
  <c r="H380" i="32"/>
  <c r="G380" i="32"/>
  <c r="F380" i="32"/>
  <c r="E380" i="32"/>
  <c r="D380" i="32"/>
  <c r="C380" i="32"/>
  <c r="L379" i="32"/>
  <c r="K379" i="32"/>
  <c r="J379" i="32"/>
  <c r="I379" i="32"/>
  <c r="H379" i="32"/>
  <c r="G379" i="32"/>
  <c r="F379" i="32"/>
  <c r="E379" i="32"/>
  <c r="D379" i="32"/>
  <c r="C379" i="32"/>
  <c r="L378" i="32"/>
  <c r="K378" i="32"/>
  <c r="J378" i="32"/>
  <c r="I378" i="32"/>
  <c r="H378" i="32"/>
  <c r="G378" i="32"/>
  <c r="F378" i="32"/>
  <c r="E378" i="32"/>
  <c r="D378" i="32"/>
  <c r="C378" i="32"/>
  <c r="L377" i="32"/>
  <c r="K377" i="32"/>
  <c r="J377" i="32"/>
  <c r="I377" i="32"/>
  <c r="H377" i="32"/>
  <c r="G377" i="32"/>
  <c r="F377" i="32"/>
  <c r="E377" i="32"/>
  <c r="D377" i="32"/>
  <c r="C377" i="32"/>
  <c r="L376" i="32"/>
  <c r="K376" i="32"/>
  <c r="J376" i="32"/>
  <c r="I376" i="32"/>
  <c r="H376" i="32"/>
  <c r="G376" i="32"/>
  <c r="F376" i="32"/>
  <c r="E376" i="32"/>
  <c r="D376" i="32"/>
  <c r="C376" i="32"/>
  <c r="L375" i="32"/>
  <c r="K375" i="32"/>
  <c r="J375" i="32"/>
  <c r="I375" i="32"/>
  <c r="H375" i="32"/>
  <c r="G375" i="32"/>
  <c r="F375" i="32"/>
  <c r="E375" i="32"/>
  <c r="D375" i="32"/>
  <c r="C375" i="32"/>
  <c r="L374" i="32"/>
  <c r="K374" i="32"/>
  <c r="J374" i="32"/>
  <c r="I374" i="32"/>
  <c r="H374" i="32"/>
  <c r="G374" i="32"/>
  <c r="F374" i="32"/>
  <c r="E374" i="32"/>
  <c r="D374" i="32"/>
  <c r="C374" i="32"/>
  <c r="L373" i="32"/>
  <c r="K373" i="32"/>
  <c r="J373" i="32"/>
  <c r="I373" i="32"/>
  <c r="H373" i="32"/>
  <c r="G373" i="32"/>
  <c r="F373" i="32"/>
  <c r="E373" i="32"/>
  <c r="D373" i="32"/>
  <c r="C373" i="32"/>
  <c r="L372" i="32"/>
  <c r="K372" i="32"/>
  <c r="J372" i="32"/>
  <c r="I372" i="32"/>
  <c r="H372" i="32"/>
  <c r="G372" i="32"/>
  <c r="F372" i="32"/>
  <c r="E372" i="32"/>
  <c r="D372" i="32"/>
  <c r="C372" i="32"/>
  <c r="L371" i="32"/>
  <c r="K371" i="32"/>
  <c r="J371" i="32"/>
  <c r="I371" i="32"/>
  <c r="H371" i="32"/>
  <c r="G371" i="32"/>
  <c r="F371" i="32"/>
  <c r="E371" i="32"/>
  <c r="D371" i="32"/>
  <c r="C371" i="32"/>
  <c r="L370" i="32"/>
  <c r="K370" i="32"/>
  <c r="J370" i="32"/>
  <c r="I370" i="32"/>
  <c r="H370" i="32"/>
  <c r="G370" i="32"/>
  <c r="F370" i="32"/>
  <c r="E370" i="32"/>
  <c r="D370" i="32"/>
  <c r="C370" i="32"/>
  <c r="L369" i="32"/>
  <c r="K369" i="32"/>
  <c r="J369" i="32"/>
  <c r="I369" i="32"/>
  <c r="H369" i="32"/>
  <c r="G369" i="32"/>
  <c r="F369" i="32"/>
  <c r="E369" i="32"/>
  <c r="D369" i="32"/>
  <c r="C369" i="32"/>
  <c r="L368" i="32"/>
  <c r="K368" i="32"/>
  <c r="J368" i="32"/>
  <c r="I368" i="32"/>
  <c r="H368" i="32"/>
  <c r="G368" i="32"/>
  <c r="F368" i="32"/>
  <c r="E368" i="32"/>
  <c r="D368" i="32"/>
  <c r="C368" i="32"/>
  <c r="L367" i="32"/>
  <c r="K367" i="32"/>
  <c r="J367" i="32"/>
  <c r="I367" i="32"/>
  <c r="H367" i="32"/>
  <c r="G367" i="32"/>
  <c r="F367" i="32"/>
  <c r="E367" i="32"/>
  <c r="D367" i="32"/>
  <c r="C367" i="32"/>
  <c r="L366" i="32"/>
  <c r="K366" i="32"/>
  <c r="J366" i="32"/>
  <c r="I366" i="32"/>
  <c r="H366" i="32"/>
  <c r="G366" i="32"/>
  <c r="F366" i="32"/>
  <c r="E366" i="32"/>
  <c r="D366" i="32"/>
  <c r="C366" i="32"/>
  <c r="L365" i="32"/>
  <c r="K365" i="32"/>
  <c r="J365" i="32"/>
  <c r="I365" i="32"/>
  <c r="H365" i="32"/>
  <c r="G365" i="32"/>
  <c r="F365" i="32"/>
  <c r="E365" i="32"/>
  <c r="D365" i="32"/>
  <c r="C365" i="32"/>
  <c r="L364" i="32"/>
  <c r="K364" i="32"/>
  <c r="J364" i="32"/>
  <c r="I364" i="32"/>
  <c r="H364" i="32"/>
  <c r="G364" i="32"/>
  <c r="F364" i="32"/>
  <c r="E364" i="32"/>
  <c r="D364" i="32"/>
  <c r="C364" i="32"/>
  <c r="L363" i="32"/>
  <c r="K363" i="32"/>
  <c r="J363" i="32"/>
  <c r="I363" i="32"/>
  <c r="H363" i="32"/>
  <c r="G363" i="32"/>
  <c r="F363" i="32"/>
  <c r="E363" i="32"/>
  <c r="D363" i="32"/>
  <c r="C363" i="32"/>
  <c r="L362" i="32"/>
  <c r="K362" i="32"/>
  <c r="J362" i="32"/>
  <c r="I362" i="32"/>
  <c r="H362" i="32"/>
  <c r="G362" i="32"/>
  <c r="F362" i="32"/>
  <c r="E362" i="32"/>
  <c r="D362" i="32"/>
  <c r="C362" i="32"/>
  <c r="L361" i="32"/>
  <c r="K361" i="32"/>
  <c r="J361" i="32"/>
  <c r="I361" i="32"/>
  <c r="H361" i="32"/>
  <c r="G361" i="32"/>
  <c r="F361" i="32"/>
  <c r="E361" i="32"/>
  <c r="D361" i="32"/>
  <c r="C361" i="32"/>
  <c r="L360" i="32"/>
  <c r="K360" i="32"/>
  <c r="J360" i="32"/>
  <c r="I360" i="32"/>
  <c r="H360" i="32"/>
  <c r="G360" i="32"/>
  <c r="F360" i="32"/>
  <c r="E360" i="32"/>
  <c r="D360" i="32"/>
  <c r="C360" i="32"/>
  <c r="L359" i="32"/>
  <c r="K359" i="32"/>
  <c r="J359" i="32"/>
  <c r="I359" i="32"/>
  <c r="H359" i="32"/>
  <c r="G359" i="32"/>
  <c r="F359" i="32"/>
  <c r="E359" i="32"/>
  <c r="D359" i="32"/>
  <c r="C359" i="32"/>
  <c r="L358" i="32"/>
  <c r="K358" i="32"/>
  <c r="J358" i="32"/>
  <c r="I358" i="32"/>
  <c r="H358" i="32"/>
  <c r="G358" i="32"/>
  <c r="F358" i="32"/>
  <c r="E358" i="32"/>
  <c r="D358" i="32"/>
  <c r="C358" i="32"/>
  <c r="L357" i="32"/>
  <c r="K357" i="32"/>
  <c r="J357" i="32"/>
  <c r="I357" i="32"/>
  <c r="H357" i="32"/>
  <c r="G357" i="32"/>
  <c r="F357" i="32"/>
  <c r="E357" i="32"/>
  <c r="D357" i="32"/>
  <c r="C357" i="32"/>
  <c r="L356" i="32"/>
  <c r="K356" i="32"/>
  <c r="J356" i="32"/>
  <c r="I356" i="32"/>
  <c r="H356" i="32"/>
  <c r="G356" i="32"/>
  <c r="F356" i="32"/>
  <c r="E356" i="32"/>
  <c r="D356" i="32"/>
  <c r="C356" i="32"/>
  <c r="L355" i="32"/>
  <c r="K355" i="32"/>
  <c r="J355" i="32"/>
  <c r="I355" i="32"/>
  <c r="H355" i="32"/>
  <c r="G355" i="32"/>
  <c r="F355" i="32"/>
  <c r="E355" i="32"/>
  <c r="D355" i="32"/>
  <c r="C355" i="32"/>
  <c r="L354" i="32"/>
  <c r="K354" i="32"/>
  <c r="J354" i="32"/>
  <c r="I354" i="32"/>
  <c r="H354" i="32"/>
  <c r="G354" i="32"/>
  <c r="F354" i="32"/>
  <c r="E354" i="32"/>
  <c r="D354" i="32"/>
  <c r="C354" i="32"/>
  <c r="L353" i="32"/>
  <c r="K353" i="32"/>
  <c r="J353" i="32"/>
  <c r="I353" i="32"/>
  <c r="H353" i="32"/>
  <c r="G353" i="32"/>
  <c r="F353" i="32"/>
  <c r="E353" i="32"/>
  <c r="D353" i="32"/>
  <c r="C353" i="32"/>
  <c r="L352" i="32"/>
  <c r="K352" i="32"/>
  <c r="J352" i="32"/>
  <c r="I352" i="32"/>
  <c r="H352" i="32"/>
  <c r="G352" i="32"/>
  <c r="F352" i="32"/>
  <c r="E352" i="32"/>
  <c r="D352" i="32"/>
  <c r="C352" i="32"/>
  <c r="L351" i="32"/>
  <c r="K351" i="32"/>
  <c r="J351" i="32"/>
  <c r="I351" i="32"/>
  <c r="H351" i="32"/>
  <c r="G351" i="32"/>
  <c r="F351" i="32"/>
  <c r="E351" i="32"/>
  <c r="D351" i="32"/>
  <c r="C351" i="32"/>
  <c r="L350" i="32"/>
  <c r="K350" i="32"/>
  <c r="J350" i="32"/>
  <c r="I350" i="32"/>
  <c r="H350" i="32"/>
  <c r="G350" i="32"/>
  <c r="F350" i="32"/>
  <c r="E350" i="32"/>
  <c r="D350" i="32"/>
  <c r="C350" i="32"/>
  <c r="L349" i="32"/>
  <c r="K349" i="32"/>
  <c r="J349" i="32"/>
  <c r="I349" i="32"/>
  <c r="H349" i="32"/>
  <c r="G349" i="32"/>
  <c r="F349" i="32"/>
  <c r="E349" i="32"/>
  <c r="D349" i="32"/>
  <c r="C349" i="32"/>
  <c r="L348" i="32"/>
  <c r="K348" i="32"/>
  <c r="J348" i="32"/>
  <c r="I348" i="32"/>
  <c r="H348" i="32"/>
  <c r="G348" i="32"/>
  <c r="F348" i="32"/>
  <c r="E348" i="32"/>
  <c r="D348" i="32"/>
  <c r="C348" i="32"/>
  <c r="L347" i="32"/>
  <c r="K347" i="32"/>
  <c r="J347" i="32"/>
  <c r="I347" i="32"/>
  <c r="H347" i="32"/>
  <c r="G347" i="32"/>
  <c r="F347" i="32"/>
  <c r="E347" i="32"/>
  <c r="D347" i="32"/>
  <c r="C347" i="32"/>
  <c r="L346" i="32"/>
  <c r="K346" i="32"/>
  <c r="J346" i="32"/>
  <c r="I346" i="32"/>
  <c r="H346" i="32"/>
  <c r="G346" i="32"/>
  <c r="F346" i="32"/>
  <c r="E346" i="32"/>
  <c r="D346" i="32"/>
  <c r="C346" i="32"/>
  <c r="L345" i="32"/>
  <c r="K345" i="32"/>
  <c r="J345" i="32"/>
  <c r="I345" i="32"/>
  <c r="H345" i="32"/>
  <c r="G345" i="32"/>
  <c r="F345" i="32"/>
  <c r="E345" i="32"/>
  <c r="D345" i="32"/>
  <c r="C345" i="32"/>
  <c r="L344" i="32"/>
  <c r="K344" i="32"/>
  <c r="J344" i="32"/>
  <c r="I344" i="32"/>
  <c r="H344" i="32"/>
  <c r="G344" i="32"/>
  <c r="F344" i="32"/>
  <c r="E344" i="32"/>
  <c r="D344" i="32"/>
  <c r="C344" i="32"/>
  <c r="L343" i="32"/>
  <c r="K343" i="32"/>
  <c r="J343" i="32"/>
  <c r="I343" i="32"/>
  <c r="H343" i="32"/>
  <c r="G343" i="32"/>
  <c r="F343" i="32"/>
  <c r="E343" i="32"/>
  <c r="D343" i="32"/>
  <c r="C343" i="32"/>
  <c r="L342" i="32"/>
  <c r="K342" i="32"/>
  <c r="J342" i="32"/>
  <c r="I342" i="32"/>
  <c r="H342" i="32"/>
  <c r="G342" i="32"/>
  <c r="F342" i="32"/>
  <c r="E342" i="32"/>
  <c r="D342" i="32"/>
  <c r="C342" i="32"/>
  <c r="L341" i="32"/>
  <c r="K341" i="32"/>
  <c r="J341" i="32"/>
  <c r="I341" i="32"/>
  <c r="H341" i="32"/>
  <c r="G341" i="32"/>
  <c r="F341" i="32"/>
  <c r="E341" i="32"/>
  <c r="D341" i="32"/>
  <c r="C341" i="32"/>
  <c r="L340" i="32"/>
  <c r="K340" i="32"/>
  <c r="J340" i="32"/>
  <c r="I340" i="32"/>
  <c r="H340" i="32"/>
  <c r="G340" i="32"/>
  <c r="F340" i="32"/>
  <c r="E340" i="32"/>
  <c r="D340" i="32"/>
  <c r="C340" i="32"/>
  <c r="L339" i="32"/>
  <c r="K339" i="32"/>
  <c r="J339" i="32"/>
  <c r="I339" i="32"/>
  <c r="H339" i="32"/>
  <c r="G339" i="32"/>
  <c r="F339" i="32"/>
  <c r="E339" i="32"/>
  <c r="D339" i="32"/>
  <c r="C339" i="32"/>
  <c r="L338" i="32"/>
  <c r="K338" i="32"/>
  <c r="J338" i="32"/>
  <c r="I338" i="32"/>
  <c r="H338" i="32"/>
  <c r="G338" i="32"/>
  <c r="F338" i="32"/>
  <c r="E338" i="32"/>
  <c r="D338" i="32"/>
  <c r="C338" i="32"/>
  <c r="L337" i="32"/>
  <c r="K337" i="32"/>
  <c r="J337" i="32"/>
  <c r="I337" i="32"/>
  <c r="H337" i="32"/>
  <c r="G337" i="32"/>
  <c r="F337" i="32"/>
  <c r="E337" i="32"/>
  <c r="D337" i="32"/>
  <c r="C337" i="32"/>
  <c r="L336" i="32"/>
  <c r="K336" i="32"/>
  <c r="J336" i="32"/>
  <c r="I336" i="32"/>
  <c r="H336" i="32"/>
  <c r="G336" i="32"/>
  <c r="F336" i="32"/>
  <c r="E336" i="32"/>
  <c r="D336" i="32"/>
  <c r="C336" i="32"/>
  <c r="L335" i="32"/>
  <c r="K335" i="32"/>
  <c r="J335" i="32"/>
  <c r="I335" i="32"/>
  <c r="H335" i="32"/>
  <c r="G335" i="32"/>
  <c r="F335" i="32"/>
  <c r="E335" i="32"/>
  <c r="D335" i="32"/>
  <c r="C335" i="32"/>
  <c r="L334" i="32"/>
  <c r="K334" i="32"/>
  <c r="J334" i="32"/>
  <c r="I334" i="32"/>
  <c r="H334" i="32"/>
  <c r="G334" i="32"/>
  <c r="F334" i="32"/>
  <c r="E334" i="32"/>
  <c r="D334" i="32"/>
  <c r="C334" i="32"/>
  <c r="L333" i="32"/>
  <c r="K333" i="32"/>
  <c r="J333" i="32"/>
  <c r="I333" i="32"/>
  <c r="H333" i="32"/>
  <c r="G333" i="32"/>
  <c r="F333" i="32"/>
  <c r="E333" i="32"/>
  <c r="D333" i="32"/>
  <c r="C333" i="32"/>
  <c r="L332" i="32"/>
  <c r="K332" i="32"/>
  <c r="J332" i="32"/>
  <c r="I332" i="32"/>
  <c r="H332" i="32"/>
  <c r="G332" i="32"/>
  <c r="F332" i="32"/>
  <c r="E332" i="32"/>
  <c r="D332" i="32"/>
  <c r="C332" i="32"/>
  <c r="L331" i="32"/>
  <c r="K331" i="32"/>
  <c r="J331" i="32"/>
  <c r="I331" i="32"/>
  <c r="H331" i="32"/>
  <c r="G331" i="32"/>
  <c r="F331" i="32"/>
  <c r="E331" i="32"/>
  <c r="D331" i="32"/>
  <c r="C331" i="32"/>
  <c r="L330" i="32"/>
  <c r="K330" i="32"/>
  <c r="J330" i="32"/>
  <c r="I330" i="32"/>
  <c r="H330" i="32"/>
  <c r="G330" i="32"/>
  <c r="F330" i="32"/>
  <c r="E330" i="32"/>
  <c r="D330" i="32"/>
  <c r="C330" i="32"/>
  <c r="L329" i="32"/>
  <c r="K329" i="32"/>
  <c r="J329" i="32"/>
  <c r="I329" i="32"/>
  <c r="H329" i="32"/>
  <c r="G329" i="32"/>
  <c r="F329" i="32"/>
  <c r="E329" i="32"/>
  <c r="D329" i="32"/>
  <c r="C329" i="32"/>
  <c r="L328" i="32"/>
  <c r="K328" i="32"/>
  <c r="J328" i="32"/>
  <c r="I328" i="32"/>
  <c r="H328" i="32"/>
  <c r="G328" i="32"/>
  <c r="F328" i="32"/>
  <c r="E328" i="32"/>
  <c r="D328" i="32"/>
  <c r="C328" i="32"/>
  <c r="L327" i="32"/>
  <c r="K327" i="32"/>
  <c r="J327" i="32"/>
  <c r="I327" i="32"/>
  <c r="H327" i="32"/>
  <c r="G327" i="32"/>
  <c r="F327" i="32"/>
  <c r="E327" i="32"/>
  <c r="D327" i="32"/>
  <c r="C327" i="32"/>
  <c r="L326" i="32"/>
  <c r="K326" i="32"/>
  <c r="J326" i="32"/>
  <c r="I326" i="32"/>
  <c r="H326" i="32"/>
  <c r="G326" i="32"/>
  <c r="F326" i="32"/>
  <c r="E326" i="32"/>
  <c r="D326" i="32"/>
  <c r="C326" i="32"/>
  <c r="L325" i="32"/>
  <c r="K325" i="32"/>
  <c r="J325" i="32"/>
  <c r="I325" i="32"/>
  <c r="H325" i="32"/>
  <c r="G325" i="32"/>
  <c r="F325" i="32"/>
  <c r="E325" i="32"/>
  <c r="D325" i="32"/>
  <c r="C325" i="32"/>
  <c r="L324" i="32"/>
  <c r="K324" i="32"/>
  <c r="J324" i="32"/>
  <c r="I324" i="32"/>
  <c r="H324" i="32"/>
  <c r="G324" i="32"/>
  <c r="F324" i="32"/>
  <c r="E324" i="32"/>
  <c r="D324" i="32"/>
  <c r="C324" i="32"/>
  <c r="L323" i="32"/>
  <c r="K323" i="32"/>
  <c r="J323" i="32"/>
  <c r="I323" i="32"/>
  <c r="H323" i="32"/>
  <c r="G323" i="32"/>
  <c r="F323" i="32"/>
  <c r="E323" i="32"/>
  <c r="D323" i="32"/>
  <c r="C323" i="32"/>
  <c r="L322" i="32"/>
  <c r="K322" i="32"/>
  <c r="J322" i="32"/>
  <c r="I322" i="32"/>
  <c r="H322" i="32"/>
  <c r="G322" i="32"/>
  <c r="F322" i="32"/>
  <c r="E322" i="32"/>
  <c r="D322" i="32"/>
  <c r="C322" i="32"/>
  <c r="L321" i="32"/>
  <c r="K321" i="32"/>
  <c r="J321" i="32"/>
  <c r="I321" i="32"/>
  <c r="H321" i="32"/>
  <c r="G321" i="32"/>
  <c r="F321" i="32"/>
  <c r="E321" i="32"/>
  <c r="D321" i="32"/>
  <c r="C321" i="32"/>
  <c r="L320" i="32"/>
  <c r="K320" i="32"/>
  <c r="J320" i="32"/>
  <c r="I320" i="32"/>
  <c r="H320" i="32"/>
  <c r="G320" i="32"/>
  <c r="F320" i="32"/>
  <c r="E320" i="32"/>
  <c r="D320" i="32"/>
  <c r="C320" i="32"/>
  <c r="L319" i="32"/>
  <c r="K319" i="32"/>
  <c r="J319" i="32"/>
  <c r="I319" i="32"/>
  <c r="H319" i="32"/>
  <c r="G319" i="32"/>
  <c r="F319" i="32"/>
  <c r="E319" i="32"/>
  <c r="D319" i="32"/>
  <c r="C319" i="32"/>
  <c r="L318" i="32"/>
  <c r="K318" i="32"/>
  <c r="J318" i="32"/>
  <c r="I318" i="32"/>
  <c r="H318" i="32"/>
  <c r="G318" i="32"/>
  <c r="F318" i="32"/>
  <c r="E318" i="32"/>
  <c r="D318" i="32"/>
  <c r="C318" i="32"/>
  <c r="L317" i="32"/>
  <c r="K317" i="32"/>
  <c r="J317" i="32"/>
  <c r="I317" i="32"/>
  <c r="H317" i="32"/>
  <c r="G317" i="32"/>
  <c r="F317" i="32"/>
  <c r="E317" i="32"/>
  <c r="D317" i="32"/>
  <c r="C317" i="32"/>
  <c r="L316" i="32"/>
  <c r="K316" i="32"/>
  <c r="J316" i="32"/>
  <c r="I316" i="32"/>
  <c r="H316" i="32"/>
  <c r="G316" i="32"/>
  <c r="F316" i="32"/>
  <c r="E316" i="32"/>
  <c r="D316" i="32"/>
  <c r="C316" i="32"/>
  <c r="L315" i="32"/>
  <c r="K315" i="32"/>
  <c r="J315" i="32"/>
  <c r="I315" i="32"/>
  <c r="H315" i="32"/>
  <c r="G315" i="32"/>
  <c r="F315" i="32"/>
  <c r="E315" i="32"/>
  <c r="D315" i="32"/>
  <c r="C315" i="32"/>
  <c r="L314" i="32"/>
  <c r="K314" i="32"/>
  <c r="J314" i="32"/>
  <c r="I314" i="32"/>
  <c r="H314" i="32"/>
  <c r="G314" i="32"/>
  <c r="F314" i="32"/>
  <c r="E314" i="32"/>
  <c r="D314" i="32"/>
  <c r="C314" i="32"/>
  <c r="L313" i="32"/>
  <c r="K313" i="32"/>
  <c r="J313" i="32"/>
  <c r="I313" i="32"/>
  <c r="H313" i="32"/>
  <c r="G313" i="32"/>
  <c r="F313" i="32"/>
  <c r="E313" i="32"/>
  <c r="D313" i="32"/>
  <c r="C313" i="32"/>
  <c r="L312" i="32"/>
  <c r="K312" i="32"/>
  <c r="J312" i="32"/>
  <c r="I312" i="32"/>
  <c r="H312" i="32"/>
  <c r="G312" i="32"/>
  <c r="F312" i="32"/>
  <c r="E312" i="32"/>
  <c r="D312" i="32"/>
  <c r="C312" i="32"/>
  <c r="L311" i="32"/>
  <c r="K311" i="32"/>
  <c r="J311" i="32"/>
  <c r="I311" i="32"/>
  <c r="H311" i="32"/>
  <c r="G311" i="32"/>
  <c r="F311" i="32"/>
  <c r="E311" i="32"/>
  <c r="D311" i="32"/>
  <c r="C311" i="32"/>
  <c r="L310" i="32"/>
  <c r="K310" i="32"/>
  <c r="J310" i="32"/>
  <c r="I310" i="32"/>
  <c r="H310" i="32"/>
  <c r="G310" i="32"/>
  <c r="F310" i="32"/>
  <c r="E310" i="32"/>
  <c r="D310" i="32"/>
  <c r="C310" i="32"/>
  <c r="L309" i="32"/>
  <c r="K309" i="32"/>
  <c r="J309" i="32"/>
  <c r="I309" i="32"/>
  <c r="H309" i="32"/>
  <c r="G309" i="32"/>
  <c r="F309" i="32"/>
  <c r="E309" i="32"/>
  <c r="D309" i="32"/>
  <c r="C309" i="32"/>
  <c r="L308" i="32"/>
  <c r="K308" i="32"/>
  <c r="J308" i="32"/>
  <c r="I308" i="32"/>
  <c r="H308" i="32"/>
  <c r="G308" i="32"/>
  <c r="F308" i="32"/>
  <c r="E308" i="32"/>
  <c r="D308" i="32"/>
  <c r="C308" i="32"/>
  <c r="L307" i="32"/>
  <c r="K307" i="32"/>
  <c r="J307" i="32"/>
  <c r="I307" i="32"/>
  <c r="H307" i="32"/>
  <c r="G307" i="32"/>
  <c r="F307" i="32"/>
  <c r="E307" i="32"/>
  <c r="D307" i="32"/>
  <c r="C307" i="32"/>
  <c r="L306" i="32"/>
  <c r="K306" i="32"/>
  <c r="J306" i="32"/>
  <c r="I306" i="32"/>
  <c r="H306" i="32"/>
  <c r="G306" i="32"/>
  <c r="F306" i="32"/>
  <c r="E306" i="32"/>
  <c r="D306" i="32"/>
  <c r="C306" i="32"/>
  <c r="L305" i="32"/>
  <c r="K305" i="32"/>
  <c r="J305" i="32"/>
  <c r="I305" i="32"/>
  <c r="H305" i="32"/>
  <c r="G305" i="32"/>
  <c r="F305" i="32"/>
  <c r="E305" i="32"/>
  <c r="D305" i="32"/>
  <c r="C305" i="32"/>
  <c r="L304" i="32"/>
  <c r="K304" i="32"/>
  <c r="J304" i="32"/>
  <c r="I304" i="32"/>
  <c r="H304" i="32"/>
  <c r="G304" i="32"/>
  <c r="F304" i="32"/>
  <c r="E304" i="32"/>
  <c r="D304" i="32"/>
  <c r="C304" i="32"/>
  <c r="L303" i="32"/>
  <c r="K303" i="32"/>
  <c r="J303" i="32"/>
  <c r="I303" i="32"/>
  <c r="H303" i="32"/>
  <c r="G303" i="32"/>
  <c r="F303" i="32"/>
  <c r="E303" i="32"/>
  <c r="D303" i="32"/>
  <c r="C303" i="32"/>
  <c r="L302" i="32"/>
  <c r="K302" i="32"/>
  <c r="J302" i="32"/>
  <c r="I302" i="32"/>
  <c r="H302" i="32"/>
  <c r="G302" i="32"/>
  <c r="F302" i="32"/>
  <c r="E302" i="32"/>
  <c r="D302" i="32"/>
  <c r="C302" i="32"/>
  <c r="L301" i="32"/>
  <c r="K301" i="32"/>
  <c r="J301" i="32"/>
  <c r="I301" i="32"/>
  <c r="H301" i="32"/>
  <c r="G301" i="32"/>
  <c r="F301" i="32"/>
  <c r="E301" i="32"/>
  <c r="D301" i="32"/>
  <c r="C301" i="32"/>
  <c r="L300" i="32"/>
  <c r="K300" i="32"/>
  <c r="J300" i="32"/>
  <c r="I300" i="32"/>
  <c r="H300" i="32"/>
  <c r="G300" i="32"/>
  <c r="F300" i="32"/>
  <c r="E300" i="32"/>
  <c r="D300" i="32"/>
  <c r="C300" i="32"/>
  <c r="L299" i="32"/>
  <c r="K299" i="32"/>
  <c r="J299" i="32"/>
  <c r="I299" i="32"/>
  <c r="H299" i="32"/>
  <c r="G299" i="32"/>
  <c r="F299" i="32"/>
  <c r="E299" i="32"/>
  <c r="D299" i="32"/>
  <c r="C299" i="32"/>
  <c r="L298" i="32"/>
  <c r="K298" i="32"/>
  <c r="J298" i="32"/>
  <c r="I298" i="32"/>
  <c r="H298" i="32"/>
  <c r="G298" i="32"/>
  <c r="F298" i="32"/>
  <c r="E298" i="32"/>
  <c r="D298" i="32"/>
  <c r="C298" i="32"/>
  <c r="L297" i="32"/>
  <c r="K297" i="32"/>
  <c r="J297" i="32"/>
  <c r="I297" i="32"/>
  <c r="H297" i="32"/>
  <c r="G297" i="32"/>
  <c r="F297" i="32"/>
  <c r="E297" i="32"/>
  <c r="D297" i="32"/>
  <c r="C297" i="32"/>
  <c r="L296" i="32"/>
  <c r="K296" i="32"/>
  <c r="J296" i="32"/>
  <c r="I296" i="32"/>
  <c r="H296" i="32"/>
  <c r="G296" i="32"/>
  <c r="F296" i="32"/>
  <c r="E296" i="32"/>
  <c r="D296" i="32"/>
  <c r="C296" i="32"/>
  <c r="L295" i="32"/>
  <c r="K295" i="32"/>
  <c r="J295" i="32"/>
  <c r="I295" i="32"/>
  <c r="H295" i="32"/>
  <c r="G295" i="32"/>
  <c r="F295" i="32"/>
  <c r="E295" i="32"/>
  <c r="D295" i="32"/>
  <c r="C295" i="32"/>
  <c r="L294" i="32"/>
  <c r="K294" i="32"/>
  <c r="J294" i="32"/>
  <c r="I294" i="32"/>
  <c r="H294" i="32"/>
  <c r="G294" i="32"/>
  <c r="F294" i="32"/>
  <c r="E294" i="32"/>
  <c r="D294" i="32"/>
  <c r="C294" i="32"/>
  <c r="L293" i="32"/>
  <c r="K293" i="32"/>
  <c r="J293" i="32"/>
  <c r="I293" i="32"/>
  <c r="H293" i="32"/>
  <c r="G293" i="32"/>
  <c r="F293" i="32"/>
  <c r="E293" i="32"/>
  <c r="D293" i="32"/>
  <c r="C293" i="32"/>
  <c r="L292" i="32"/>
  <c r="K292" i="32"/>
  <c r="J292" i="32"/>
  <c r="I292" i="32"/>
  <c r="H292" i="32"/>
  <c r="G292" i="32"/>
  <c r="F292" i="32"/>
  <c r="E292" i="32"/>
  <c r="D292" i="32"/>
  <c r="C292" i="32"/>
  <c r="L291" i="32"/>
  <c r="K291" i="32"/>
  <c r="J291" i="32"/>
  <c r="I291" i="32"/>
  <c r="H291" i="32"/>
  <c r="G291" i="32"/>
  <c r="F291" i="32"/>
  <c r="E291" i="32"/>
  <c r="D291" i="32"/>
  <c r="C291" i="32"/>
  <c r="L290" i="32"/>
  <c r="K290" i="32"/>
  <c r="J290" i="32"/>
  <c r="I290" i="32"/>
  <c r="H290" i="32"/>
  <c r="G290" i="32"/>
  <c r="F290" i="32"/>
  <c r="E290" i="32"/>
  <c r="D290" i="32"/>
  <c r="C290" i="32"/>
  <c r="L289" i="32"/>
  <c r="K289" i="32"/>
  <c r="J289" i="32"/>
  <c r="I289" i="32"/>
  <c r="H289" i="32"/>
  <c r="G289" i="32"/>
  <c r="F289" i="32"/>
  <c r="E289" i="32"/>
  <c r="D289" i="32"/>
  <c r="C289" i="32"/>
  <c r="L288" i="32"/>
  <c r="K288" i="32"/>
  <c r="J288" i="32"/>
  <c r="I288" i="32"/>
  <c r="H288" i="32"/>
  <c r="G288" i="32"/>
  <c r="F288" i="32"/>
  <c r="E288" i="32"/>
  <c r="D288" i="32"/>
  <c r="C288" i="32"/>
  <c r="L287" i="32"/>
  <c r="K287" i="32"/>
  <c r="J287" i="32"/>
  <c r="I287" i="32"/>
  <c r="H287" i="32"/>
  <c r="G287" i="32"/>
  <c r="F287" i="32"/>
  <c r="E287" i="32"/>
  <c r="D287" i="32"/>
  <c r="C287" i="32"/>
  <c r="L286" i="32"/>
  <c r="K286" i="32"/>
  <c r="J286" i="32"/>
  <c r="I286" i="32"/>
  <c r="H286" i="32"/>
  <c r="G286" i="32"/>
  <c r="F286" i="32"/>
  <c r="E286" i="32"/>
  <c r="D286" i="32"/>
  <c r="C286" i="32"/>
  <c r="L285" i="32"/>
  <c r="K285" i="32"/>
  <c r="J285" i="32"/>
  <c r="I285" i="32"/>
  <c r="H285" i="32"/>
  <c r="G285" i="32"/>
  <c r="F285" i="32"/>
  <c r="E285" i="32"/>
  <c r="D285" i="32"/>
  <c r="C285" i="32"/>
  <c r="L284" i="32"/>
  <c r="K284" i="32"/>
  <c r="J284" i="32"/>
  <c r="I284" i="32"/>
  <c r="H284" i="32"/>
  <c r="G284" i="32"/>
  <c r="F284" i="32"/>
  <c r="E284" i="32"/>
  <c r="D284" i="32"/>
  <c r="C284" i="32"/>
  <c r="L283" i="32"/>
  <c r="K283" i="32"/>
  <c r="J283" i="32"/>
  <c r="I283" i="32"/>
  <c r="H283" i="32"/>
  <c r="G283" i="32"/>
  <c r="F283" i="32"/>
  <c r="E283" i="32"/>
  <c r="D283" i="32"/>
  <c r="C283" i="32"/>
  <c r="L282" i="32"/>
  <c r="K282" i="32"/>
  <c r="J282" i="32"/>
  <c r="I282" i="32"/>
  <c r="H282" i="32"/>
  <c r="G282" i="32"/>
  <c r="F282" i="32"/>
  <c r="E282" i="32"/>
  <c r="D282" i="32"/>
  <c r="C282" i="32"/>
  <c r="L281" i="32"/>
  <c r="K281" i="32"/>
  <c r="J281" i="32"/>
  <c r="I281" i="32"/>
  <c r="H281" i="32"/>
  <c r="G281" i="32"/>
  <c r="F281" i="32"/>
  <c r="E281" i="32"/>
  <c r="D281" i="32"/>
  <c r="C281" i="32"/>
  <c r="L280" i="32"/>
  <c r="K280" i="32"/>
  <c r="J280" i="32"/>
  <c r="I280" i="32"/>
  <c r="H280" i="32"/>
  <c r="G280" i="32"/>
  <c r="F280" i="32"/>
  <c r="E280" i="32"/>
  <c r="D280" i="32"/>
  <c r="C280" i="32"/>
  <c r="L279" i="32"/>
  <c r="K279" i="32"/>
  <c r="J279" i="32"/>
  <c r="I279" i="32"/>
  <c r="H279" i="32"/>
  <c r="G279" i="32"/>
  <c r="F279" i="32"/>
  <c r="E279" i="32"/>
  <c r="D279" i="32"/>
  <c r="C279" i="32"/>
  <c r="L278" i="32"/>
  <c r="K278" i="32"/>
  <c r="J278" i="32"/>
  <c r="I278" i="32"/>
  <c r="H278" i="32"/>
  <c r="G278" i="32"/>
  <c r="F278" i="32"/>
  <c r="E278" i="32"/>
  <c r="D278" i="32"/>
  <c r="C278" i="32"/>
  <c r="L277" i="32"/>
  <c r="K277" i="32"/>
  <c r="J277" i="32"/>
  <c r="I277" i="32"/>
  <c r="H277" i="32"/>
  <c r="G277" i="32"/>
  <c r="F277" i="32"/>
  <c r="E277" i="32"/>
  <c r="D277" i="32"/>
  <c r="C277" i="32"/>
  <c r="L276" i="32"/>
  <c r="K276" i="32"/>
  <c r="J276" i="32"/>
  <c r="I276" i="32"/>
  <c r="H276" i="32"/>
  <c r="G276" i="32"/>
  <c r="F276" i="32"/>
  <c r="E276" i="32"/>
  <c r="D276" i="32"/>
  <c r="C276" i="32"/>
  <c r="L275" i="32"/>
  <c r="K275" i="32"/>
  <c r="J275" i="32"/>
  <c r="I275" i="32"/>
  <c r="H275" i="32"/>
  <c r="G275" i="32"/>
  <c r="F275" i="32"/>
  <c r="E275" i="32"/>
  <c r="D275" i="32"/>
  <c r="C275" i="32"/>
  <c r="L274" i="32"/>
  <c r="K274" i="32"/>
  <c r="J274" i="32"/>
  <c r="I274" i="32"/>
  <c r="H274" i="32"/>
  <c r="G274" i="32"/>
  <c r="F274" i="32"/>
  <c r="E274" i="32"/>
  <c r="D274" i="32"/>
  <c r="C274" i="32"/>
  <c r="L273" i="32"/>
  <c r="K273" i="32"/>
  <c r="J273" i="32"/>
  <c r="I273" i="32"/>
  <c r="H273" i="32"/>
  <c r="G273" i="32"/>
  <c r="F273" i="32"/>
  <c r="E273" i="32"/>
  <c r="D273" i="32"/>
  <c r="C273" i="32"/>
  <c r="L272" i="32"/>
  <c r="K272" i="32"/>
  <c r="J272" i="32"/>
  <c r="I272" i="32"/>
  <c r="H272" i="32"/>
  <c r="G272" i="32"/>
  <c r="F272" i="32"/>
  <c r="E272" i="32"/>
  <c r="D272" i="32"/>
  <c r="C272" i="32"/>
  <c r="L271" i="32"/>
  <c r="K271" i="32"/>
  <c r="J271" i="32"/>
  <c r="I271" i="32"/>
  <c r="H271" i="32"/>
  <c r="G271" i="32"/>
  <c r="F271" i="32"/>
  <c r="E271" i="32"/>
  <c r="D271" i="32"/>
  <c r="C271" i="32"/>
  <c r="L270" i="32"/>
  <c r="K270" i="32"/>
  <c r="J270" i="32"/>
  <c r="I270" i="32"/>
  <c r="H270" i="32"/>
  <c r="G270" i="32"/>
  <c r="F270" i="32"/>
  <c r="E270" i="32"/>
  <c r="D270" i="32"/>
  <c r="C270" i="32"/>
  <c r="L269" i="32"/>
  <c r="K269" i="32"/>
  <c r="J269" i="32"/>
  <c r="I269" i="32"/>
  <c r="H269" i="32"/>
  <c r="G269" i="32"/>
  <c r="F269" i="32"/>
  <c r="E269" i="32"/>
  <c r="D269" i="32"/>
  <c r="C269" i="32"/>
  <c r="L268" i="32"/>
  <c r="K268" i="32"/>
  <c r="J268" i="32"/>
  <c r="I268" i="32"/>
  <c r="H268" i="32"/>
  <c r="G268" i="32"/>
  <c r="F268" i="32"/>
  <c r="E268" i="32"/>
  <c r="D268" i="32"/>
  <c r="C268" i="32"/>
  <c r="L267" i="32"/>
  <c r="K267" i="32"/>
  <c r="J267" i="32"/>
  <c r="I267" i="32"/>
  <c r="H267" i="32"/>
  <c r="G267" i="32"/>
  <c r="F267" i="32"/>
  <c r="E267" i="32"/>
  <c r="D267" i="32"/>
  <c r="C267" i="32"/>
  <c r="L266" i="32"/>
  <c r="K266" i="32"/>
  <c r="J266" i="32"/>
  <c r="I266" i="32"/>
  <c r="H266" i="32"/>
  <c r="G266" i="32"/>
  <c r="F266" i="32"/>
  <c r="E266" i="32"/>
  <c r="D266" i="32"/>
  <c r="C266" i="32"/>
  <c r="L265" i="32"/>
  <c r="K265" i="32"/>
  <c r="J265" i="32"/>
  <c r="I265" i="32"/>
  <c r="H265" i="32"/>
  <c r="G265" i="32"/>
  <c r="F265" i="32"/>
  <c r="E265" i="32"/>
  <c r="D265" i="32"/>
  <c r="C265" i="32"/>
  <c r="L264" i="32"/>
  <c r="K264" i="32"/>
  <c r="J264" i="32"/>
  <c r="I264" i="32"/>
  <c r="H264" i="32"/>
  <c r="G264" i="32"/>
  <c r="F264" i="32"/>
  <c r="E264" i="32"/>
  <c r="D264" i="32"/>
  <c r="C264" i="32"/>
  <c r="L263" i="32"/>
  <c r="K263" i="32"/>
  <c r="J263" i="32"/>
  <c r="I263" i="32"/>
  <c r="H263" i="32"/>
  <c r="G263" i="32"/>
  <c r="F263" i="32"/>
  <c r="E263" i="32"/>
  <c r="D263" i="32"/>
  <c r="C263" i="32"/>
  <c r="L262" i="32"/>
  <c r="K262" i="32"/>
  <c r="J262" i="32"/>
  <c r="I262" i="32"/>
  <c r="H262" i="32"/>
  <c r="G262" i="32"/>
  <c r="F262" i="32"/>
  <c r="E262" i="32"/>
  <c r="D262" i="32"/>
  <c r="C262" i="32"/>
  <c r="L261" i="32"/>
  <c r="K261" i="32"/>
  <c r="J261" i="32"/>
  <c r="I261" i="32"/>
  <c r="H261" i="32"/>
  <c r="G261" i="32"/>
  <c r="F261" i="32"/>
  <c r="E261" i="32"/>
  <c r="D261" i="32"/>
  <c r="C261" i="32"/>
  <c r="L260" i="32"/>
  <c r="K260" i="32"/>
  <c r="J260" i="32"/>
  <c r="I260" i="32"/>
  <c r="H260" i="32"/>
  <c r="G260" i="32"/>
  <c r="F260" i="32"/>
  <c r="E260" i="32"/>
  <c r="D260" i="32"/>
  <c r="C260" i="32"/>
  <c r="L259" i="32"/>
  <c r="K259" i="32"/>
  <c r="J259" i="32"/>
  <c r="I259" i="32"/>
  <c r="H259" i="32"/>
  <c r="G259" i="32"/>
  <c r="F259" i="32"/>
  <c r="E259" i="32"/>
  <c r="D259" i="32"/>
  <c r="C259" i="32"/>
  <c r="L258" i="32"/>
  <c r="K258" i="32"/>
  <c r="J258" i="32"/>
  <c r="I258" i="32"/>
  <c r="H258" i="32"/>
  <c r="G258" i="32"/>
  <c r="F258" i="32"/>
  <c r="E258" i="32"/>
  <c r="D258" i="32"/>
  <c r="C258" i="32"/>
  <c r="L257" i="32"/>
  <c r="K257" i="32"/>
  <c r="J257" i="32"/>
  <c r="I257" i="32"/>
  <c r="H257" i="32"/>
  <c r="G257" i="32"/>
  <c r="F257" i="32"/>
  <c r="E257" i="32"/>
  <c r="D257" i="32"/>
  <c r="C257" i="32"/>
  <c r="L256" i="32"/>
  <c r="K256" i="32"/>
  <c r="J256" i="32"/>
  <c r="I256" i="32"/>
  <c r="H256" i="32"/>
  <c r="G256" i="32"/>
  <c r="F256" i="32"/>
  <c r="E256" i="32"/>
  <c r="D256" i="32"/>
  <c r="C256" i="32"/>
  <c r="L255" i="32"/>
  <c r="K255" i="32"/>
  <c r="J255" i="32"/>
  <c r="I255" i="32"/>
  <c r="H255" i="32"/>
  <c r="G255" i="32"/>
  <c r="F255" i="32"/>
  <c r="E255" i="32"/>
  <c r="D255" i="32"/>
  <c r="C255" i="32"/>
  <c r="L254" i="32"/>
  <c r="K254" i="32"/>
  <c r="J254" i="32"/>
  <c r="I254" i="32"/>
  <c r="H254" i="32"/>
  <c r="G254" i="32"/>
  <c r="F254" i="32"/>
  <c r="E254" i="32"/>
  <c r="D254" i="32"/>
  <c r="C254" i="32"/>
  <c r="L253" i="32"/>
  <c r="K253" i="32"/>
  <c r="J253" i="32"/>
  <c r="I253" i="32"/>
  <c r="H253" i="32"/>
  <c r="G253" i="32"/>
  <c r="F253" i="32"/>
  <c r="E253" i="32"/>
  <c r="D253" i="32"/>
  <c r="C253" i="32"/>
  <c r="L252" i="32"/>
  <c r="K252" i="32"/>
  <c r="J252" i="32"/>
  <c r="I252" i="32"/>
  <c r="H252" i="32"/>
  <c r="G252" i="32"/>
  <c r="F252" i="32"/>
  <c r="E252" i="32"/>
  <c r="D252" i="32"/>
  <c r="C252" i="32"/>
  <c r="L251" i="32"/>
  <c r="K251" i="32"/>
  <c r="J251" i="32"/>
  <c r="I251" i="32"/>
  <c r="H251" i="32"/>
  <c r="G251" i="32"/>
  <c r="F251" i="32"/>
  <c r="E251" i="32"/>
  <c r="D251" i="32"/>
  <c r="C251" i="32"/>
  <c r="L250" i="32"/>
  <c r="K250" i="32"/>
  <c r="J250" i="32"/>
  <c r="I250" i="32"/>
  <c r="H250" i="32"/>
  <c r="G250" i="32"/>
  <c r="F250" i="32"/>
  <c r="E250" i="32"/>
  <c r="D250" i="32"/>
  <c r="C250" i="32"/>
  <c r="L249" i="32"/>
  <c r="K249" i="32"/>
  <c r="J249" i="32"/>
  <c r="I249" i="32"/>
  <c r="H249" i="32"/>
  <c r="G249" i="32"/>
  <c r="F249" i="32"/>
  <c r="E249" i="32"/>
  <c r="D249" i="32"/>
  <c r="C249" i="32"/>
  <c r="L248" i="32"/>
  <c r="K248" i="32"/>
  <c r="J248" i="32"/>
  <c r="I248" i="32"/>
  <c r="H248" i="32"/>
  <c r="G248" i="32"/>
  <c r="F248" i="32"/>
  <c r="E248" i="32"/>
  <c r="D248" i="32"/>
  <c r="C248" i="32"/>
  <c r="L247" i="32"/>
  <c r="K247" i="32"/>
  <c r="J247" i="32"/>
  <c r="I247" i="32"/>
  <c r="H247" i="32"/>
  <c r="G247" i="32"/>
  <c r="F247" i="32"/>
  <c r="E247" i="32"/>
  <c r="D247" i="32"/>
  <c r="C247" i="32"/>
  <c r="L246" i="32"/>
  <c r="K246" i="32"/>
  <c r="J246" i="32"/>
  <c r="I246" i="32"/>
  <c r="H246" i="32"/>
  <c r="G246" i="32"/>
  <c r="F246" i="32"/>
  <c r="E246" i="32"/>
  <c r="D246" i="32"/>
  <c r="C246" i="32"/>
  <c r="L245" i="32"/>
  <c r="K245" i="32"/>
  <c r="J245" i="32"/>
  <c r="I245" i="32"/>
  <c r="H245" i="32"/>
  <c r="G245" i="32"/>
  <c r="F245" i="32"/>
  <c r="E245" i="32"/>
  <c r="D245" i="32"/>
  <c r="C245" i="32"/>
  <c r="L244" i="32"/>
  <c r="K244" i="32"/>
  <c r="J244" i="32"/>
  <c r="I244" i="32"/>
  <c r="H244" i="32"/>
  <c r="G244" i="32"/>
  <c r="F244" i="32"/>
  <c r="E244" i="32"/>
  <c r="D244" i="32"/>
  <c r="C244" i="32"/>
  <c r="L243" i="32"/>
  <c r="K243" i="32"/>
  <c r="J243" i="32"/>
  <c r="I243" i="32"/>
  <c r="H243" i="32"/>
  <c r="G243" i="32"/>
  <c r="F243" i="32"/>
  <c r="E243" i="32"/>
  <c r="D243" i="32"/>
  <c r="C243" i="32"/>
  <c r="L242" i="32"/>
  <c r="K242" i="32"/>
  <c r="J242" i="32"/>
  <c r="I242" i="32"/>
  <c r="H242" i="32"/>
  <c r="G242" i="32"/>
  <c r="F242" i="32"/>
  <c r="E242" i="32"/>
  <c r="D242" i="32"/>
  <c r="C242" i="32"/>
  <c r="L241" i="32"/>
  <c r="K241" i="32"/>
  <c r="J241" i="32"/>
  <c r="I241" i="32"/>
  <c r="H241" i="32"/>
  <c r="G241" i="32"/>
  <c r="F241" i="32"/>
  <c r="E241" i="32"/>
  <c r="D241" i="32"/>
  <c r="C241" i="32"/>
  <c r="L240" i="32"/>
  <c r="K240" i="32"/>
  <c r="J240" i="32"/>
  <c r="I240" i="32"/>
  <c r="H240" i="32"/>
  <c r="G240" i="32"/>
  <c r="F240" i="32"/>
  <c r="E240" i="32"/>
  <c r="D240" i="32"/>
  <c r="C240" i="32"/>
  <c r="L239" i="32"/>
  <c r="K239" i="32"/>
  <c r="J239" i="32"/>
  <c r="I239" i="32"/>
  <c r="H239" i="32"/>
  <c r="G239" i="32"/>
  <c r="F239" i="32"/>
  <c r="E239" i="32"/>
  <c r="D239" i="32"/>
  <c r="C239" i="32"/>
  <c r="L238" i="32"/>
  <c r="K238" i="32"/>
  <c r="J238" i="32"/>
  <c r="I238" i="32"/>
  <c r="H238" i="32"/>
  <c r="G238" i="32"/>
  <c r="F238" i="32"/>
  <c r="E238" i="32"/>
  <c r="D238" i="32"/>
  <c r="C238" i="32"/>
  <c r="L237" i="32"/>
  <c r="K237" i="32"/>
  <c r="J237" i="32"/>
  <c r="I237" i="32"/>
  <c r="H237" i="32"/>
  <c r="G237" i="32"/>
  <c r="F237" i="32"/>
  <c r="E237" i="32"/>
  <c r="D237" i="32"/>
  <c r="C237" i="32"/>
  <c r="L236" i="32"/>
  <c r="K236" i="32"/>
  <c r="J236" i="32"/>
  <c r="I236" i="32"/>
  <c r="H236" i="32"/>
  <c r="G236" i="32"/>
  <c r="F236" i="32"/>
  <c r="E236" i="32"/>
  <c r="D236" i="32"/>
  <c r="C236" i="32"/>
  <c r="L235" i="32"/>
  <c r="K235" i="32"/>
  <c r="J235" i="32"/>
  <c r="I235" i="32"/>
  <c r="H235" i="32"/>
  <c r="G235" i="32"/>
  <c r="F235" i="32"/>
  <c r="E235" i="32"/>
  <c r="D235" i="32"/>
  <c r="C235" i="32"/>
  <c r="L234" i="32"/>
  <c r="K234" i="32"/>
  <c r="J234" i="32"/>
  <c r="I234" i="32"/>
  <c r="H234" i="32"/>
  <c r="G234" i="32"/>
  <c r="F234" i="32"/>
  <c r="E234" i="32"/>
  <c r="D234" i="32"/>
  <c r="C234" i="32"/>
  <c r="L233" i="32"/>
  <c r="K233" i="32"/>
  <c r="J233" i="32"/>
  <c r="I233" i="32"/>
  <c r="H233" i="32"/>
  <c r="G233" i="32"/>
  <c r="F233" i="32"/>
  <c r="E233" i="32"/>
  <c r="D233" i="32"/>
  <c r="C233" i="32"/>
  <c r="L232" i="32"/>
  <c r="K232" i="32"/>
  <c r="J232" i="32"/>
  <c r="I232" i="32"/>
  <c r="H232" i="32"/>
  <c r="G232" i="32"/>
  <c r="F232" i="32"/>
  <c r="E232" i="32"/>
  <c r="D232" i="32"/>
  <c r="C232" i="32"/>
  <c r="L231" i="32"/>
  <c r="K231" i="32"/>
  <c r="J231" i="32"/>
  <c r="I231" i="32"/>
  <c r="H231" i="32"/>
  <c r="G231" i="32"/>
  <c r="F231" i="32"/>
  <c r="E231" i="32"/>
  <c r="D231" i="32"/>
  <c r="C231" i="32"/>
  <c r="L230" i="32"/>
  <c r="K230" i="32"/>
  <c r="J230" i="32"/>
  <c r="I230" i="32"/>
  <c r="H230" i="32"/>
  <c r="G230" i="32"/>
  <c r="F230" i="32"/>
  <c r="E230" i="32"/>
  <c r="D230" i="32"/>
  <c r="C230" i="32"/>
  <c r="L229" i="32"/>
  <c r="K229" i="32"/>
  <c r="J229" i="32"/>
  <c r="I229" i="32"/>
  <c r="H229" i="32"/>
  <c r="G229" i="32"/>
  <c r="F229" i="32"/>
  <c r="E229" i="32"/>
  <c r="D229" i="32"/>
  <c r="C229" i="32"/>
  <c r="L228" i="32"/>
  <c r="K228" i="32"/>
  <c r="J228" i="32"/>
  <c r="I228" i="32"/>
  <c r="H228" i="32"/>
  <c r="G228" i="32"/>
  <c r="F228" i="32"/>
  <c r="E228" i="32"/>
  <c r="D228" i="32"/>
  <c r="C228" i="32"/>
  <c r="L227" i="32"/>
  <c r="K227" i="32"/>
  <c r="J227" i="32"/>
  <c r="I227" i="32"/>
  <c r="H227" i="32"/>
  <c r="G227" i="32"/>
  <c r="F227" i="32"/>
  <c r="E227" i="32"/>
  <c r="D227" i="32"/>
  <c r="C227" i="32"/>
  <c r="L226" i="32"/>
  <c r="K226" i="32"/>
  <c r="J226" i="32"/>
  <c r="I226" i="32"/>
  <c r="H226" i="32"/>
  <c r="G226" i="32"/>
  <c r="F226" i="32"/>
  <c r="E226" i="32"/>
  <c r="D226" i="32"/>
  <c r="C226" i="32"/>
  <c r="L225" i="32"/>
  <c r="K225" i="32"/>
  <c r="J225" i="32"/>
  <c r="I225" i="32"/>
  <c r="H225" i="32"/>
  <c r="G225" i="32"/>
  <c r="F225" i="32"/>
  <c r="E225" i="32"/>
  <c r="D225" i="32"/>
  <c r="C225" i="32"/>
  <c r="L224" i="32"/>
  <c r="K224" i="32"/>
  <c r="J224" i="32"/>
  <c r="I224" i="32"/>
  <c r="H224" i="32"/>
  <c r="G224" i="32"/>
  <c r="F224" i="32"/>
  <c r="E224" i="32"/>
  <c r="D224" i="32"/>
  <c r="C224" i="32"/>
  <c r="L223" i="32"/>
  <c r="K223" i="32"/>
  <c r="J223" i="32"/>
  <c r="I223" i="32"/>
  <c r="H223" i="32"/>
  <c r="G223" i="32"/>
  <c r="F223" i="32"/>
  <c r="E223" i="32"/>
  <c r="D223" i="32"/>
  <c r="C223" i="32"/>
  <c r="L222" i="32"/>
  <c r="K222" i="32"/>
  <c r="J222" i="32"/>
  <c r="I222" i="32"/>
  <c r="H222" i="32"/>
  <c r="G222" i="32"/>
  <c r="F222" i="32"/>
  <c r="E222" i="32"/>
  <c r="D222" i="32"/>
  <c r="C222" i="32"/>
  <c r="L221" i="32"/>
  <c r="K221" i="32"/>
  <c r="J221" i="32"/>
  <c r="I221" i="32"/>
  <c r="H221" i="32"/>
  <c r="G221" i="32"/>
  <c r="F221" i="32"/>
  <c r="E221" i="32"/>
  <c r="D221" i="32"/>
  <c r="C221" i="32"/>
  <c r="L220" i="32"/>
  <c r="K220" i="32"/>
  <c r="J220" i="32"/>
  <c r="I220" i="32"/>
  <c r="H220" i="32"/>
  <c r="G220" i="32"/>
  <c r="F220" i="32"/>
  <c r="E220" i="32"/>
  <c r="D220" i="32"/>
  <c r="C220" i="32"/>
  <c r="L219" i="32"/>
  <c r="K219" i="32"/>
  <c r="J219" i="32"/>
  <c r="I219" i="32"/>
  <c r="H219" i="32"/>
  <c r="G219" i="32"/>
  <c r="F219" i="32"/>
  <c r="E219" i="32"/>
  <c r="D219" i="32"/>
  <c r="C219" i="32"/>
  <c r="L218" i="32"/>
  <c r="K218" i="32"/>
  <c r="J218" i="32"/>
  <c r="I218" i="32"/>
  <c r="H218" i="32"/>
  <c r="G218" i="32"/>
  <c r="F218" i="32"/>
  <c r="E218" i="32"/>
  <c r="D218" i="32"/>
  <c r="C218" i="32"/>
  <c r="L217" i="32"/>
  <c r="K217" i="32"/>
  <c r="J217" i="32"/>
  <c r="I217" i="32"/>
  <c r="H217" i="32"/>
  <c r="G217" i="32"/>
  <c r="F217" i="32"/>
  <c r="E217" i="32"/>
  <c r="D217" i="32"/>
  <c r="C217" i="32"/>
  <c r="L216" i="32"/>
  <c r="K216" i="32"/>
  <c r="J216" i="32"/>
  <c r="I216" i="32"/>
  <c r="H216" i="32"/>
  <c r="G216" i="32"/>
  <c r="F216" i="32"/>
  <c r="E216" i="32"/>
  <c r="D216" i="32"/>
  <c r="C216" i="32"/>
  <c r="L215" i="32"/>
  <c r="K215" i="32"/>
  <c r="J215" i="32"/>
  <c r="I215" i="32"/>
  <c r="H215" i="32"/>
  <c r="G215" i="32"/>
  <c r="F215" i="32"/>
  <c r="E215" i="32"/>
  <c r="D215" i="32"/>
  <c r="C215" i="32"/>
  <c r="L214" i="32"/>
  <c r="K214" i="32"/>
  <c r="J214" i="32"/>
  <c r="I214" i="32"/>
  <c r="H214" i="32"/>
  <c r="G214" i="32"/>
  <c r="F214" i="32"/>
  <c r="E214" i="32"/>
  <c r="D214" i="32"/>
  <c r="C214" i="32"/>
  <c r="L213" i="32"/>
  <c r="K213" i="32"/>
  <c r="J213" i="32"/>
  <c r="I213" i="32"/>
  <c r="H213" i="32"/>
  <c r="G213" i="32"/>
  <c r="F213" i="32"/>
  <c r="E213" i="32"/>
  <c r="D213" i="32"/>
  <c r="C213" i="32"/>
  <c r="L212" i="32"/>
  <c r="K212" i="32"/>
  <c r="J212" i="32"/>
  <c r="I212" i="32"/>
  <c r="H212" i="32"/>
  <c r="G212" i="32"/>
  <c r="F212" i="32"/>
  <c r="E212" i="32"/>
  <c r="D212" i="32"/>
  <c r="C212" i="32"/>
  <c r="L211" i="32"/>
  <c r="K211" i="32"/>
  <c r="J211" i="32"/>
  <c r="I211" i="32"/>
  <c r="H211" i="32"/>
  <c r="G211" i="32"/>
  <c r="F211" i="32"/>
  <c r="E211" i="32"/>
  <c r="D211" i="32"/>
  <c r="C211" i="32"/>
  <c r="L210" i="32"/>
  <c r="K210" i="32"/>
  <c r="J210" i="32"/>
  <c r="I210" i="32"/>
  <c r="H210" i="32"/>
  <c r="G210" i="32"/>
  <c r="F210" i="32"/>
  <c r="E210" i="32"/>
  <c r="D210" i="32"/>
  <c r="C210" i="32"/>
  <c r="L209" i="32"/>
  <c r="K209" i="32"/>
  <c r="J209" i="32"/>
  <c r="I209" i="32"/>
  <c r="H209" i="32"/>
  <c r="G209" i="32"/>
  <c r="F209" i="32"/>
  <c r="E209" i="32"/>
  <c r="D209" i="32"/>
  <c r="C209" i="32"/>
  <c r="L208" i="32"/>
  <c r="K208" i="32"/>
  <c r="J208" i="32"/>
  <c r="I208" i="32"/>
  <c r="H208" i="32"/>
  <c r="G208" i="32"/>
  <c r="F208" i="32"/>
  <c r="E208" i="32"/>
  <c r="D208" i="32"/>
  <c r="C208" i="32"/>
  <c r="L207" i="32"/>
  <c r="K207" i="32"/>
  <c r="J207" i="32"/>
  <c r="I207" i="32"/>
  <c r="H207" i="32"/>
  <c r="G207" i="32"/>
  <c r="F207" i="32"/>
  <c r="E207" i="32"/>
  <c r="D207" i="32"/>
  <c r="C207" i="32"/>
  <c r="L206" i="32"/>
  <c r="K206" i="32"/>
  <c r="J206" i="32"/>
  <c r="I206" i="32"/>
  <c r="H206" i="32"/>
  <c r="G206" i="32"/>
  <c r="F206" i="32"/>
  <c r="E206" i="32"/>
  <c r="D206" i="32"/>
  <c r="C206" i="32"/>
  <c r="L205" i="32"/>
  <c r="K205" i="32"/>
  <c r="J205" i="32"/>
  <c r="I205" i="32"/>
  <c r="H205" i="32"/>
  <c r="G205" i="32"/>
  <c r="F205" i="32"/>
  <c r="E205" i="32"/>
  <c r="D205" i="32"/>
  <c r="C205" i="32"/>
  <c r="L204" i="32"/>
  <c r="K204" i="32"/>
  <c r="J204" i="32"/>
  <c r="I204" i="32"/>
  <c r="H204" i="32"/>
  <c r="G204" i="32"/>
  <c r="F204" i="32"/>
  <c r="E204" i="32"/>
  <c r="D204" i="32"/>
  <c r="C204" i="32"/>
  <c r="L203" i="32"/>
  <c r="K203" i="32"/>
  <c r="J203" i="32"/>
  <c r="I203" i="32"/>
  <c r="H203" i="32"/>
  <c r="G203" i="32"/>
  <c r="F203" i="32"/>
  <c r="E203" i="32"/>
  <c r="D203" i="32"/>
  <c r="C203" i="32"/>
  <c r="L202" i="32"/>
  <c r="K202" i="32"/>
  <c r="J202" i="32"/>
  <c r="I202" i="32"/>
  <c r="H202" i="32"/>
  <c r="G202" i="32"/>
  <c r="F202" i="32"/>
  <c r="E202" i="32"/>
  <c r="D202" i="32"/>
  <c r="C202" i="32"/>
  <c r="L201" i="32"/>
  <c r="K201" i="32"/>
  <c r="J201" i="32"/>
  <c r="I201" i="32"/>
  <c r="H201" i="32"/>
  <c r="G201" i="32"/>
  <c r="F201" i="32"/>
  <c r="E201" i="32"/>
  <c r="D201" i="32"/>
  <c r="C201" i="32"/>
  <c r="L200" i="32"/>
  <c r="K200" i="32"/>
  <c r="J200" i="32"/>
  <c r="I200" i="32"/>
  <c r="H200" i="32"/>
  <c r="G200" i="32"/>
  <c r="F200" i="32"/>
  <c r="E200" i="32"/>
  <c r="D200" i="32"/>
  <c r="L199" i="32"/>
  <c r="K199" i="32"/>
  <c r="J199" i="32"/>
  <c r="I199" i="32"/>
  <c r="H199" i="32"/>
  <c r="G199" i="32"/>
  <c r="F199" i="32"/>
  <c r="E199" i="32"/>
  <c r="D199" i="32"/>
  <c r="C199" i="32"/>
  <c r="L198" i="32"/>
  <c r="K198" i="32"/>
  <c r="J198" i="32"/>
  <c r="I198" i="32"/>
  <c r="H198" i="32"/>
  <c r="G198" i="32"/>
  <c r="F198" i="32"/>
  <c r="E198" i="32"/>
  <c r="D198" i="32"/>
  <c r="C198" i="32"/>
  <c r="L197" i="32"/>
  <c r="K197" i="32"/>
  <c r="J197" i="32"/>
  <c r="I197" i="32"/>
  <c r="H197" i="32"/>
  <c r="G197" i="32"/>
  <c r="F197" i="32"/>
  <c r="E197" i="32"/>
  <c r="D197" i="32"/>
  <c r="C197" i="32"/>
  <c r="L196" i="32"/>
  <c r="K196" i="32"/>
  <c r="J196" i="32"/>
  <c r="I196" i="32"/>
  <c r="H196" i="32"/>
  <c r="G196" i="32"/>
  <c r="F196" i="32"/>
  <c r="E196" i="32"/>
  <c r="D196" i="32"/>
  <c r="C196" i="32"/>
  <c r="L195" i="32"/>
  <c r="K195" i="32"/>
  <c r="J195" i="32"/>
  <c r="I195" i="32"/>
  <c r="H195" i="32"/>
  <c r="G195" i="32"/>
  <c r="F195" i="32"/>
  <c r="E195" i="32"/>
  <c r="D195" i="32"/>
  <c r="C195" i="32"/>
  <c r="L194" i="32"/>
  <c r="K194" i="32"/>
  <c r="J194" i="32"/>
  <c r="I194" i="32"/>
  <c r="H194" i="32"/>
  <c r="G194" i="32"/>
  <c r="F194" i="32"/>
  <c r="E194" i="32"/>
  <c r="D194" i="32"/>
  <c r="C194" i="32"/>
  <c r="L193" i="32"/>
  <c r="K193" i="32"/>
  <c r="J193" i="32"/>
  <c r="I193" i="32"/>
  <c r="H193" i="32"/>
  <c r="G193" i="32"/>
  <c r="F193" i="32"/>
  <c r="E193" i="32"/>
  <c r="D193" i="32"/>
  <c r="C193" i="32"/>
  <c r="L192" i="32"/>
  <c r="K192" i="32"/>
  <c r="J192" i="32"/>
  <c r="I192" i="32"/>
  <c r="H192" i="32"/>
  <c r="G192" i="32"/>
  <c r="F192" i="32"/>
  <c r="E192" i="32"/>
  <c r="D192" i="32"/>
  <c r="C192" i="32"/>
  <c r="L191" i="32"/>
  <c r="K191" i="32"/>
  <c r="J191" i="32"/>
  <c r="I191" i="32"/>
  <c r="H191" i="32"/>
  <c r="G191" i="32"/>
  <c r="F191" i="32"/>
  <c r="E191" i="32"/>
  <c r="D191" i="32"/>
  <c r="C191" i="32"/>
  <c r="L190" i="32"/>
  <c r="K190" i="32"/>
  <c r="J190" i="32"/>
  <c r="I190" i="32"/>
  <c r="H190" i="32"/>
  <c r="G190" i="32"/>
  <c r="F190" i="32"/>
  <c r="E190" i="32"/>
  <c r="D190" i="32"/>
  <c r="C190" i="32"/>
  <c r="L189" i="32"/>
  <c r="K189" i="32"/>
  <c r="J189" i="32"/>
  <c r="I189" i="32"/>
  <c r="H189" i="32"/>
  <c r="G189" i="32"/>
  <c r="F189" i="32"/>
  <c r="E189" i="32"/>
  <c r="D189" i="32"/>
  <c r="C189" i="32"/>
  <c r="L188" i="32"/>
  <c r="K188" i="32"/>
  <c r="J188" i="32"/>
  <c r="I188" i="32"/>
  <c r="H188" i="32"/>
  <c r="G188" i="32"/>
  <c r="F188" i="32"/>
  <c r="E188" i="32"/>
  <c r="D188" i="32"/>
  <c r="C188" i="32"/>
  <c r="L187" i="32"/>
  <c r="K187" i="32"/>
  <c r="J187" i="32"/>
  <c r="I187" i="32"/>
  <c r="H187" i="32"/>
  <c r="G187" i="32"/>
  <c r="F187" i="32"/>
  <c r="E187" i="32"/>
  <c r="D187" i="32"/>
  <c r="C187" i="32"/>
  <c r="L186" i="32"/>
  <c r="K186" i="32"/>
  <c r="J186" i="32"/>
  <c r="I186" i="32"/>
  <c r="H186" i="32"/>
  <c r="G186" i="32"/>
  <c r="F186" i="32"/>
  <c r="E186" i="32"/>
  <c r="D186" i="32"/>
  <c r="C186" i="32"/>
  <c r="L185" i="32"/>
  <c r="K185" i="32"/>
  <c r="J185" i="32"/>
  <c r="I185" i="32"/>
  <c r="H185" i="32"/>
  <c r="G185" i="32"/>
  <c r="F185" i="32"/>
  <c r="E185" i="32"/>
  <c r="D185" i="32"/>
  <c r="C185" i="32"/>
  <c r="L184" i="32"/>
  <c r="K184" i="32"/>
  <c r="J184" i="32"/>
  <c r="I184" i="32"/>
  <c r="H184" i="32"/>
  <c r="G184" i="32"/>
  <c r="F184" i="32"/>
  <c r="E184" i="32"/>
  <c r="D184" i="32"/>
  <c r="C184" i="32"/>
  <c r="L183" i="32"/>
  <c r="K183" i="32"/>
  <c r="J183" i="32"/>
  <c r="I183" i="32"/>
  <c r="H183" i="32"/>
  <c r="G183" i="32"/>
  <c r="F183" i="32"/>
  <c r="E183" i="32"/>
  <c r="D183" i="32"/>
  <c r="C183" i="32"/>
  <c r="L182" i="32"/>
  <c r="K182" i="32"/>
  <c r="J182" i="32"/>
  <c r="I182" i="32"/>
  <c r="H182" i="32"/>
  <c r="G182" i="32"/>
  <c r="F182" i="32"/>
  <c r="E182" i="32"/>
  <c r="D182" i="32"/>
  <c r="C182" i="32"/>
  <c r="L181" i="32"/>
  <c r="K181" i="32"/>
  <c r="J181" i="32"/>
  <c r="I181" i="32"/>
  <c r="H181" i="32"/>
  <c r="G181" i="32"/>
  <c r="F181" i="32"/>
  <c r="E181" i="32"/>
  <c r="D181" i="32"/>
  <c r="C181" i="32"/>
  <c r="L180" i="32"/>
  <c r="K180" i="32"/>
  <c r="J180" i="32"/>
  <c r="I180" i="32"/>
  <c r="H180" i="32"/>
  <c r="G180" i="32"/>
  <c r="F180" i="32"/>
  <c r="E180" i="32"/>
  <c r="D180" i="32"/>
  <c r="C180" i="32"/>
  <c r="L179" i="32"/>
  <c r="K179" i="32"/>
  <c r="J179" i="32"/>
  <c r="I179" i="32"/>
  <c r="H179" i="32"/>
  <c r="G179" i="32"/>
  <c r="F179" i="32"/>
  <c r="E179" i="32"/>
  <c r="D179" i="32"/>
  <c r="C179" i="32"/>
  <c r="L178" i="32"/>
  <c r="K178" i="32"/>
  <c r="J178" i="32"/>
  <c r="I178" i="32"/>
  <c r="H178" i="32"/>
  <c r="G178" i="32"/>
  <c r="F178" i="32"/>
  <c r="E178" i="32"/>
  <c r="D178" i="32"/>
  <c r="C178" i="32"/>
  <c r="L177" i="32"/>
  <c r="K177" i="32"/>
  <c r="J177" i="32"/>
  <c r="I177" i="32"/>
  <c r="H177" i="32"/>
  <c r="G177" i="32"/>
  <c r="F177" i="32"/>
  <c r="E177" i="32"/>
  <c r="D177" i="32"/>
  <c r="C177" i="32"/>
  <c r="L176" i="32"/>
  <c r="K176" i="32"/>
  <c r="J176" i="32"/>
  <c r="I176" i="32"/>
  <c r="H176" i="32"/>
  <c r="G176" i="32"/>
  <c r="F176" i="32"/>
  <c r="E176" i="32"/>
  <c r="D176" i="32"/>
  <c r="C176" i="32"/>
  <c r="L175" i="32"/>
  <c r="K175" i="32"/>
  <c r="J175" i="32"/>
  <c r="I175" i="32"/>
  <c r="H175" i="32"/>
  <c r="G175" i="32"/>
  <c r="F175" i="32"/>
  <c r="E175" i="32"/>
  <c r="D175" i="32"/>
  <c r="C175" i="32"/>
  <c r="L174" i="32"/>
  <c r="K174" i="32"/>
  <c r="J174" i="32"/>
  <c r="I174" i="32"/>
  <c r="H174" i="32"/>
  <c r="G174" i="32"/>
  <c r="F174" i="32"/>
  <c r="E174" i="32"/>
  <c r="D174" i="32"/>
  <c r="C174" i="32"/>
  <c r="L173" i="32"/>
  <c r="K173" i="32"/>
  <c r="J173" i="32"/>
  <c r="I173" i="32"/>
  <c r="H173" i="32"/>
  <c r="G173" i="32"/>
  <c r="F173" i="32"/>
  <c r="E173" i="32"/>
  <c r="D173" i="32"/>
  <c r="C173" i="32"/>
  <c r="L172" i="32"/>
  <c r="K172" i="32"/>
  <c r="J172" i="32"/>
  <c r="I172" i="32"/>
  <c r="H172" i="32"/>
  <c r="G172" i="32"/>
  <c r="F172" i="32"/>
  <c r="E172" i="32"/>
  <c r="D172" i="32"/>
  <c r="C172" i="32"/>
  <c r="L171" i="32"/>
  <c r="K171" i="32"/>
  <c r="J171" i="32"/>
  <c r="I171" i="32"/>
  <c r="H171" i="32"/>
  <c r="G171" i="32"/>
  <c r="F171" i="32"/>
  <c r="E171" i="32"/>
  <c r="D171" i="32"/>
  <c r="C171" i="32"/>
  <c r="L170" i="32"/>
  <c r="K170" i="32"/>
  <c r="J170" i="32"/>
  <c r="I170" i="32"/>
  <c r="H170" i="32"/>
  <c r="G170" i="32"/>
  <c r="F170" i="32"/>
  <c r="E170" i="32"/>
  <c r="D170" i="32"/>
  <c r="C170" i="32"/>
  <c r="L169" i="32"/>
  <c r="K169" i="32"/>
  <c r="J169" i="32"/>
  <c r="I169" i="32"/>
  <c r="H169" i="32"/>
  <c r="G169" i="32"/>
  <c r="F169" i="32"/>
  <c r="E169" i="32"/>
  <c r="D169" i="32"/>
  <c r="C169" i="32"/>
  <c r="L168" i="32"/>
  <c r="K168" i="32"/>
  <c r="J168" i="32"/>
  <c r="I168" i="32"/>
  <c r="H168" i="32"/>
  <c r="G168" i="32"/>
  <c r="F168" i="32"/>
  <c r="E168" i="32"/>
  <c r="D168" i="32"/>
  <c r="C168" i="32"/>
  <c r="L167" i="32"/>
  <c r="K167" i="32"/>
  <c r="J167" i="32"/>
  <c r="I167" i="32"/>
  <c r="H167" i="32"/>
  <c r="G167" i="32"/>
  <c r="F167" i="32"/>
  <c r="E167" i="32"/>
  <c r="D167" i="32"/>
  <c r="C167" i="32"/>
  <c r="L166" i="32"/>
  <c r="K166" i="32"/>
  <c r="J166" i="32"/>
  <c r="I166" i="32"/>
  <c r="H166" i="32"/>
  <c r="G166" i="32"/>
  <c r="F166" i="32"/>
  <c r="E166" i="32"/>
  <c r="D166" i="32"/>
  <c r="C166" i="32"/>
  <c r="L165" i="32"/>
  <c r="K165" i="32"/>
  <c r="J165" i="32"/>
  <c r="I165" i="32"/>
  <c r="H165" i="32"/>
  <c r="G165" i="32"/>
  <c r="F165" i="32"/>
  <c r="E165" i="32"/>
  <c r="D165" i="32"/>
  <c r="C165" i="32"/>
  <c r="L164" i="32"/>
  <c r="K164" i="32"/>
  <c r="J164" i="32"/>
  <c r="I164" i="32"/>
  <c r="H164" i="32"/>
  <c r="G164" i="32"/>
  <c r="F164" i="32"/>
  <c r="E164" i="32"/>
  <c r="D164" i="32"/>
  <c r="C164" i="32"/>
  <c r="L163" i="32"/>
  <c r="K163" i="32"/>
  <c r="J163" i="32"/>
  <c r="I163" i="32"/>
  <c r="H163" i="32"/>
  <c r="G163" i="32"/>
  <c r="F163" i="32"/>
  <c r="E163" i="32"/>
  <c r="D163" i="32"/>
  <c r="C163" i="32"/>
  <c r="L162" i="32"/>
  <c r="K162" i="32"/>
  <c r="J162" i="32"/>
  <c r="I162" i="32"/>
  <c r="H162" i="32"/>
  <c r="G162" i="32"/>
  <c r="F162" i="32"/>
  <c r="E162" i="32"/>
  <c r="D162" i="32"/>
  <c r="C162" i="32"/>
  <c r="L161" i="32"/>
  <c r="K161" i="32"/>
  <c r="J161" i="32"/>
  <c r="I161" i="32"/>
  <c r="H161" i="32"/>
  <c r="G161" i="32"/>
  <c r="F161" i="32"/>
  <c r="E161" i="32"/>
  <c r="D161" i="32"/>
  <c r="C161" i="32"/>
  <c r="L160" i="32"/>
  <c r="K160" i="32"/>
  <c r="J160" i="32"/>
  <c r="I160" i="32"/>
  <c r="H160" i="32"/>
  <c r="G160" i="32"/>
  <c r="F160" i="32"/>
  <c r="E160" i="32"/>
  <c r="D160" i="32"/>
  <c r="C160" i="32"/>
  <c r="L159" i="32"/>
  <c r="K159" i="32"/>
  <c r="J159" i="32"/>
  <c r="I159" i="32"/>
  <c r="H159" i="32"/>
  <c r="G159" i="32"/>
  <c r="F159" i="32"/>
  <c r="E159" i="32"/>
  <c r="D159" i="32"/>
  <c r="C159" i="32"/>
  <c r="L158" i="32"/>
  <c r="K158" i="32"/>
  <c r="J158" i="32"/>
  <c r="I158" i="32"/>
  <c r="H158" i="32"/>
  <c r="G158" i="32"/>
  <c r="F158" i="32"/>
  <c r="E158" i="32"/>
  <c r="D158" i="32"/>
  <c r="C158" i="32"/>
  <c r="L157" i="32"/>
  <c r="K157" i="32"/>
  <c r="J157" i="32"/>
  <c r="I157" i="32"/>
  <c r="H157" i="32"/>
  <c r="G157" i="32"/>
  <c r="F157" i="32"/>
  <c r="E157" i="32"/>
  <c r="D157" i="32"/>
  <c r="L156" i="32"/>
  <c r="K156" i="32"/>
  <c r="J156" i="32"/>
  <c r="I156" i="32"/>
  <c r="H156" i="32"/>
  <c r="G156" i="32"/>
  <c r="F156" i="32"/>
  <c r="E156" i="32"/>
  <c r="D156" i="32"/>
  <c r="C156" i="32"/>
  <c r="L155" i="32"/>
  <c r="K155" i="32"/>
  <c r="J155" i="32"/>
  <c r="I155" i="32"/>
  <c r="H155" i="32"/>
  <c r="G155" i="32"/>
  <c r="F155" i="32"/>
  <c r="E155" i="32"/>
  <c r="D155" i="32"/>
  <c r="C155" i="32"/>
  <c r="L154" i="32"/>
  <c r="K154" i="32"/>
  <c r="J154" i="32"/>
  <c r="I154" i="32"/>
  <c r="H154" i="32"/>
  <c r="G154" i="32"/>
  <c r="F154" i="32"/>
  <c r="E154" i="32"/>
  <c r="D154" i="32"/>
  <c r="C154" i="32"/>
  <c r="L153" i="32"/>
  <c r="K153" i="32"/>
  <c r="J153" i="32"/>
  <c r="I153" i="32"/>
  <c r="H153" i="32"/>
  <c r="G153" i="32"/>
  <c r="F153" i="32"/>
  <c r="E153" i="32"/>
  <c r="D153" i="32"/>
  <c r="C153" i="32"/>
  <c r="L152" i="32"/>
  <c r="K152" i="32"/>
  <c r="J152" i="32"/>
  <c r="I152" i="32"/>
  <c r="H152" i="32"/>
  <c r="G152" i="32"/>
  <c r="F152" i="32"/>
  <c r="E152" i="32"/>
  <c r="D152" i="32"/>
  <c r="C152" i="32"/>
  <c r="L151" i="32"/>
  <c r="K151" i="32"/>
  <c r="J151" i="32"/>
  <c r="I151" i="32"/>
  <c r="H151" i="32"/>
  <c r="G151" i="32"/>
  <c r="F151" i="32"/>
  <c r="E151" i="32"/>
  <c r="D151" i="32"/>
  <c r="C151" i="32"/>
  <c r="L150" i="32"/>
  <c r="K150" i="32"/>
  <c r="J150" i="32"/>
  <c r="I150" i="32"/>
  <c r="H150" i="32"/>
  <c r="G150" i="32"/>
  <c r="F150" i="32"/>
  <c r="E150" i="32"/>
  <c r="D150" i="32"/>
  <c r="C150" i="32"/>
  <c r="L149" i="32"/>
  <c r="K149" i="32"/>
  <c r="J149" i="32"/>
  <c r="I149" i="32"/>
  <c r="H149" i="32"/>
  <c r="G149" i="32"/>
  <c r="F149" i="32"/>
  <c r="E149" i="32"/>
  <c r="D149" i="32"/>
  <c r="L148" i="32"/>
  <c r="K148" i="32"/>
  <c r="J148" i="32"/>
  <c r="I148" i="32"/>
  <c r="H148" i="32"/>
  <c r="G148" i="32"/>
  <c r="F148" i="32"/>
  <c r="E148" i="32"/>
  <c r="D148" i="32"/>
  <c r="C148" i="32"/>
  <c r="L147" i="32"/>
  <c r="K147" i="32"/>
  <c r="J147" i="32"/>
  <c r="I147" i="32"/>
  <c r="H147" i="32"/>
  <c r="G147" i="32"/>
  <c r="F147" i="32"/>
  <c r="E147" i="32"/>
  <c r="D147" i="32"/>
  <c r="C147" i="32"/>
  <c r="L146" i="32"/>
  <c r="K146" i="32"/>
  <c r="J146" i="32"/>
  <c r="I146" i="32"/>
  <c r="H146" i="32"/>
  <c r="G146" i="32"/>
  <c r="F146" i="32"/>
  <c r="E146" i="32"/>
  <c r="D146" i="32"/>
  <c r="C146" i="32"/>
  <c r="L145" i="32"/>
  <c r="K145" i="32"/>
  <c r="J145" i="32"/>
  <c r="I145" i="32"/>
  <c r="H145" i="32"/>
  <c r="G145" i="32"/>
  <c r="F145" i="32"/>
  <c r="E145" i="32"/>
  <c r="D145" i="32"/>
  <c r="C145" i="32"/>
  <c r="L144" i="32"/>
  <c r="K144" i="32"/>
  <c r="J144" i="32"/>
  <c r="I144" i="32"/>
  <c r="H144" i="32"/>
  <c r="G144" i="32"/>
  <c r="F144" i="32"/>
  <c r="E144" i="32"/>
  <c r="D144" i="32"/>
  <c r="C144" i="32"/>
  <c r="L143" i="32"/>
  <c r="K143" i="32"/>
  <c r="J143" i="32"/>
  <c r="I143" i="32"/>
  <c r="H143" i="32"/>
  <c r="G143" i="32"/>
  <c r="F143" i="32"/>
  <c r="E143" i="32"/>
  <c r="D143" i="32"/>
  <c r="L142" i="32"/>
  <c r="K142" i="32"/>
  <c r="J142" i="32"/>
  <c r="I142" i="32"/>
  <c r="H142" i="32"/>
  <c r="G142" i="32"/>
  <c r="F142" i="32"/>
  <c r="E142" i="32"/>
  <c r="D142" i="32"/>
  <c r="C142" i="32"/>
  <c r="L141" i="32"/>
  <c r="K141" i="32"/>
  <c r="J141" i="32"/>
  <c r="I141" i="32"/>
  <c r="H141" i="32"/>
  <c r="G141" i="32"/>
  <c r="F141" i="32"/>
  <c r="E141" i="32"/>
  <c r="D141" i="32"/>
  <c r="C141" i="32"/>
  <c r="L140" i="32"/>
  <c r="K140" i="32"/>
  <c r="J140" i="32"/>
  <c r="I140" i="32"/>
  <c r="H140" i="32"/>
  <c r="G140" i="32"/>
  <c r="F140" i="32"/>
  <c r="E140" i="32"/>
  <c r="D140" i="32"/>
  <c r="C140" i="32"/>
  <c r="L139" i="32"/>
  <c r="K139" i="32"/>
  <c r="J139" i="32"/>
  <c r="I139" i="32"/>
  <c r="H139" i="32"/>
  <c r="G139" i="32"/>
  <c r="F139" i="32"/>
  <c r="E139" i="32"/>
  <c r="D139" i="32"/>
  <c r="C139" i="32"/>
  <c r="L138" i="32"/>
  <c r="K138" i="32"/>
  <c r="J138" i="32"/>
  <c r="I138" i="32"/>
  <c r="H138" i="32"/>
  <c r="G138" i="32"/>
  <c r="F138" i="32"/>
  <c r="E138" i="32"/>
  <c r="D138" i="32"/>
  <c r="C138" i="32"/>
  <c r="L137" i="32"/>
  <c r="K137" i="32"/>
  <c r="J137" i="32"/>
  <c r="I137" i="32"/>
  <c r="H137" i="32"/>
  <c r="G137" i="32"/>
  <c r="F137" i="32"/>
  <c r="E137" i="32"/>
  <c r="D137" i="32"/>
  <c r="C137" i="32"/>
  <c r="L136" i="32"/>
  <c r="K136" i="32"/>
  <c r="J136" i="32"/>
  <c r="I136" i="32"/>
  <c r="H136" i="32"/>
  <c r="G136" i="32"/>
  <c r="F136" i="32"/>
  <c r="E136" i="32"/>
  <c r="D136" i="32"/>
  <c r="C136" i="32"/>
  <c r="L135" i="32"/>
  <c r="K135" i="32"/>
  <c r="J135" i="32"/>
  <c r="I135" i="32"/>
  <c r="H135" i="32"/>
  <c r="G135" i="32"/>
  <c r="F135" i="32"/>
  <c r="E135" i="32"/>
  <c r="D135" i="32"/>
  <c r="L134" i="32"/>
  <c r="K134" i="32"/>
  <c r="J134" i="32"/>
  <c r="I134" i="32"/>
  <c r="H134" i="32"/>
  <c r="G134" i="32"/>
  <c r="F134" i="32"/>
  <c r="E134" i="32"/>
  <c r="D134" i="32"/>
  <c r="C134" i="32"/>
  <c r="L133" i="32"/>
  <c r="K133" i="32"/>
  <c r="J133" i="32"/>
  <c r="I133" i="32"/>
  <c r="H133" i="32"/>
  <c r="G133" i="32"/>
  <c r="F133" i="32"/>
  <c r="E133" i="32"/>
  <c r="D133" i="32"/>
  <c r="C133" i="32"/>
  <c r="L132" i="32"/>
  <c r="K132" i="32"/>
  <c r="J132" i="32"/>
  <c r="I132" i="32"/>
  <c r="H132" i="32"/>
  <c r="G132" i="32"/>
  <c r="F132" i="32"/>
  <c r="E132" i="32"/>
  <c r="D132" i="32"/>
  <c r="C132" i="32"/>
  <c r="L131" i="32"/>
  <c r="K131" i="32"/>
  <c r="J131" i="32"/>
  <c r="I131" i="32"/>
  <c r="H131" i="32"/>
  <c r="G131" i="32"/>
  <c r="F131" i="32"/>
  <c r="E131" i="32"/>
  <c r="D131" i="32"/>
  <c r="C131" i="32"/>
  <c r="L130" i="32"/>
  <c r="K130" i="32"/>
  <c r="J130" i="32"/>
  <c r="I130" i="32"/>
  <c r="H130" i="32"/>
  <c r="G130" i="32"/>
  <c r="F130" i="32"/>
  <c r="E130" i="32"/>
  <c r="D130" i="32"/>
  <c r="C130" i="32"/>
  <c r="L129" i="32"/>
  <c r="K129" i="32"/>
  <c r="J129" i="32"/>
  <c r="I129" i="32"/>
  <c r="H129" i="32"/>
  <c r="G129" i="32"/>
  <c r="F129" i="32"/>
  <c r="E129" i="32"/>
  <c r="D129" i="32"/>
  <c r="C129" i="32"/>
  <c r="L128" i="32"/>
  <c r="K128" i="32"/>
  <c r="J128" i="32"/>
  <c r="I128" i="32"/>
  <c r="H128" i="32"/>
  <c r="G128" i="32"/>
  <c r="F128" i="32"/>
  <c r="E128" i="32"/>
  <c r="D128" i="32"/>
  <c r="C128" i="32"/>
  <c r="L127" i="32"/>
  <c r="K127" i="32"/>
  <c r="J127" i="32"/>
  <c r="I127" i="32"/>
  <c r="H127" i="32"/>
  <c r="G127" i="32"/>
  <c r="F127" i="32"/>
  <c r="E127" i="32"/>
  <c r="D127" i="32"/>
  <c r="C127" i="32"/>
  <c r="L126" i="32"/>
  <c r="K126" i="32"/>
  <c r="J126" i="32"/>
  <c r="I126" i="32"/>
  <c r="H126" i="32"/>
  <c r="G126" i="32"/>
  <c r="F126" i="32"/>
  <c r="E126" i="32"/>
  <c r="D126" i="32"/>
  <c r="C126" i="32"/>
  <c r="L125" i="32"/>
  <c r="K125" i="32"/>
  <c r="J125" i="32"/>
  <c r="I125" i="32"/>
  <c r="H125" i="32"/>
  <c r="G125" i="32"/>
  <c r="F125" i="32"/>
  <c r="E125" i="32"/>
  <c r="D125" i="32"/>
  <c r="C125" i="32"/>
  <c r="L124" i="32"/>
  <c r="K124" i="32"/>
  <c r="J124" i="32"/>
  <c r="I124" i="32"/>
  <c r="H124" i="32"/>
  <c r="G124" i="32"/>
  <c r="F124" i="32"/>
  <c r="E124" i="32"/>
  <c r="D124" i="32"/>
  <c r="C124" i="32"/>
  <c r="L123" i="32"/>
  <c r="K123" i="32"/>
  <c r="J123" i="32"/>
  <c r="I123" i="32"/>
  <c r="H123" i="32"/>
  <c r="G123" i="32"/>
  <c r="F123" i="32"/>
  <c r="E123" i="32"/>
  <c r="D123" i="32"/>
  <c r="C123" i="32"/>
  <c r="L122" i="32"/>
  <c r="K122" i="32"/>
  <c r="J122" i="32"/>
  <c r="I122" i="32"/>
  <c r="H122" i="32"/>
  <c r="G122" i="32"/>
  <c r="F122" i="32"/>
  <c r="E122" i="32"/>
  <c r="D122" i="32"/>
  <c r="C122" i="32"/>
  <c r="L121" i="32"/>
  <c r="K121" i="32"/>
  <c r="J121" i="32"/>
  <c r="I121" i="32"/>
  <c r="H121" i="32"/>
  <c r="G121" i="32"/>
  <c r="F121" i="32"/>
  <c r="E121" i="32"/>
  <c r="D121" i="32"/>
  <c r="C121" i="32"/>
  <c r="L120" i="32"/>
  <c r="K120" i="32"/>
  <c r="J120" i="32"/>
  <c r="I120" i="32"/>
  <c r="H120" i="32"/>
  <c r="G120" i="32"/>
  <c r="F120" i="32"/>
  <c r="E120" i="32"/>
  <c r="D120" i="32"/>
  <c r="C120" i="32"/>
  <c r="L119" i="32"/>
  <c r="K119" i="32"/>
  <c r="J119" i="32"/>
  <c r="I119" i="32"/>
  <c r="H119" i="32"/>
  <c r="G119" i="32"/>
  <c r="F119" i="32"/>
  <c r="E119" i="32"/>
  <c r="D119" i="32"/>
  <c r="C119" i="32"/>
  <c r="L118" i="32"/>
  <c r="K118" i="32"/>
  <c r="J118" i="32"/>
  <c r="I118" i="32"/>
  <c r="H118" i="32"/>
  <c r="G118" i="32"/>
  <c r="F118" i="32"/>
  <c r="E118" i="32"/>
  <c r="D118" i="32"/>
  <c r="C118" i="32"/>
  <c r="L117" i="32"/>
  <c r="K117" i="32"/>
  <c r="J117" i="32"/>
  <c r="I117" i="32"/>
  <c r="H117" i="32"/>
  <c r="G117" i="32"/>
  <c r="F117" i="32"/>
  <c r="E117" i="32"/>
  <c r="D117" i="32"/>
  <c r="C117" i="32"/>
  <c r="L116" i="32"/>
  <c r="K116" i="32"/>
  <c r="J116" i="32"/>
  <c r="I116" i="32"/>
  <c r="H116" i="32"/>
  <c r="G116" i="32"/>
  <c r="F116" i="32"/>
  <c r="E116" i="32"/>
  <c r="D116" i="32"/>
  <c r="C116" i="32"/>
  <c r="L115" i="32"/>
  <c r="K115" i="32"/>
  <c r="J115" i="32"/>
  <c r="I115" i="32"/>
  <c r="H115" i="32"/>
  <c r="G115" i="32"/>
  <c r="F115" i="32"/>
  <c r="E115" i="32"/>
  <c r="D115" i="32"/>
  <c r="C115" i="32"/>
  <c r="L114" i="32"/>
  <c r="K114" i="32"/>
  <c r="J114" i="32"/>
  <c r="I114" i="32"/>
  <c r="H114" i="32"/>
  <c r="G114" i="32"/>
  <c r="F114" i="32"/>
  <c r="E114" i="32"/>
  <c r="D114" i="32"/>
  <c r="C114" i="32"/>
  <c r="L113" i="32"/>
  <c r="K113" i="32"/>
  <c r="J113" i="32"/>
  <c r="I113" i="32"/>
  <c r="H113" i="32"/>
  <c r="G113" i="32"/>
  <c r="F113" i="32"/>
  <c r="E113" i="32"/>
  <c r="D113" i="32"/>
  <c r="C113" i="32"/>
  <c r="L112" i="32"/>
  <c r="K112" i="32"/>
  <c r="J112" i="32"/>
  <c r="I112" i="32"/>
  <c r="H112" i="32"/>
  <c r="G112" i="32"/>
  <c r="F112" i="32"/>
  <c r="E112" i="32"/>
  <c r="D112" i="32"/>
  <c r="C112" i="32"/>
  <c r="L111" i="32"/>
  <c r="K111" i="32"/>
  <c r="J111" i="32"/>
  <c r="I111" i="32"/>
  <c r="H111" i="32"/>
  <c r="G111" i="32"/>
  <c r="F111" i="32"/>
  <c r="E111" i="32"/>
  <c r="D111" i="32"/>
  <c r="C111" i="32"/>
  <c r="L110" i="32"/>
  <c r="K110" i="32"/>
  <c r="J110" i="32"/>
  <c r="I110" i="32"/>
  <c r="H110" i="32"/>
  <c r="G110" i="32"/>
  <c r="F110" i="32"/>
  <c r="E110" i="32"/>
  <c r="D110" i="32"/>
  <c r="C110" i="32"/>
  <c r="L109" i="32"/>
  <c r="K109" i="32"/>
  <c r="J109" i="32"/>
  <c r="I109" i="32"/>
  <c r="H109" i="32"/>
  <c r="G109" i="32"/>
  <c r="F109" i="32"/>
  <c r="E109" i="32"/>
  <c r="D109" i="32"/>
  <c r="C109" i="32"/>
  <c r="L108" i="32"/>
  <c r="K108" i="32"/>
  <c r="J108" i="32"/>
  <c r="I108" i="32"/>
  <c r="H108" i="32"/>
  <c r="G108" i="32"/>
  <c r="F108" i="32"/>
  <c r="E108" i="32"/>
  <c r="D108" i="32"/>
  <c r="C108" i="32"/>
  <c r="L107" i="32"/>
  <c r="K107" i="32"/>
  <c r="J107" i="32"/>
  <c r="I107" i="32"/>
  <c r="H107" i="32"/>
  <c r="G107" i="32"/>
  <c r="F107" i="32"/>
  <c r="E107" i="32"/>
  <c r="D107" i="32"/>
  <c r="C107" i="32"/>
  <c r="L106" i="32"/>
  <c r="K106" i="32"/>
  <c r="J106" i="32"/>
  <c r="I106" i="32"/>
  <c r="H106" i="32"/>
  <c r="G106" i="32"/>
  <c r="F106" i="32"/>
  <c r="E106" i="32"/>
  <c r="D106" i="32"/>
  <c r="C106" i="32"/>
  <c r="L105" i="32"/>
  <c r="K105" i="32"/>
  <c r="J105" i="32"/>
  <c r="I105" i="32"/>
  <c r="H105" i="32"/>
  <c r="G105" i="32"/>
  <c r="F105" i="32"/>
  <c r="E105" i="32"/>
  <c r="D105" i="32"/>
  <c r="C105" i="32"/>
  <c r="L104" i="32"/>
  <c r="K104" i="32"/>
  <c r="J104" i="32"/>
  <c r="I104" i="32"/>
  <c r="H104" i="32"/>
  <c r="G104" i="32"/>
  <c r="F104" i="32"/>
  <c r="E104" i="32"/>
  <c r="D104" i="32"/>
  <c r="C104" i="32"/>
  <c r="L103" i="32"/>
  <c r="K103" i="32"/>
  <c r="J103" i="32"/>
  <c r="I103" i="32"/>
  <c r="H103" i="32"/>
  <c r="G103" i="32"/>
  <c r="F103" i="32"/>
  <c r="E103" i="32"/>
  <c r="D103" i="32"/>
  <c r="C103" i="32"/>
  <c r="L102" i="32"/>
  <c r="K102" i="32"/>
  <c r="J102" i="32"/>
  <c r="I102" i="32"/>
  <c r="H102" i="32"/>
  <c r="G102" i="32"/>
  <c r="F102" i="32"/>
  <c r="E102" i="32"/>
  <c r="D102" i="32"/>
  <c r="C102" i="32"/>
  <c r="L101" i="32"/>
  <c r="K101" i="32"/>
  <c r="J101" i="32"/>
  <c r="I101" i="32"/>
  <c r="H101" i="32"/>
  <c r="G101" i="32"/>
  <c r="F101" i="32"/>
  <c r="E101" i="32"/>
  <c r="D101" i="32"/>
  <c r="C101" i="32"/>
  <c r="L100" i="32"/>
  <c r="K100" i="32"/>
  <c r="J100" i="32"/>
  <c r="I100" i="32"/>
  <c r="H100" i="32"/>
  <c r="G100" i="32"/>
  <c r="F100" i="32"/>
  <c r="E100" i="32"/>
  <c r="D100" i="32"/>
  <c r="C100" i="32"/>
  <c r="L99" i="32"/>
  <c r="K99" i="32"/>
  <c r="J99" i="32"/>
  <c r="I99" i="32"/>
  <c r="H99" i="32"/>
  <c r="G99" i="32"/>
  <c r="F99" i="32"/>
  <c r="E99" i="32"/>
  <c r="D99" i="32"/>
  <c r="C99" i="32"/>
  <c r="L98" i="32"/>
  <c r="K98" i="32"/>
  <c r="J98" i="32"/>
  <c r="I98" i="32"/>
  <c r="H98" i="32"/>
  <c r="G98" i="32"/>
  <c r="F98" i="32"/>
  <c r="E98" i="32"/>
  <c r="D98" i="32"/>
  <c r="C98" i="32"/>
  <c r="L97" i="32"/>
  <c r="K97" i="32"/>
  <c r="J97" i="32"/>
  <c r="I97" i="32"/>
  <c r="H97" i="32"/>
  <c r="G97" i="32"/>
  <c r="F97" i="32"/>
  <c r="E97" i="32"/>
  <c r="D97" i="32"/>
  <c r="C97" i="32"/>
  <c r="L96" i="32"/>
  <c r="K96" i="32"/>
  <c r="J96" i="32"/>
  <c r="I96" i="32"/>
  <c r="H96" i="32"/>
  <c r="G96" i="32"/>
  <c r="F96" i="32"/>
  <c r="E96" i="32"/>
  <c r="D96" i="32"/>
  <c r="C96" i="32"/>
  <c r="L95" i="32"/>
  <c r="K95" i="32"/>
  <c r="J95" i="32"/>
  <c r="I95" i="32"/>
  <c r="H95" i="32"/>
  <c r="G95" i="32"/>
  <c r="F95" i="32"/>
  <c r="E95" i="32"/>
  <c r="D95" i="32"/>
  <c r="C95" i="32"/>
  <c r="L94" i="32"/>
  <c r="K94" i="32"/>
  <c r="J94" i="32"/>
  <c r="I94" i="32"/>
  <c r="H94" i="32"/>
  <c r="G94" i="32"/>
  <c r="F94" i="32"/>
  <c r="E94" i="32"/>
  <c r="D94" i="32"/>
  <c r="C94" i="32"/>
  <c r="L93" i="32"/>
  <c r="K93" i="32"/>
  <c r="J93" i="32"/>
  <c r="I93" i="32"/>
  <c r="H93" i="32"/>
  <c r="G93" i="32"/>
  <c r="F93" i="32"/>
  <c r="E93" i="32"/>
  <c r="D93" i="32"/>
  <c r="C93" i="32"/>
  <c r="L92" i="32"/>
  <c r="K92" i="32"/>
  <c r="J92" i="32"/>
  <c r="I92" i="32"/>
  <c r="H92" i="32"/>
  <c r="G92" i="32"/>
  <c r="F92" i="32"/>
  <c r="E92" i="32"/>
  <c r="D92" i="32"/>
  <c r="C92" i="32"/>
  <c r="L91" i="32"/>
  <c r="K91" i="32"/>
  <c r="J91" i="32"/>
  <c r="I91" i="32"/>
  <c r="H91" i="32"/>
  <c r="G91" i="32"/>
  <c r="F91" i="32"/>
  <c r="E91" i="32"/>
  <c r="D91" i="32"/>
  <c r="C91" i="32"/>
  <c r="L90" i="32"/>
  <c r="K90" i="32"/>
  <c r="J90" i="32"/>
  <c r="I90" i="32"/>
  <c r="H90" i="32"/>
  <c r="G90" i="32"/>
  <c r="F90" i="32"/>
  <c r="E90" i="32"/>
  <c r="D90" i="32"/>
  <c r="C90" i="32"/>
  <c r="L89" i="32"/>
  <c r="K89" i="32"/>
  <c r="J89" i="32"/>
  <c r="I89" i="32"/>
  <c r="H89" i="32"/>
  <c r="G89" i="32"/>
  <c r="F89" i="32"/>
  <c r="E89" i="32"/>
  <c r="D89" i="32"/>
  <c r="C89" i="32"/>
  <c r="L88" i="32"/>
  <c r="K88" i="32"/>
  <c r="J88" i="32"/>
  <c r="I88" i="32"/>
  <c r="H88" i="32"/>
  <c r="G88" i="32"/>
  <c r="F88" i="32"/>
  <c r="E88" i="32"/>
  <c r="D88" i="32"/>
  <c r="C88" i="32"/>
  <c r="L87" i="32"/>
  <c r="K87" i="32"/>
  <c r="J87" i="32"/>
  <c r="I87" i="32"/>
  <c r="H87" i="32"/>
  <c r="G87" i="32"/>
  <c r="F87" i="32"/>
  <c r="E87" i="32"/>
  <c r="D87" i="32"/>
  <c r="C87" i="32"/>
  <c r="L86" i="32"/>
  <c r="K86" i="32"/>
  <c r="J86" i="32"/>
  <c r="I86" i="32"/>
  <c r="H86" i="32"/>
  <c r="G86" i="32"/>
  <c r="F86" i="32"/>
  <c r="E86" i="32"/>
  <c r="D86" i="32"/>
  <c r="C86" i="32"/>
  <c r="L85" i="32"/>
  <c r="K85" i="32"/>
  <c r="J85" i="32"/>
  <c r="I85" i="32"/>
  <c r="H85" i="32"/>
  <c r="G85" i="32"/>
  <c r="F85" i="32"/>
  <c r="E85" i="32"/>
  <c r="D85" i="32"/>
  <c r="C85" i="32"/>
  <c r="L84" i="32"/>
  <c r="K84" i="32"/>
  <c r="J84" i="32"/>
  <c r="I84" i="32"/>
  <c r="H84" i="32"/>
  <c r="G84" i="32"/>
  <c r="F84" i="32"/>
  <c r="E84" i="32"/>
  <c r="D84" i="32"/>
  <c r="C84" i="32"/>
  <c r="L83" i="32"/>
  <c r="K83" i="32"/>
  <c r="J83" i="32"/>
  <c r="I83" i="32"/>
  <c r="H83" i="32"/>
  <c r="G83" i="32"/>
  <c r="F83" i="32"/>
  <c r="E83" i="32"/>
  <c r="D83" i="32"/>
  <c r="C83" i="32"/>
  <c r="L82" i="32"/>
  <c r="K82" i="32"/>
  <c r="J82" i="32"/>
  <c r="I82" i="32"/>
  <c r="H82" i="32"/>
  <c r="G82" i="32"/>
  <c r="F82" i="32"/>
  <c r="E82" i="32"/>
  <c r="D82" i="32"/>
  <c r="C82" i="32"/>
  <c r="L81" i="32"/>
  <c r="K81" i="32"/>
  <c r="J81" i="32"/>
  <c r="I81" i="32"/>
  <c r="H81" i="32"/>
  <c r="G81" i="32"/>
  <c r="F81" i="32"/>
  <c r="E81" i="32"/>
  <c r="D81" i="32"/>
  <c r="C81" i="32"/>
  <c r="L80" i="32"/>
  <c r="K80" i="32"/>
  <c r="J80" i="32"/>
  <c r="I80" i="32"/>
  <c r="H80" i="32"/>
  <c r="G80" i="32"/>
  <c r="F80" i="32"/>
  <c r="E80" i="32"/>
  <c r="D80" i="32"/>
  <c r="C80" i="32"/>
  <c r="L79" i="32"/>
  <c r="K79" i="32"/>
  <c r="J79" i="32"/>
  <c r="I79" i="32"/>
  <c r="H79" i="32"/>
  <c r="G79" i="32"/>
  <c r="F79" i="32"/>
  <c r="E79" i="32"/>
  <c r="D79" i="32"/>
  <c r="C79" i="32"/>
  <c r="L78" i="32"/>
  <c r="K78" i="32"/>
  <c r="J78" i="32"/>
  <c r="I78" i="32"/>
  <c r="H78" i="32"/>
  <c r="G78" i="32"/>
  <c r="F78" i="32"/>
  <c r="E78" i="32"/>
  <c r="D78" i="32"/>
  <c r="C78" i="32"/>
  <c r="L77" i="32"/>
  <c r="K77" i="32"/>
  <c r="J77" i="32"/>
  <c r="I77" i="32"/>
  <c r="H77" i="32"/>
  <c r="G77" i="32"/>
  <c r="F77" i="32"/>
  <c r="E77" i="32"/>
  <c r="D77" i="32"/>
  <c r="C77" i="32"/>
  <c r="L76" i="32"/>
  <c r="K76" i="32"/>
  <c r="J76" i="32"/>
  <c r="I76" i="32"/>
  <c r="H76" i="32"/>
  <c r="G76" i="32"/>
  <c r="F76" i="32"/>
  <c r="E76" i="32"/>
  <c r="D76" i="32"/>
  <c r="C76" i="32"/>
  <c r="L75" i="32"/>
  <c r="K75" i="32"/>
  <c r="J75" i="32"/>
  <c r="I75" i="32"/>
  <c r="H75" i="32"/>
  <c r="G75" i="32"/>
  <c r="F75" i="32"/>
  <c r="E75" i="32"/>
  <c r="D75" i="32"/>
  <c r="C75" i="32"/>
  <c r="L74" i="32"/>
  <c r="K74" i="32"/>
  <c r="J74" i="32"/>
  <c r="I74" i="32"/>
  <c r="H74" i="32"/>
  <c r="G74" i="32"/>
  <c r="F74" i="32"/>
  <c r="E74" i="32"/>
  <c r="D74" i="32"/>
  <c r="C74" i="32"/>
  <c r="L73" i="32"/>
  <c r="K73" i="32"/>
  <c r="J73" i="32"/>
  <c r="I73" i="32"/>
  <c r="H73" i="32"/>
  <c r="G73" i="32"/>
  <c r="F73" i="32"/>
  <c r="E73" i="32"/>
  <c r="D73" i="32"/>
  <c r="C73" i="32"/>
  <c r="L72" i="32"/>
  <c r="K72" i="32"/>
  <c r="J72" i="32"/>
  <c r="I72" i="32"/>
  <c r="H72" i="32"/>
  <c r="G72" i="32"/>
  <c r="F72" i="32"/>
  <c r="E72" i="32"/>
  <c r="D72" i="32"/>
  <c r="C72" i="32"/>
  <c r="L71" i="32"/>
  <c r="K71" i="32"/>
  <c r="J71" i="32"/>
  <c r="I71" i="32"/>
  <c r="H71" i="32"/>
  <c r="G71" i="32"/>
  <c r="F71" i="32"/>
  <c r="E71" i="32"/>
  <c r="D71" i="32"/>
  <c r="C71" i="32"/>
  <c r="L70" i="32"/>
  <c r="K70" i="32"/>
  <c r="J70" i="32"/>
  <c r="I70" i="32"/>
  <c r="H70" i="32"/>
  <c r="G70" i="32"/>
  <c r="F70" i="32"/>
  <c r="E70" i="32"/>
  <c r="D70" i="32"/>
  <c r="C70" i="32"/>
  <c r="L69" i="32"/>
  <c r="K69" i="32"/>
  <c r="J69" i="32"/>
  <c r="I69" i="32"/>
  <c r="H69" i="32"/>
  <c r="G69" i="32"/>
  <c r="F69" i="32"/>
  <c r="E69" i="32"/>
  <c r="D69" i="32"/>
  <c r="C69" i="32"/>
  <c r="L68" i="32"/>
  <c r="K68" i="32"/>
  <c r="J68" i="32"/>
  <c r="I68" i="32"/>
  <c r="H68" i="32"/>
  <c r="G68" i="32"/>
  <c r="F68" i="32"/>
  <c r="E68" i="32"/>
  <c r="D68" i="32"/>
  <c r="C68" i="32"/>
  <c r="L67" i="32"/>
  <c r="K67" i="32"/>
  <c r="J67" i="32"/>
  <c r="I67" i="32"/>
  <c r="H67" i="32"/>
  <c r="G67" i="32"/>
  <c r="F67" i="32"/>
  <c r="E67" i="32"/>
  <c r="D67" i="32"/>
  <c r="C67" i="32"/>
  <c r="L66" i="32"/>
  <c r="K66" i="32"/>
  <c r="J66" i="32"/>
  <c r="I66" i="32"/>
  <c r="H66" i="32"/>
  <c r="G66" i="32"/>
  <c r="F66" i="32"/>
  <c r="E66" i="32"/>
  <c r="D66" i="32"/>
  <c r="C66" i="32"/>
  <c r="L65" i="32"/>
  <c r="K65" i="32"/>
  <c r="J65" i="32"/>
  <c r="I65" i="32"/>
  <c r="H65" i="32"/>
  <c r="G65" i="32"/>
  <c r="F65" i="32"/>
  <c r="E65" i="32"/>
  <c r="D65" i="32"/>
  <c r="C65" i="32"/>
  <c r="L64" i="32"/>
  <c r="K64" i="32"/>
  <c r="J64" i="32"/>
  <c r="I64" i="32"/>
  <c r="H64" i="32"/>
  <c r="G64" i="32"/>
  <c r="F64" i="32"/>
  <c r="E64" i="32"/>
  <c r="D64" i="32"/>
  <c r="C64" i="32"/>
  <c r="L63" i="32"/>
  <c r="K63" i="32"/>
  <c r="J63" i="32"/>
  <c r="I63" i="32"/>
  <c r="H63" i="32"/>
  <c r="G63" i="32"/>
  <c r="F63" i="32"/>
  <c r="E63" i="32"/>
  <c r="D63" i="32"/>
  <c r="C63" i="32"/>
  <c r="L62" i="32"/>
  <c r="K62" i="32"/>
  <c r="J62" i="32"/>
  <c r="I62" i="32"/>
  <c r="H62" i="32"/>
  <c r="G62" i="32"/>
  <c r="F62" i="32"/>
  <c r="E62" i="32"/>
  <c r="D62" i="32"/>
  <c r="C62" i="32"/>
  <c r="L61" i="32"/>
  <c r="K61" i="32"/>
  <c r="J61" i="32"/>
  <c r="I61" i="32"/>
  <c r="H61" i="32"/>
  <c r="G61" i="32"/>
  <c r="F61" i="32"/>
  <c r="E61" i="32"/>
  <c r="D61" i="32"/>
  <c r="C61" i="32"/>
  <c r="L60" i="32"/>
  <c r="K60" i="32"/>
  <c r="J60" i="32"/>
  <c r="I60" i="32"/>
  <c r="H60" i="32"/>
  <c r="G60" i="32"/>
  <c r="F60" i="32"/>
  <c r="E60" i="32"/>
  <c r="D60" i="32"/>
  <c r="C60" i="32"/>
  <c r="L59" i="32"/>
  <c r="K59" i="32"/>
  <c r="J59" i="32"/>
  <c r="I59" i="32"/>
  <c r="H59" i="32"/>
  <c r="G59" i="32"/>
  <c r="F59" i="32"/>
  <c r="E59" i="32"/>
  <c r="D59" i="32"/>
  <c r="C59" i="32"/>
  <c r="L58" i="32"/>
  <c r="K58" i="32"/>
  <c r="J58" i="32"/>
  <c r="I58" i="32"/>
  <c r="H58" i="32"/>
  <c r="G58" i="32"/>
  <c r="F58" i="32"/>
  <c r="E58" i="32"/>
  <c r="D58" i="32"/>
  <c r="C58" i="32"/>
  <c r="L57" i="32"/>
  <c r="K57" i="32"/>
  <c r="J57" i="32"/>
  <c r="I57" i="32"/>
  <c r="H57" i="32"/>
  <c r="G57" i="32"/>
  <c r="F57" i="32"/>
  <c r="E57" i="32"/>
  <c r="D57" i="32"/>
  <c r="C57" i="32"/>
  <c r="L56" i="32"/>
  <c r="K56" i="32"/>
  <c r="J56" i="32"/>
  <c r="I56" i="32"/>
  <c r="H56" i="32"/>
  <c r="G56" i="32"/>
  <c r="F56" i="32"/>
  <c r="E56" i="32"/>
  <c r="D56" i="32"/>
  <c r="C56" i="32"/>
  <c r="L55" i="32"/>
  <c r="K55" i="32"/>
  <c r="J55" i="32"/>
  <c r="I55" i="32"/>
  <c r="H55" i="32"/>
  <c r="G55" i="32"/>
  <c r="F55" i="32"/>
  <c r="E55" i="32"/>
  <c r="D55" i="32"/>
  <c r="C55" i="32"/>
  <c r="L54" i="32"/>
  <c r="K54" i="32"/>
  <c r="J54" i="32"/>
  <c r="I54" i="32"/>
  <c r="H54" i="32"/>
  <c r="G54" i="32"/>
  <c r="F54" i="32"/>
  <c r="E54" i="32"/>
  <c r="D54" i="32"/>
  <c r="C54" i="32"/>
  <c r="L53" i="32"/>
  <c r="K53" i="32"/>
  <c r="J53" i="32"/>
  <c r="I53" i="32"/>
  <c r="H53" i="32"/>
  <c r="G53" i="32"/>
  <c r="F53" i="32"/>
  <c r="E53" i="32"/>
  <c r="D53" i="32"/>
  <c r="C53" i="32"/>
  <c r="L52" i="32"/>
  <c r="K52" i="32"/>
  <c r="J52" i="32"/>
  <c r="I52" i="32"/>
  <c r="H52" i="32"/>
  <c r="G52" i="32"/>
  <c r="F52" i="32"/>
  <c r="E52" i="32"/>
  <c r="D52" i="32"/>
  <c r="C52" i="32"/>
  <c r="L51" i="32"/>
  <c r="K51" i="32"/>
  <c r="J51" i="32"/>
  <c r="I51" i="32"/>
  <c r="H51" i="32"/>
  <c r="G51" i="32"/>
  <c r="F51" i="32"/>
  <c r="E51" i="32"/>
  <c r="D51" i="32"/>
  <c r="C51" i="32"/>
  <c r="L50" i="32"/>
  <c r="K50" i="32"/>
  <c r="J50" i="32"/>
  <c r="I50" i="32"/>
  <c r="H50" i="32"/>
  <c r="G50" i="32"/>
  <c r="F50" i="32"/>
  <c r="E50" i="32"/>
  <c r="D50" i="32"/>
  <c r="C50" i="32"/>
  <c r="L49" i="32"/>
  <c r="K49" i="32"/>
  <c r="J49" i="32"/>
  <c r="I49" i="32"/>
  <c r="H49" i="32"/>
  <c r="G49" i="32"/>
  <c r="F49" i="32"/>
  <c r="E49" i="32"/>
  <c r="D49" i="32"/>
  <c r="C49" i="32"/>
  <c r="L48" i="32"/>
  <c r="K48" i="32"/>
  <c r="J48" i="32"/>
  <c r="I48" i="32"/>
  <c r="H48" i="32"/>
  <c r="G48" i="32"/>
  <c r="F48" i="32"/>
  <c r="E48" i="32"/>
  <c r="D48" i="32"/>
  <c r="C48" i="32"/>
  <c r="L47" i="32"/>
  <c r="K47" i="32"/>
  <c r="J47" i="32"/>
  <c r="I47" i="32"/>
  <c r="H47" i="32"/>
  <c r="G47" i="32"/>
  <c r="F47" i="32"/>
  <c r="E47" i="32"/>
  <c r="D47" i="32"/>
  <c r="C47" i="32"/>
  <c r="L46" i="32"/>
  <c r="K46" i="32"/>
  <c r="J46" i="32"/>
  <c r="I46" i="32"/>
  <c r="H46" i="32"/>
  <c r="G46" i="32"/>
  <c r="F46" i="32"/>
  <c r="E46" i="32"/>
  <c r="D46" i="32"/>
  <c r="C46" i="32"/>
  <c r="L45" i="32"/>
  <c r="K45" i="32"/>
  <c r="J45" i="32"/>
  <c r="I45" i="32"/>
  <c r="H45" i="32"/>
  <c r="G45" i="32"/>
  <c r="F45" i="32"/>
  <c r="E45" i="32"/>
  <c r="D45" i="32"/>
  <c r="C45" i="32"/>
  <c r="L44" i="32"/>
  <c r="K44" i="32"/>
  <c r="J44" i="32"/>
  <c r="I44" i="32"/>
  <c r="H44" i="32"/>
  <c r="G44" i="32"/>
  <c r="F44" i="32"/>
  <c r="E44" i="32"/>
  <c r="D44" i="32"/>
  <c r="C44" i="32"/>
  <c r="L43" i="32"/>
  <c r="K43" i="32"/>
  <c r="J43" i="32"/>
  <c r="I43" i="32"/>
  <c r="H43" i="32"/>
  <c r="G43" i="32"/>
  <c r="F43" i="32"/>
  <c r="E43" i="32"/>
  <c r="D43" i="32"/>
  <c r="C43" i="32"/>
  <c r="L42" i="32"/>
  <c r="K42" i="32"/>
  <c r="J42" i="32"/>
  <c r="I42" i="32"/>
  <c r="H42" i="32"/>
  <c r="G42" i="32"/>
  <c r="F42" i="32"/>
  <c r="E42" i="32"/>
  <c r="D42" i="32"/>
  <c r="C42" i="32"/>
  <c r="L41" i="32"/>
  <c r="K41" i="32"/>
  <c r="J41" i="32"/>
  <c r="I41" i="32"/>
  <c r="H41" i="32"/>
  <c r="G41" i="32"/>
  <c r="F41" i="32"/>
  <c r="E41" i="32"/>
  <c r="D41" i="32"/>
  <c r="C41" i="32"/>
  <c r="L40" i="32"/>
  <c r="K40" i="32"/>
  <c r="J40" i="32"/>
  <c r="I40" i="32"/>
  <c r="H40" i="32"/>
  <c r="G40" i="32"/>
  <c r="F40" i="32"/>
  <c r="E40" i="32"/>
  <c r="D40" i="32"/>
  <c r="C40" i="32"/>
  <c r="L39" i="32"/>
  <c r="K39" i="32"/>
  <c r="J39" i="32"/>
  <c r="I39" i="32"/>
  <c r="H39" i="32"/>
  <c r="G39" i="32"/>
  <c r="F39" i="32"/>
  <c r="E39" i="32"/>
  <c r="D39" i="32"/>
  <c r="C39" i="32"/>
  <c r="L38" i="32"/>
  <c r="K38" i="32"/>
  <c r="J38" i="32"/>
  <c r="I38" i="32"/>
  <c r="H38" i="32"/>
  <c r="G38" i="32"/>
  <c r="F38" i="32"/>
  <c r="E38" i="32"/>
  <c r="D38" i="32"/>
  <c r="C38" i="32"/>
  <c r="L37" i="32"/>
  <c r="K37" i="32"/>
  <c r="J37" i="32"/>
  <c r="I37" i="32"/>
  <c r="H37" i="32"/>
  <c r="G37" i="32"/>
  <c r="F37" i="32"/>
  <c r="E37" i="32"/>
  <c r="D37" i="32"/>
  <c r="C37" i="32"/>
  <c r="L36" i="32"/>
  <c r="K36" i="32"/>
  <c r="J36" i="32"/>
  <c r="I36" i="32"/>
  <c r="H36" i="32"/>
  <c r="G36" i="32"/>
  <c r="F36" i="32"/>
  <c r="E36" i="32"/>
  <c r="D36" i="32"/>
  <c r="C36" i="32"/>
  <c r="L35" i="32"/>
  <c r="K35" i="32"/>
  <c r="J35" i="32"/>
  <c r="I35" i="32"/>
  <c r="H35" i="32"/>
  <c r="G35" i="32"/>
  <c r="F35" i="32"/>
  <c r="E35" i="32"/>
  <c r="D35" i="32"/>
  <c r="C35" i="32"/>
  <c r="L34" i="32"/>
  <c r="K34" i="32"/>
  <c r="J34" i="32"/>
  <c r="I34" i="32"/>
  <c r="H34" i="32"/>
  <c r="G34" i="32"/>
  <c r="F34" i="32"/>
  <c r="E34" i="32"/>
  <c r="D34" i="32"/>
  <c r="C34" i="32"/>
  <c r="L33" i="32"/>
  <c r="K33" i="32"/>
  <c r="J33" i="32"/>
  <c r="I33" i="32"/>
  <c r="H33" i="32"/>
  <c r="G33" i="32"/>
  <c r="F33" i="32"/>
  <c r="E33" i="32"/>
  <c r="D33" i="32"/>
  <c r="C33" i="32"/>
  <c r="L32" i="32"/>
  <c r="K32" i="32"/>
  <c r="J32" i="32"/>
  <c r="I32" i="32"/>
  <c r="H32" i="32"/>
  <c r="G32" i="32"/>
  <c r="F32" i="32"/>
  <c r="E32" i="32"/>
  <c r="D32" i="32"/>
  <c r="C32" i="32"/>
  <c r="L31" i="32"/>
  <c r="K31" i="32"/>
  <c r="J31" i="32"/>
  <c r="I31" i="32"/>
  <c r="H31" i="32"/>
  <c r="G31" i="32"/>
  <c r="F31" i="32"/>
  <c r="E31" i="32"/>
  <c r="D31" i="32"/>
  <c r="C31" i="32"/>
  <c r="L30" i="32"/>
  <c r="K30" i="32"/>
  <c r="J30" i="32"/>
  <c r="I30" i="32"/>
  <c r="H30" i="32"/>
  <c r="G30" i="32"/>
  <c r="F30" i="32"/>
  <c r="E30" i="32"/>
  <c r="D30" i="32"/>
  <c r="C30" i="32"/>
  <c r="L29" i="32"/>
  <c r="K29" i="32"/>
  <c r="J29" i="32"/>
  <c r="I29" i="32"/>
  <c r="H29" i="32"/>
  <c r="G29" i="32"/>
  <c r="F29" i="32"/>
  <c r="E29" i="32"/>
  <c r="D29" i="32"/>
  <c r="C29" i="32"/>
  <c r="L27" i="32"/>
  <c r="K27" i="32"/>
  <c r="J27" i="32"/>
  <c r="I27" i="32"/>
  <c r="H27" i="32"/>
  <c r="G27" i="32"/>
  <c r="F27" i="32"/>
  <c r="E27" i="32"/>
  <c r="D27" i="32"/>
  <c r="L26" i="32"/>
  <c r="K26" i="32"/>
  <c r="J26" i="32"/>
  <c r="I26" i="32"/>
  <c r="H26" i="32"/>
  <c r="G26" i="32"/>
  <c r="F26" i="32"/>
  <c r="E26" i="32"/>
  <c r="D26" i="32"/>
  <c r="L25" i="32"/>
  <c r="K25" i="32"/>
  <c r="J25" i="32"/>
  <c r="I25" i="32"/>
  <c r="H25" i="32"/>
  <c r="G25" i="32"/>
  <c r="F25" i="32"/>
  <c r="E25" i="32"/>
  <c r="D25" i="32"/>
  <c r="GL23" i="32"/>
  <c r="GK23" i="32"/>
  <c r="GJ23" i="32"/>
  <c r="GI23" i="32"/>
  <c r="GH23" i="32"/>
  <c r="GG23" i="32"/>
  <c r="GF23" i="32"/>
  <c r="GE23" i="32"/>
  <c r="GD23" i="32"/>
  <c r="GC23" i="32"/>
  <c r="GB23" i="32"/>
  <c r="GA23" i="32"/>
  <c r="FZ23" i="32"/>
  <c r="FY23" i="32"/>
  <c r="FX23" i="32"/>
  <c r="FW23" i="32"/>
  <c r="FV23" i="32"/>
  <c r="FU23" i="32"/>
  <c r="FT23" i="32"/>
  <c r="FS23" i="32"/>
  <c r="FR23" i="32"/>
  <c r="FQ23" i="32"/>
  <c r="FP23" i="32"/>
  <c r="FO23" i="32"/>
  <c r="FN23" i="32"/>
  <c r="FM23" i="32"/>
  <c r="FL23" i="32"/>
  <c r="FK23" i="32"/>
  <c r="FJ23" i="32"/>
  <c r="FI23" i="32"/>
  <c r="FH23" i="32"/>
  <c r="FG23" i="32"/>
  <c r="FF23" i="32"/>
  <c r="FE23" i="32"/>
  <c r="FD23" i="32"/>
  <c r="FC23" i="32"/>
  <c r="FB23" i="32"/>
  <c r="FA23" i="32"/>
  <c r="EZ23" i="32"/>
  <c r="EY23" i="32"/>
  <c r="EX23" i="32"/>
  <c r="EW23" i="32"/>
  <c r="EV23" i="32"/>
  <c r="EU23" i="32"/>
  <c r="ET23" i="32"/>
  <c r="ES23" i="32"/>
  <c r="ER23" i="32"/>
  <c r="EQ23" i="32"/>
  <c r="EP23" i="32"/>
  <c r="EO23" i="32"/>
  <c r="EN23" i="32"/>
  <c r="EM23" i="32"/>
  <c r="EL23" i="32"/>
  <c r="EK23" i="32"/>
  <c r="EJ23" i="32"/>
  <c r="EI23" i="32"/>
  <c r="EH23" i="32"/>
  <c r="EG23" i="32"/>
  <c r="EF23" i="32"/>
  <c r="EE23" i="32"/>
  <c r="ED23" i="32"/>
  <c r="EC23" i="32"/>
  <c r="EB23" i="32"/>
  <c r="EA23" i="32"/>
  <c r="DZ23" i="32"/>
  <c r="DY23" i="32"/>
  <c r="DX23" i="32"/>
  <c r="DW23" i="32"/>
  <c r="DV23" i="32"/>
  <c r="DU23" i="32"/>
  <c r="DT23" i="32"/>
  <c r="DS23" i="32"/>
  <c r="DR23" i="32"/>
  <c r="DQ23" i="32"/>
  <c r="DP23" i="32"/>
  <c r="DO23" i="32"/>
  <c r="DN23" i="32"/>
  <c r="DM23" i="32"/>
  <c r="DL23" i="32"/>
  <c r="DK23" i="32"/>
  <c r="DJ23" i="32"/>
  <c r="DI23" i="32"/>
  <c r="DH23" i="32"/>
  <c r="DG23" i="32"/>
  <c r="DF23" i="32"/>
  <c r="DE23" i="32"/>
  <c r="DD23" i="32"/>
  <c r="DC23" i="32"/>
  <c r="DB23" i="32"/>
  <c r="DA23" i="32"/>
  <c r="CZ23" i="32"/>
  <c r="CY23" i="32"/>
  <c r="CX23" i="32"/>
  <c r="CW23" i="32"/>
  <c r="CV23" i="32"/>
  <c r="CU23" i="32"/>
  <c r="CT23" i="32"/>
  <c r="CS23" i="32"/>
  <c r="CR23" i="32"/>
  <c r="CQ23" i="32"/>
  <c r="CP23" i="32"/>
  <c r="CO23" i="32"/>
  <c r="CN23" i="32"/>
  <c r="CM23" i="32"/>
  <c r="CL23" i="32"/>
  <c r="CK23" i="32"/>
  <c r="CJ23" i="32"/>
  <c r="CI23" i="32"/>
  <c r="CH23" i="32"/>
  <c r="CG23" i="32"/>
  <c r="CF23" i="32"/>
  <c r="CE23" i="32"/>
  <c r="CD23" i="32"/>
  <c r="CC23" i="32"/>
  <c r="CB23" i="32"/>
  <c r="CA23" i="32"/>
  <c r="BZ23" i="32"/>
  <c r="BY23" i="32"/>
  <c r="BX23" i="32"/>
  <c r="BW23" i="32"/>
  <c r="BV23" i="32"/>
  <c r="BU23" i="32"/>
  <c r="BT23" i="32"/>
  <c r="BS23" i="32"/>
  <c r="BR23" i="32"/>
  <c r="BQ23" i="32"/>
  <c r="BP23" i="32"/>
  <c r="BO23" i="32"/>
  <c r="BN23" i="32"/>
  <c r="BM23" i="32"/>
  <c r="BL23" i="32"/>
  <c r="BK23" i="32"/>
  <c r="BJ23" i="32"/>
  <c r="BI23" i="32"/>
  <c r="BH23" i="32"/>
  <c r="BG23" i="32"/>
  <c r="BF23" i="32"/>
  <c r="BE23" i="32"/>
  <c r="BD23" i="32"/>
  <c r="BC23" i="32"/>
  <c r="BB23" i="32"/>
  <c r="BA23" i="32"/>
  <c r="AZ23" i="32"/>
  <c r="AY23" i="32"/>
  <c r="AX23" i="32"/>
  <c r="AW23" i="32"/>
  <c r="AV23" i="32"/>
  <c r="AU23" i="32"/>
  <c r="AT23" i="32"/>
  <c r="AS23" i="32"/>
  <c r="AR23" i="32"/>
  <c r="AQ23" i="32"/>
  <c r="AP23" i="32"/>
  <c r="AO23" i="32"/>
  <c r="AN23" i="32"/>
  <c r="AM23" i="32"/>
  <c r="AL23" i="32"/>
  <c r="AK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C15" i="32"/>
  <c r="E15" i="32" s="1"/>
  <c r="P14" i="32"/>
  <c r="O14" i="32"/>
  <c r="N14" i="32"/>
  <c r="B14" i="32"/>
  <c r="P13" i="32"/>
  <c r="O13" i="32"/>
  <c r="N13" i="32"/>
  <c r="P12" i="32"/>
  <c r="O12" i="32"/>
  <c r="N12" i="32"/>
  <c r="P11" i="32"/>
  <c r="O11" i="32"/>
  <c r="N11" i="32"/>
  <c r="P10" i="32"/>
  <c r="O10" i="32"/>
  <c r="N10" i="32"/>
  <c r="P9" i="32"/>
  <c r="O9" i="32"/>
  <c r="N9" i="32"/>
  <c r="P8" i="32"/>
  <c r="O8" i="32"/>
  <c r="N8" i="32"/>
  <c r="P7" i="32"/>
  <c r="O7" i="32"/>
  <c r="N7" i="32"/>
  <c r="P6" i="32"/>
  <c r="O6" i="32"/>
  <c r="N6" i="32"/>
  <c r="F46" i="57" l="1"/>
  <c r="G46" i="57"/>
  <c r="I44" i="57"/>
  <c r="K44" i="57" s="1"/>
  <c r="G44" i="57"/>
  <c r="F42" i="57"/>
  <c r="F43" i="57"/>
  <c r="I43" i="57" s="1"/>
  <c r="K43" i="57" s="1"/>
  <c r="F45" i="57"/>
  <c r="G45" i="57"/>
  <c r="F47" i="57"/>
  <c r="H45" i="57"/>
  <c r="G47" i="57"/>
  <c r="I42" i="57"/>
  <c r="K42" i="57" s="1"/>
  <c r="N22" i="21"/>
  <c r="D32" i="57"/>
  <c r="D13" i="57"/>
  <c r="E15" i="57"/>
  <c r="G15" i="57" s="1"/>
  <c r="D25" i="57"/>
  <c r="D16" i="57"/>
  <c r="F24" i="57"/>
  <c r="H24" i="57"/>
  <c r="E18" i="57"/>
  <c r="G18" i="57" s="1"/>
  <c r="D23" i="57"/>
  <c r="H25" i="57"/>
  <c r="D35" i="57"/>
  <c r="E39" i="57"/>
  <c r="G39" i="57" s="1"/>
  <c r="D24" i="57"/>
  <c r="E26" i="57"/>
  <c r="F26" i="57" s="1"/>
  <c r="D31" i="57"/>
  <c r="D36" i="57"/>
  <c r="D14" i="57"/>
  <c r="H16" i="57"/>
  <c r="E41" i="57"/>
  <c r="G41" i="57" s="1"/>
  <c r="E21" i="57"/>
  <c r="G21" i="57" s="1"/>
  <c r="E27" i="57"/>
  <c r="F27" i="57" s="1"/>
  <c r="E17" i="57"/>
  <c r="G17" i="57" s="1"/>
  <c r="E37" i="57"/>
  <c r="G37" i="57" s="1"/>
  <c r="G12" i="57"/>
  <c r="F12" i="57"/>
  <c r="H12" i="57"/>
  <c r="F23" i="57"/>
  <c r="H23" i="57"/>
  <c r="G23" i="57"/>
  <c r="G13" i="57"/>
  <c r="H13" i="57"/>
  <c r="F13" i="57"/>
  <c r="G19" i="57"/>
  <c r="H19" i="57"/>
  <c r="F19" i="57"/>
  <c r="G14" i="57"/>
  <c r="H14" i="57"/>
  <c r="F14" i="57"/>
  <c r="F28" i="57"/>
  <c r="H28" i="57"/>
  <c r="G28" i="57"/>
  <c r="D12" i="57"/>
  <c r="E20" i="57"/>
  <c r="G24" i="57"/>
  <c r="D29" i="57"/>
  <c r="D33" i="57"/>
  <c r="D19" i="57"/>
  <c r="D28" i="57"/>
  <c r="D30" i="57"/>
  <c r="D34" i="57"/>
  <c r="F16" i="57"/>
  <c r="G25" i="57"/>
  <c r="E38" i="57"/>
  <c r="H38" i="57" s="1"/>
  <c r="E40" i="57"/>
  <c r="H40" i="57" s="1"/>
  <c r="F22" i="57"/>
  <c r="H22" i="57"/>
  <c r="G22" i="57"/>
  <c r="G29" i="57"/>
  <c r="H29" i="57"/>
  <c r="F29" i="57"/>
  <c r="H33" i="57"/>
  <c r="G33" i="57"/>
  <c r="F33" i="57"/>
  <c r="H30" i="57"/>
  <c r="G30" i="57"/>
  <c r="F30" i="57"/>
  <c r="H34" i="57"/>
  <c r="G34" i="57"/>
  <c r="F34" i="57"/>
  <c r="H31" i="57"/>
  <c r="G31" i="57"/>
  <c r="F31" i="57"/>
  <c r="G35" i="57"/>
  <c r="H35" i="57"/>
  <c r="F35" i="57"/>
  <c r="G32" i="57"/>
  <c r="H32" i="57"/>
  <c r="F32" i="57"/>
  <c r="H36" i="57"/>
  <c r="G36" i="57"/>
  <c r="F36" i="57"/>
  <c r="D22" i="57"/>
  <c r="B37" i="42"/>
  <c r="B12" i="47" s="1"/>
  <c r="B106" i="46"/>
  <c r="B130" i="46" s="1"/>
  <c r="B154" i="46" s="1"/>
  <c r="I9" i="21"/>
  <c r="C41" i="42"/>
  <c r="N21" i="21"/>
  <c r="Q21" i="21" s="1"/>
  <c r="M195" i="21"/>
  <c r="F195" i="21"/>
  <c r="N33" i="21"/>
  <c r="Q33" i="21" s="1"/>
  <c r="N28" i="21"/>
  <c r="N67" i="21"/>
  <c r="Q67" i="21" s="1"/>
  <c r="P191" i="21"/>
  <c r="J191" i="21"/>
  <c r="U198" i="21"/>
  <c r="J198" i="21"/>
  <c r="N192" i="21"/>
  <c r="J192" i="21"/>
  <c r="U193" i="21"/>
  <c r="J193" i="21"/>
  <c r="K274" i="46"/>
  <c r="J194" i="21"/>
  <c r="P195" i="21"/>
  <c r="J195" i="21"/>
  <c r="U188" i="21"/>
  <c r="J188" i="21"/>
  <c r="M189" i="21"/>
  <c r="J189" i="21"/>
  <c r="N196" i="21"/>
  <c r="J196" i="21"/>
  <c r="U190" i="21"/>
  <c r="J190" i="21"/>
  <c r="P197" i="21"/>
  <c r="J197" i="21"/>
  <c r="H181" i="56"/>
  <c r="O36" i="56"/>
  <c r="I181" i="56"/>
  <c r="N36" i="56"/>
  <c r="N10" i="56"/>
  <c r="G181" i="56"/>
  <c r="E181" i="56"/>
  <c r="P36" i="56"/>
  <c r="F181" i="56"/>
  <c r="Q36" i="56"/>
  <c r="D16" i="56"/>
  <c r="M36" i="56"/>
  <c r="L10" i="56"/>
  <c r="E181" i="46"/>
  <c r="D71" i="47" s="1"/>
  <c r="F181" i="46"/>
  <c r="E71" i="47" s="1"/>
  <c r="H181" i="46"/>
  <c r="G71" i="47" s="1"/>
  <c r="I181" i="46"/>
  <c r="H71" i="47" s="1"/>
  <c r="F18" i="46"/>
  <c r="G181" i="46"/>
  <c r="F71" i="47" s="1"/>
  <c r="N96" i="21"/>
  <c r="C94" i="56" s="1"/>
  <c r="N76" i="21"/>
  <c r="Q76" i="21" s="1"/>
  <c r="N84" i="21"/>
  <c r="Q84" i="21" s="1"/>
  <c r="N60" i="21"/>
  <c r="Q60" i="21" s="1"/>
  <c r="K194" i="21"/>
  <c r="C81" i="46"/>
  <c r="P194" i="21"/>
  <c r="R190" i="21"/>
  <c r="M188" i="21"/>
  <c r="E195" i="21"/>
  <c r="N100" i="21"/>
  <c r="Q100" i="21" s="1"/>
  <c r="H195" i="21"/>
  <c r="L193" i="21"/>
  <c r="K190" i="21"/>
  <c r="N72" i="21"/>
  <c r="Q72" i="21" s="1"/>
  <c r="N80" i="21"/>
  <c r="Q80" i="21" s="1"/>
  <c r="N88" i="21"/>
  <c r="Q88" i="21" s="1"/>
  <c r="N190" i="21"/>
  <c r="M59" i="21"/>
  <c r="N59" i="21" s="1"/>
  <c r="Q59" i="21" s="1"/>
  <c r="N65" i="21"/>
  <c r="Q65" i="21" s="1"/>
  <c r="N104" i="21"/>
  <c r="Q104" i="21" s="1"/>
  <c r="D190" i="21"/>
  <c r="N48" i="21"/>
  <c r="Q48" i="21" s="1"/>
  <c r="E190" i="21"/>
  <c r="H193" i="21"/>
  <c r="G190" i="21"/>
  <c r="I188" i="21"/>
  <c r="G194" i="21"/>
  <c r="M42" i="21"/>
  <c r="N42" i="21" s="1"/>
  <c r="Q42" i="21" s="1"/>
  <c r="L188" i="21"/>
  <c r="O191" i="21"/>
  <c r="H194" i="21"/>
  <c r="K198" i="21"/>
  <c r="N35" i="21"/>
  <c r="Q35" i="21" s="1"/>
  <c r="V188" i="21"/>
  <c r="H190" i="21"/>
  <c r="N194" i="21"/>
  <c r="O195" i="21"/>
  <c r="L189" i="21"/>
  <c r="R194" i="21"/>
  <c r="O196" i="21"/>
  <c r="N43" i="21"/>
  <c r="Q43" i="21" s="1"/>
  <c r="P189" i="21"/>
  <c r="S194" i="21"/>
  <c r="E188" i="21"/>
  <c r="S190" i="21"/>
  <c r="D194" i="21"/>
  <c r="Q197" i="21"/>
  <c r="P16" i="32"/>
  <c r="C14" i="32"/>
  <c r="D14" i="32" s="1"/>
  <c r="E14" i="32" s="1"/>
  <c r="E16" i="32" s="1"/>
  <c r="B52" i="42"/>
  <c r="B27" i="47" s="1"/>
  <c r="N23" i="21"/>
  <c r="Q23" i="21" s="1"/>
  <c r="N58" i="21"/>
  <c r="Q58" i="21" s="1"/>
  <c r="K188" i="21"/>
  <c r="I190" i="21"/>
  <c r="V190" i="21"/>
  <c r="T191" i="21"/>
  <c r="K193" i="21"/>
  <c r="E194" i="21"/>
  <c r="Q194" i="21"/>
  <c r="L195" i="21"/>
  <c r="S196" i="21"/>
  <c r="U197" i="21"/>
  <c r="N198" i="21"/>
  <c r="M66" i="21"/>
  <c r="N66" i="21" s="1"/>
  <c r="Q66" i="21" s="1"/>
  <c r="E191" i="21"/>
  <c r="M193" i="21"/>
  <c r="H197" i="21"/>
  <c r="D198" i="21"/>
  <c r="P198" i="21"/>
  <c r="U191" i="21"/>
  <c r="O198" i="21"/>
  <c r="N188" i="21"/>
  <c r="O190" i="21"/>
  <c r="G191" i="21"/>
  <c r="D192" i="21"/>
  <c r="P193" i="21"/>
  <c r="I194" i="21"/>
  <c r="V194" i="21"/>
  <c r="T195" i="21"/>
  <c r="K197" i="21"/>
  <c r="E198" i="21"/>
  <c r="Q198" i="21"/>
  <c r="N14" i="21"/>
  <c r="Q14" i="21" s="1"/>
  <c r="N49" i="21"/>
  <c r="Q49" i="21" s="1"/>
  <c r="S188" i="21"/>
  <c r="P190" i="21"/>
  <c r="H191" i="21"/>
  <c r="O192" i="21"/>
  <c r="Q193" i="21"/>
  <c r="U195" i="21"/>
  <c r="L197" i="21"/>
  <c r="G198" i="21"/>
  <c r="R198" i="21"/>
  <c r="Q36" i="21"/>
  <c r="T188" i="21"/>
  <c r="Q190" i="21"/>
  <c r="L191" i="21"/>
  <c r="S192" i="21"/>
  <c r="M197" i="21"/>
  <c r="H198" i="21"/>
  <c r="S198" i="21"/>
  <c r="Q22" i="21"/>
  <c r="M191" i="21"/>
  <c r="O194" i="21"/>
  <c r="G195" i="21"/>
  <c r="D196" i="21"/>
  <c r="I198" i="21"/>
  <c r="V198" i="21"/>
  <c r="Q16" i="21"/>
  <c r="Q41" i="21"/>
  <c r="D15" i="32"/>
  <c r="Q96" i="21"/>
  <c r="Q15" i="21"/>
  <c r="B42" i="42"/>
  <c r="B17" i="47" s="1"/>
  <c r="B50" i="42"/>
  <c r="B25" i="47" s="1"/>
  <c r="B43" i="42"/>
  <c r="B18" i="47" s="1"/>
  <c r="B51" i="42"/>
  <c r="B26" i="47" s="1"/>
  <c r="B35" i="42"/>
  <c r="B10" i="47" s="1"/>
  <c r="B44" i="42"/>
  <c r="B19" i="47" s="1"/>
  <c r="B36" i="42"/>
  <c r="B11" i="47" s="1"/>
  <c r="B45" i="42"/>
  <c r="B20" i="47" s="1"/>
  <c r="B53" i="42"/>
  <c r="B28" i="47" s="1"/>
  <c r="B46" i="42"/>
  <c r="B21" i="47" s="1"/>
  <c r="B38" i="42"/>
  <c r="B13" i="47" s="1"/>
  <c r="B47" i="42"/>
  <c r="B22" i="47" s="1"/>
  <c r="B39" i="42"/>
  <c r="B14" i="47" s="1"/>
  <c r="B48" i="42"/>
  <c r="B23" i="47" s="1"/>
  <c r="B40" i="42"/>
  <c r="B15" i="47" s="1"/>
  <c r="B49" i="42"/>
  <c r="B24" i="47" s="1"/>
  <c r="G189" i="21"/>
  <c r="R189" i="21"/>
  <c r="I192" i="21"/>
  <c r="V192" i="21"/>
  <c r="I196" i="21"/>
  <c r="V196" i="21"/>
  <c r="K268" i="46"/>
  <c r="Q188" i="21"/>
  <c r="H188" i="21"/>
  <c r="P188" i="21"/>
  <c r="G188" i="21"/>
  <c r="O188" i="21"/>
  <c r="H189" i="21"/>
  <c r="S189" i="21"/>
  <c r="K192" i="21"/>
  <c r="O193" i="21"/>
  <c r="E193" i="21"/>
  <c r="K273" i="46"/>
  <c r="V193" i="21"/>
  <c r="N193" i="21"/>
  <c r="D193" i="21"/>
  <c r="R193" i="21"/>
  <c r="I193" i="21"/>
  <c r="S193" i="21"/>
  <c r="K196" i="21"/>
  <c r="O197" i="21"/>
  <c r="E197" i="21"/>
  <c r="V197" i="21"/>
  <c r="N197" i="21"/>
  <c r="D197" i="21"/>
  <c r="K277" i="46"/>
  <c r="R197" i="21"/>
  <c r="I197" i="21"/>
  <c r="S197" i="21"/>
  <c r="D188" i="21"/>
  <c r="R188" i="21"/>
  <c r="I189" i="21"/>
  <c r="T189" i="21"/>
  <c r="K271" i="46"/>
  <c r="S191" i="21"/>
  <c r="K191" i="21"/>
  <c r="R191" i="21"/>
  <c r="I191" i="21"/>
  <c r="V191" i="21"/>
  <c r="N191" i="21"/>
  <c r="D191" i="21"/>
  <c r="Q191" i="21"/>
  <c r="M192" i="21"/>
  <c r="G193" i="21"/>
  <c r="T193" i="21"/>
  <c r="S195" i="21"/>
  <c r="K195" i="21"/>
  <c r="R195" i="21"/>
  <c r="I195" i="21"/>
  <c r="V195" i="21"/>
  <c r="N195" i="21"/>
  <c r="D195" i="21"/>
  <c r="K275" i="46"/>
  <c r="Q195" i="21"/>
  <c r="M196" i="21"/>
  <c r="G197" i="21"/>
  <c r="T197" i="21"/>
  <c r="K189" i="21"/>
  <c r="U189" i="21"/>
  <c r="C94" i="46"/>
  <c r="M92" i="21"/>
  <c r="N92" i="21" s="1"/>
  <c r="Q92" i="21" s="1"/>
  <c r="K272" i="46"/>
  <c r="Q192" i="21"/>
  <c r="H192" i="21"/>
  <c r="P192" i="21"/>
  <c r="G192" i="21"/>
  <c r="T192" i="21"/>
  <c r="L192" i="21"/>
  <c r="R192" i="21"/>
  <c r="K276" i="46"/>
  <c r="Q196" i="21"/>
  <c r="H196" i="21"/>
  <c r="P196" i="21"/>
  <c r="G196" i="21"/>
  <c r="T196" i="21"/>
  <c r="L196" i="21"/>
  <c r="R196" i="21"/>
  <c r="K269" i="46"/>
  <c r="O189" i="21"/>
  <c r="E189" i="21"/>
  <c r="V189" i="21"/>
  <c r="N189" i="21"/>
  <c r="D189" i="21"/>
  <c r="Q189" i="21"/>
  <c r="E192" i="21"/>
  <c r="U192" i="21"/>
  <c r="E196" i="21"/>
  <c r="U196" i="21"/>
  <c r="K270" i="46"/>
  <c r="L190" i="21"/>
  <c r="T190" i="21"/>
  <c r="L194" i="21"/>
  <c r="T194" i="21"/>
  <c r="L198" i="21"/>
  <c r="T198" i="21"/>
  <c r="K278" i="46"/>
  <c r="M190" i="21"/>
  <c r="M194" i="21"/>
  <c r="U194" i="21"/>
  <c r="M198" i="21"/>
  <c r="I45" i="57" l="1"/>
  <c r="K45" i="57" s="1"/>
  <c r="I46" i="57"/>
  <c r="K46" i="57" s="1"/>
  <c r="H27" i="57"/>
  <c r="I47" i="57"/>
  <c r="K47" i="57" s="1"/>
  <c r="F39" i="57"/>
  <c r="H15" i="57"/>
  <c r="F37" i="57"/>
  <c r="F15" i="57"/>
  <c r="I15" i="57" s="1"/>
  <c r="K15" i="57" s="1"/>
  <c r="G26" i="57"/>
  <c r="G27" i="57"/>
  <c r="I27" i="57" s="1"/>
  <c r="K27" i="57" s="1"/>
  <c r="AA114" i="50" s="1"/>
  <c r="H37" i="57"/>
  <c r="I25" i="57"/>
  <c r="K25" i="57" s="1"/>
  <c r="AA111" i="50" s="1"/>
  <c r="I24" i="57"/>
  <c r="K24" i="57" s="1"/>
  <c r="H26" i="57"/>
  <c r="I33" i="57"/>
  <c r="K33" i="57" s="1"/>
  <c r="H17" i="57"/>
  <c r="F17" i="57"/>
  <c r="F18" i="57"/>
  <c r="I14" i="57"/>
  <c r="K14" i="57" s="1"/>
  <c r="I16" i="57"/>
  <c r="K16" i="57" s="1"/>
  <c r="I32" i="57"/>
  <c r="K32" i="57" s="1"/>
  <c r="F21" i="57"/>
  <c r="H21" i="57"/>
  <c r="I36" i="57"/>
  <c r="K36" i="57" s="1"/>
  <c r="I22" i="57"/>
  <c r="K22" i="57" s="1"/>
  <c r="AA120" i="50" s="1"/>
  <c r="K231" i="46" s="1"/>
  <c r="I12" i="57"/>
  <c r="K12" i="57" s="1"/>
  <c r="H39" i="57"/>
  <c r="I34" i="57"/>
  <c r="K34" i="57" s="1"/>
  <c r="H18" i="57"/>
  <c r="I28" i="57"/>
  <c r="K28" i="57" s="1"/>
  <c r="H41" i="57"/>
  <c r="I31" i="57"/>
  <c r="K31" i="57" s="1"/>
  <c r="I35" i="57"/>
  <c r="K35" i="57" s="1"/>
  <c r="F41" i="57"/>
  <c r="I13" i="57"/>
  <c r="K13" i="57" s="1"/>
  <c r="AA118" i="50"/>
  <c r="K202" i="46" s="1"/>
  <c r="F38" i="57"/>
  <c r="G38" i="57"/>
  <c r="F20" i="57"/>
  <c r="G20" i="57"/>
  <c r="H20" i="57"/>
  <c r="I23" i="57"/>
  <c r="K23" i="57" s="1"/>
  <c r="I29" i="57"/>
  <c r="K29" i="57" s="1"/>
  <c r="G40" i="57"/>
  <c r="F40" i="57"/>
  <c r="I30" i="57"/>
  <c r="K30" i="57" s="1"/>
  <c r="I19" i="57"/>
  <c r="K19" i="57" s="1"/>
  <c r="Q37" i="21"/>
  <c r="F9" i="21" s="1"/>
  <c r="Q24" i="21"/>
  <c r="Q44" i="21"/>
  <c r="Q17" i="21"/>
  <c r="C50" i="42"/>
  <c r="R9" i="21"/>
  <c r="C52" i="42"/>
  <c r="T9" i="21"/>
  <c r="C47" i="42"/>
  <c r="O9" i="21"/>
  <c r="C48" i="42"/>
  <c r="P9" i="21"/>
  <c r="C49" i="42"/>
  <c r="Q9" i="21"/>
  <c r="C45" i="42"/>
  <c r="M9" i="21"/>
  <c r="C51" i="42"/>
  <c r="S9" i="21"/>
  <c r="C46" i="42"/>
  <c r="N9" i="21"/>
  <c r="C44" i="42"/>
  <c r="L9" i="21"/>
  <c r="Q28" i="21"/>
  <c r="Q29" i="21" s="1"/>
  <c r="C16" i="32"/>
  <c r="D16" i="32"/>
  <c r="Q50" i="21"/>
  <c r="Q61" i="21"/>
  <c r="Q68" i="21"/>
  <c r="F14" i="32"/>
  <c r="AA110" i="50" l="1"/>
  <c r="AA116" i="50"/>
  <c r="AA108" i="50"/>
  <c r="I37" i="57"/>
  <c r="K37" i="57" s="1"/>
  <c r="I39" i="57"/>
  <c r="K39" i="57" s="1"/>
  <c r="I38" i="57"/>
  <c r="K38" i="57" s="1"/>
  <c r="I26" i="57"/>
  <c r="K26" i="57" s="1"/>
  <c r="I18" i="57"/>
  <c r="K18" i="57" s="1"/>
  <c r="I17" i="57"/>
  <c r="K17" i="57" s="1"/>
  <c r="K122" i="46"/>
  <c r="K118" i="46"/>
  <c r="K110" i="46"/>
  <c r="K121" i="46"/>
  <c r="K115" i="46"/>
  <c r="K112" i="46"/>
  <c r="K178" i="46"/>
  <c r="M178" i="46" s="1"/>
  <c r="K177" i="46"/>
  <c r="L177" i="46" s="1"/>
  <c r="AA122" i="50"/>
  <c r="K245" i="46" s="1"/>
  <c r="K200" i="46"/>
  <c r="AA112" i="50"/>
  <c r="K130" i="46" s="1"/>
  <c r="I41" i="57"/>
  <c r="K41" i="57" s="1"/>
  <c r="K213" i="46"/>
  <c r="K195" i="46"/>
  <c r="K211" i="46"/>
  <c r="AA113" i="50"/>
  <c r="K161" i="46" s="1"/>
  <c r="K207" i="46"/>
  <c r="K201" i="46"/>
  <c r="K104" i="46"/>
  <c r="K113" i="46"/>
  <c r="K198" i="46"/>
  <c r="K106" i="46"/>
  <c r="K206" i="46"/>
  <c r="K117" i="46"/>
  <c r="K119" i="46"/>
  <c r="K108" i="46"/>
  <c r="I21" i="57"/>
  <c r="K21" i="57" s="1"/>
  <c r="K107" i="46"/>
  <c r="K114" i="46"/>
  <c r="K179" i="46"/>
  <c r="K105" i="46"/>
  <c r="K109" i="46"/>
  <c r="K196" i="46"/>
  <c r="K209" i="46"/>
  <c r="K210" i="46"/>
  <c r="K199" i="46"/>
  <c r="K120" i="46"/>
  <c r="K111" i="46"/>
  <c r="K208" i="46"/>
  <c r="K212" i="46"/>
  <c r="K197" i="46"/>
  <c r="I40" i="57"/>
  <c r="K40" i="57" s="1"/>
  <c r="K116" i="46"/>
  <c r="K236" i="46"/>
  <c r="K227" i="46"/>
  <c r="K220" i="46"/>
  <c r="K223" i="46"/>
  <c r="K235" i="46"/>
  <c r="K226" i="46"/>
  <c r="K237" i="46"/>
  <c r="K230" i="46"/>
  <c r="K225" i="46"/>
  <c r="K228" i="46"/>
  <c r="K229" i="46"/>
  <c r="K224" i="46"/>
  <c r="K233" i="46"/>
  <c r="K232" i="46"/>
  <c r="K234" i="46"/>
  <c r="K222" i="46"/>
  <c r="K221" i="46"/>
  <c r="K219" i="46"/>
  <c r="I20" i="57"/>
  <c r="K20" i="57" s="1"/>
  <c r="K204" i="46"/>
  <c r="K203" i="46"/>
  <c r="K205" i="46"/>
  <c r="C37" i="42"/>
  <c r="E9" i="21"/>
  <c r="C43" i="42"/>
  <c r="K9" i="21"/>
  <c r="C42" i="42"/>
  <c r="J9" i="21"/>
  <c r="C40" i="42"/>
  <c r="H9" i="21"/>
  <c r="C36" i="42"/>
  <c r="D9" i="21"/>
  <c r="C39" i="42"/>
  <c r="G9" i="21"/>
  <c r="C35" i="42"/>
  <c r="C9" i="21"/>
  <c r="C38" i="42"/>
  <c r="F15" i="32"/>
  <c r="F16" i="32" s="1"/>
  <c r="G12" i="50"/>
  <c r="G14" i="50" s="1"/>
  <c r="K31" i="46" l="1"/>
  <c r="K33" i="46"/>
  <c r="K32" i="46"/>
  <c r="K188" i="46"/>
  <c r="K186" i="46"/>
  <c r="K187" i="46"/>
  <c r="K45" i="46"/>
  <c r="K54" i="46"/>
  <c r="K47" i="46"/>
  <c r="K48" i="46"/>
  <c r="K56" i="46"/>
  <c r="K39" i="46"/>
  <c r="K43" i="46"/>
  <c r="K41" i="46"/>
  <c r="K42" i="46"/>
  <c r="K40" i="46"/>
  <c r="K46" i="46"/>
  <c r="K52" i="46"/>
  <c r="K51" i="46"/>
  <c r="K57" i="46"/>
  <c r="K53" i="46"/>
  <c r="K44" i="46"/>
  <c r="K49" i="46"/>
  <c r="K50" i="46"/>
  <c r="K55" i="46"/>
  <c r="K134" i="46"/>
  <c r="K136" i="46"/>
  <c r="K142" i="46"/>
  <c r="K131" i="46"/>
  <c r="K138" i="46"/>
  <c r="K146" i="46"/>
  <c r="K141" i="46"/>
  <c r="K133" i="46"/>
  <c r="K128" i="46"/>
  <c r="K145" i="46"/>
  <c r="K144" i="46"/>
  <c r="K140" i="46"/>
  <c r="K135" i="46"/>
  <c r="K143" i="46"/>
  <c r="K139" i="46"/>
  <c r="K129" i="46"/>
  <c r="M177" i="46"/>
  <c r="K248" i="46"/>
  <c r="K246" i="46"/>
  <c r="K244" i="46"/>
  <c r="K252" i="46"/>
  <c r="K250" i="46"/>
  <c r="K253" i="46"/>
  <c r="K257" i="46"/>
  <c r="K255" i="46"/>
  <c r="K251" i="46"/>
  <c r="K258" i="46"/>
  <c r="K243" i="46"/>
  <c r="K260" i="46"/>
  <c r="K261" i="46"/>
  <c r="K249" i="46"/>
  <c r="K259" i="46"/>
  <c r="K256" i="46"/>
  <c r="K254" i="46"/>
  <c r="K247" i="46"/>
  <c r="K137" i="46"/>
  <c r="K132" i="46"/>
  <c r="P178" i="46"/>
  <c r="O178" i="46"/>
  <c r="K157" i="46"/>
  <c r="K156" i="46"/>
  <c r="K170" i="46"/>
  <c r="Q177" i="46"/>
  <c r="K168" i="46"/>
  <c r="N178" i="46"/>
  <c r="P177" i="46"/>
  <c r="K155" i="46"/>
  <c r="K169" i="46"/>
  <c r="K160" i="46"/>
  <c r="Q178" i="46"/>
  <c r="K166" i="46"/>
  <c r="K153" i="46"/>
  <c r="N177" i="46"/>
  <c r="L178" i="46"/>
  <c r="K167" i="46"/>
  <c r="K154" i="46"/>
  <c r="K165" i="46"/>
  <c r="K158" i="46"/>
  <c r="K159" i="46"/>
  <c r="O177" i="46"/>
  <c r="K152" i="46"/>
  <c r="K162" i="46"/>
  <c r="K164" i="46"/>
  <c r="K163" i="46"/>
  <c r="Q179" i="46"/>
  <c r="L179" i="46"/>
  <c r="P179" i="46"/>
  <c r="O179" i="46"/>
  <c r="N179" i="46"/>
  <c r="N180" i="46" s="1"/>
  <c r="N18" i="46" s="1"/>
  <c r="M179" i="46"/>
  <c r="M180" i="46" s="1"/>
  <c r="M18" i="46" s="1"/>
  <c r="F25" i="50"/>
  <c r="F27" i="50" s="1"/>
  <c r="F28" i="50" s="1"/>
  <c r="F41" i="50"/>
  <c r="F30" i="50" l="1"/>
  <c r="F31" i="50" s="1"/>
  <c r="F32" i="50" s="1"/>
  <c r="F29" i="50"/>
  <c r="Q180" i="46"/>
  <c r="Q18" i="46" s="1"/>
  <c r="O180" i="46"/>
  <c r="P180" i="46"/>
  <c r="L180" i="46"/>
  <c r="L18" i="46" s="1"/>
  <c r="O18" i="46"/>
  <c r="H41" i="50"/>
  <c r="K41" i="50"/>
  <c r="G26" i="50" s="1"/>
  <c r="G27" i="50" s="1"/>
  <c r="I41" i="50"/>
  <c r="J41" i="50"/>
  <c r="G41" i="50"/>
  <c r="O181" i="46" l="1"/>
  <c r="F42" i="50"/>
  <c r="L84" i="50" s="1"/>
  <c r="D19" i="42" s="1"/>
  <c r="Q181" i="46"/>
  <c r="G29" i="50"/>
  <c r="G28" i="50"/>
  <c r="G30" i="50" s="1"/>
  <c r="G31" i="50" s="1"/>
  <c r="G32" i="50" s="1"/>
  <c r="N181" i="46"/>
  <c r="M181" i="46"/>
  <c r="P18" i="46"/>
  <c r="P181" i="46"/>
  <c r="D249" i="46" l="1"/>
  <c r="D225" i="46"/>
  <c r="D201" i="46"/>
  <c r="L201" i="46" s="1"/>
  <c r="D46" i="56"/>
  <c r="C7" i="47"/>
  <c r="D110" i="46"/>
  <c r="L110" i="46" s="1"/>
  <c r="D85" i="46"/>
  <c r="D85" i="56"/>
  <c r="L82" i="50"/>
  <c r="D17" i="42" s="1"/>
  <c r="D39" i="42" s="1"/>
  <c r="L89" i="50"/>
  <c r="D24" i="42" s="1"/>
  <c r="L94" i="50"/>
  <c r="D29" i="42" s="1"/>
  <c r="D51" i="42" s="1"/>
  <c r="J42" i="50"/>
  <c r="P84" i="50" s="1"/>
  <c r="H19" i="42" s="1"/>
  <c r="H42" i="50"/>
  <c r="N84" i="50" s="1"/>
  <c r="F19" i="42" s="1"/>
  <c r="K42" i="50"/>
  <c r="Q84" i="50" s="1"/>
  <c r="I19" i="42" s="1"/>
  <c r="L79" i="50"/>
  <c r="D14" i="42" s="1"/>
  <c r="G42" i="50"/>
  <c r="M81" i="50" s="1"/>
  <c r="E16" i="42" s="1"/>
  <c r="D8" i="42"/>
  <c r="L81" i="50"/>
  <c r="D16" i="42" s="1"/>
  <c r="I42" i="50"/>
  <c r="O84" i="50" s="1"/>
  <c r="G19" i="42" s="1"/>
  <c r="D7" i="56"/>
  <c r="D7" i="46"/>
  <c r="C5" i="47"/>
  <c r="C16" i="47" s="1"/>
  <c r="L90" i="50"/>
  <c r="D25" i="42" s="1"/>
  <c r="L85" i="50"/>
  <c r="D20" i="42" s="1"/>
  <c r="L78" i="50"/>
  <c r="D13" i="42" s="1"/>
  <c r="O87" i="50"/>
  <c r="G22" i="42" s="1"/>
  <c r="L87" i="50"/>
  <c r="D22" i="42" s="1"/>
  <c r="L80" i="50"/>
  <c r="D15" i="42" s="1"/>
  <c r="L83" i="50"/>
  <c r="D18" i="42" s="1"/>
  <c r="O83" i="50"/>
  <c r="G18" i="42" s="1"/>
  <c r="O92" i="50"/>
  <c r="G27" i="42" s="1"/>
  <c r="O78" i="50"/>
  <c r="G13" i="42" s="1"/>
  <c r="O82" i="50"/>
  <c r="G17" i="42" s="1"/>
  <c r="L92" i="50"/>
  <c r="D27" i="42" s="1"/>
  <c r="D47" i="42"/>
  <c r="N90" i="50"/>
  <c r="F25" i="42" s="1"/>
  <c r="L96" i="50"/>
  <c r="D31" i="42" s="1"/>
  <c r="L93" i="50"/>
  <c r="D28" i="42" s="1"/>
  <c r="L91" i="50"/>
  <c r="D26" i="42" s="1"/>
  <c r="L86" i="50"/>
  <c r="D21" i="42" s="1"/>
  <c r="L88" i="50"/>
  <c r="D23" i="42" s="1"/>
  <c r="L95" i="50"/>
  <c r="D30" i="42" s="1"/>
  <c r="O91" i="50"/>
  <c r="G26" i="42" s="1"/>
  <c r="O94" i="50"/>
  <c r="G29" i="42" s="1"/>
  <c r="O80" i="50"/>
  <c r="G15" i="42" s="1"/>
  <c r="D115" i="46"/>
  <c r="L115" i="46" s="1"/>
  <c r="D206" i="56"/>
  <c r="O86" i="50"/>
  <c r="G21" i="42" s="1"/>
  <c r="C17" i="47"/>
  <c r="C19" i="47"/>
  <c r="D43" i="46"/>
  <c r="L43" i="46" s="1"/>
  <c r="D247" i="56"/>
  <c r="D156" i="56"/>
  <c r="D132" i="56"/>
  <c r="C14" i="47"/>
  <c r="P89" i="50"/>
  <c r="H24" i="42" s="1"/>
  <c r="C22" i="47"/>
  <c r="D249" i="56"/>
  <c r="L225" i="46"/>
  <c r="L249" i="46"/>
  <c r="D41" i="42"/>
  <c r="D45" i="46"/>
  <c r="L45" i="46" s="1"/>
  <c r="D158" i="46"/>
  <c r="L158" i="46" s="1"/>
  <c r="D134" i="56"/>
  <c r="D201" i="56"/>
  <c r="D134" i="46"/>
  <c r="L134" i="46" s="1"/>
  <c r="D158" i="56"/>
  <c r="D110" i="56"/>
  <c r="D225" i="56"/>
  <c r="D159" i="46" l="1"/>
  <c r="L159" i="46" s="1"/>
  <c r="D226" i="46"/>
  <c r="L226" i="46" s="1"/>
  <c r="D250" i="46"/>
  <c r="D202" i="46"/>
  <c r="D139" i="46"/>
  <c r="L139" i="46" s="1"/>
  <c r="D254" i="46"/>
  <c r="D230" i="46"/>
  <c r="L230" i="46" s="1"/>
  <c r="D206" i="46"/>
  <c r="L206" i="46" s="1"/>
  <c r="H85" i="46"/>
  <c r="H225" i="46"/>
  <c r="H201" i="46"/>
  <c r="P201" i="46" s="1"/>
  <c r="H249" i="46"/>
  <c r="P249" i="46" s="1"/>
  <c r="G197" i="46"/>
  <c r="G245" i="46"/>
  <c r="O245" i="46" s="1"/>
  <c r="G221" i="46"/>
  <c r="D202" i="56"/>
  <c r="G235" i="46"/>
  <c r="G211" i="46"/>
  <c r="G259" i="46"/>
  <c r="O259" i="46" s="1"/>
  <c r="G209" i="46"/>
  <c r="O209" i="46" s="1"/>
  <c r="G257" i="46"/>
  <c r="O257" i="46" s="1"/>
  <c r="G233" i="46"/>
  <c r="D108" i="46"/>
  <c r="L108" i="46" s="1"/>
  <c r="G200" i="46"/>
  <c r="O200" i="46" s="1"/>
  <c r="G248" i="46"/>
  <c r="G224" i="46"/>
  <c r="G225" i="46"/>
  <c r="G201" i="46"/>
  <c r="G249" i="46"/>
  <c r="H230" i="46"/>
  <c r="P230" i="46" s="1"/>
  <c r="H254" i="46"/>
  <c r="H206" i="46"/>
  <c r="P206" i="46" s="1"/>
  <c r="D229" i="46"/>
  <c r="L229" i="46" s="1"/>
  <c r="D205" i="46"/>
  <c r="D253" i="46"/>
  <c r="L253" i="46" s="1"/>
  <c r="D200" i="46"/>
  <c r="D248" i="46"/>
  <c r="D224" i="46"/>
  <c r="D198" i="46"/>
  <c r="D246" i="46"/>
  <c r="D222" i="46"/>
  <c r="D120" i="56"/>
  <c r="D227" i="46"/>
  <c r="L227" i="46" s="1"/>
  <c r="D251" i="46"/>
  <c r="L251" i="46" s="1"/>
  <c r="D203" i="46"/>
  <c r="L203" i="46" s="1"/>
  <c r="D197" i="46"/>
  <c r="D245" i="46"/>
  <c r="L245" i="46" s="1"/>
  <c r="D221" i="46"/>
  <c r="L221" i="46" s="1"/>
  <c r="G195" i="46"/>
  <c r="G243" i="46"/>
  <c r="G219" i="46"/>
  <c r="D132" i="46"/>
  <c r="L132" i="46" s="1"/>
  <c r="D199" i="46"/>
  <c r="L199" i="46" s="1"/>
  <c r="D247" i="46"/>
  <c r="L247" i="46" s="1"/>
  <c r="D223" i="46"/>
  <c r="L223" i="46" s="1"/>
  <c r="G232" i="46"/>
  <c r="O232" i="46" s="1"/>
  <c r="G256" i="46"/>
  <c r="O256" i="46" s="1"/>
  <c r="G208" i="46"/>
  <c r="D212" i="46"/>
  <c r="D260" i="46"/>
  <c r="L260" i="46" s="1"/>
  <c r="D236" i="46"/>
  <c r="G203" i="46"/>
  <c r="G227" i="46"/>
  <c r="G251" i="46"/>
  <c r="D208" i="46"/>
  <c r="D256" i="46"/>
  <c r="L256" i="46" s="1"/>
  <c r="D232" i="46"/>
  <c r="L232" i="46" s="1"/>
  <c r="D228" i="46"/>
  <c r="L228" i="46" s="1"/>
  <c r="D252" i="46"/>
  <c r="L252" i="46" s="1"/>
  <c r="D204" i="46"/>
  <c r="E198" i="46"/>
  <c r="E246" i="46"/>
  <c r="M246" i="46" s="1"/>
  <c r="E222" i="46"/>
  <c r="D91" i="46"/>
  <c r="D231" i="46"/>
  <c r="D255" i="46"/>
  <c r="L255" i="46" s="1"/>
  <c r="D207" i="46"/>
  <c r="H201" i="56"/>
  <c r="D50" i="46"/>
  <c r="L50" i="46" s="1"/>
  <c r="D210" i="46"/>
  <c r="L210" i="46" s="1"/>
  <c r="D258" i="46"/>
  <c r="L258" i="46" s="1"/>
  <c r="D234" i="46"/>
  <c r="G252" i="46"/>
  <c r="O252" i="46" s="1"/>
  <c r="G228" i="46"/>
  <c r="G204" i="46"/>
  <c r="D220" i="46"/>
  <c r="D196" i="46"/>
  <c r="D244" i="46"/>
  <c r="H110" i="46"/>
  <c r="P110" i="46" s="1"/>
  <c r="D209" i="46"/>
  <c r="D257" i="46"/>
  <c r="L257" i="46" s="1"/>
  <c r="D233" i="46"/>
  <c r="L233" i="46" s="1"/>
  <c r="G223" i="46"/>
  <c r="O223" i="46" s="1"/>
  <c r="G247" i="46"/>
  <c r="G199" i="46"/>
  <c r="D261" i="46"/>
  <c r="L261" i="46" s="1"/>
  <c r="D237" i="46"/>
  <c r="D213" i="46"/>
  <c r="I158" i="56"/>
  <c r="I225" i="46"/>
  <c r="I201" i="46"/>
  <c r="I249" i="46"/>
  <c r="Q249" i="46" s="1"/>
  <c r="D235" i="56"/>
  <c r="D259" i="46"/>
  <c r="D211" i="46"/>
  <c r="D235" i="46"/>
  <c r="D230" i="56"/>
  <c r="F207" i="46"/>
  <c r="N207" i="46" s="1"/>
  <c r="F255" i="46"/>
  <c r="F231" i="46"/>
  <c r="D243" i="46"/>
  <c r="D195" i="46"/>
  <c r="D219" i="46"/>
  <c r="F225" i="46"/>
  <c r="N225" i="46" s="1"/>
  <c r="F201" i="46"/>
  <c r="N201" i="46" s="1"/>
  <c r="F249" i="46"/>
  <c r="H8" i="42"/>
  <c r="D259" i="56"/>
  <c r="H45" i="46"/>
  <c r="P45" i="46" s="1"/>
  <c r="L211" i="46"/>
  <c r="P80" i="50"/>
  <c r="H15" i="42" s="1"/>
  <c r="C25" i="47"/>
  <c r="D104" i="56"/>
  <c r="O89" i="50"/>
  <c r="G24" i="42" s="1"/>
  <c r="P93" i="50"/>
  <c r="H28" i="42" s="1"/>
  <c r="D207" i="56"/>
  <c r="G5" i="47"/>
  <c r="G16" i="47" s="1"/>
  <c r="C11" i="47"/>
  <c r="C18" i="47"/>
  <c r="D83" i="46"/>
  <c r="P85" i="50"/>
  <c r="H20" i="42" s="1"/>
  <c r="H7" i="56"/>
  <c r="L231" i="46"/>
  <c r="C15" i="47"/>
  <c r="P92" i="50"/>
  <c r="H27" i="42" s="1"/>
  <c r="L207" i="46"/>
  <c r="P96" i="50"/>
  <c r="H31" i="42" s="1"/>
  <c r="H122" i="46" s="1"/>
  <c r="P122" i="46" s="1"/>
  <c r="D144" i="56"/>
  <c r="D35" i="42"/>
  <c r="D199" i="56"/>
  <c r="D144" i="46"/>
  <c r="L144" i="46" s="1"/>
  <c r="P94" i="50"/>
  <c r="H29" i="42" s="1"/>
  <c r="Q82" i="50"/>
  <c r="I17" i="42" s="1"/>
  <c r="I7" i="46"/>
  <c r="D46" i="46"/>
  <c r="L46" i="46" s="1"/>
  <c r="H225" i="56"/>
  <c r="H5" i="47"/>
  <c r="H26" i="47" s="1"/>
  <c r="D42" i="42"/>
  <c r="D168" i="56"/>
  <c r="N88" i="50"/>
  <c r="F23" i="42" s="1"/>
  <c r="F138" i="56" s="1"/>
  <c r="P81" i="50"/>
  <c r="H16" i="42" s="1"/>
  <c r="D164" i="46"/>
  <c r="L164" i="46" s="1"/>
  <c r="P91" i="50"/>
  <c r="H26" i="42" s="1"/>
  <c r="N94" i="50"/>
  <c r="F29" i="42" s="1"/>
  <c r="L250" i="46"/>
  <c r="N83" i="50"/>
  <c r="F18" i="42" s="1"/>
  <c r="C20" i="47"/>
  <c r="D163" i="56"/>
  <c r="Q92" i="50"/>
  <c r="I27" i="42" s="1"/>
  <c r="D159" i="56"/>
  <c r="C28" i="47"/>
  <c r="D55" i="46"/>
  <c r="L55" i="46" s="1"/>
  <c r="P83" i="50"/>
  <c r="H18" i="42" s="1"/>
  <c r="C27" i="47"/>
  <c r="D46" i="42"/>
  <c r="C10" i="47"/>
  <c r="C13" i="47"/>
  <c r="H7" i="46"/>
  <c r="C26" i="47"/>
  <c r="E82" i="56"/>
  <c r="E43" i="56"/>
  <c r="D245" i="56"/>
  <c r="D42" i="56"/>
  <c r="L42" i="56" s="1"/>
  <c r="D81" i="56"/>
  <c r="D82" i="56"/>
  <c r="D43" i="56"/>
  <c r="L43" i="56" s="1"/>
  <c r="D49" i="56"/>
  <c r="L49" i="56" s="1"/>
  <c r="D88" i="56"/>
  <c r="D88" i="46"/>
  <c r="D112" i="56"/>
  <c r="D48" i="56"/>
  <c r="L48" i="56" s="1"/>
  <c r="D87" i="56"/>
  <c r="D232" i="56"/>
  <c r="D53" i="56"/>
  <c r="L53" i="56" s="1"/>
  <c r="D92" i="56"/>
  <c r="M84" i="50"/>
  <c r="E19" i="42" s="1"/>
  <c r="E45" i="46" s="1"/>
  <c r="M45" i="46" s="1"/>
  <c r="M90" i="50"/>
  <c r="E25" i="42" s="1"/>
  <c r="M83" i="50"/>
  <c r="E18" i="42" s="1"/>
  <c r="E8" i="42"/>
  <c r="E7" i="46"/>
  <c r="D55" i="56"/>
  <c r="L55" i="56" s="1"/>
  <c r="D94" i="56"/>
  <c r="G93" i="56"/>
  <c r="G54" i="56"/>
  <c r="O54" i="56" s="1"/>
  <c r="O204" i="46"/>
  <c r="G88" i="56"/>
  <c r="G49" i="56"/>
  <c r="D196" i="56"/>
  <c r="D41" i="56"/>
  <c r="L41" i="56" s="1"/>
  <c r="D80" i="56"/>
  <c r="D146" i="56"/>
  <c r="D58" i="56"/>
  <c r="L58" i="56" s="1"/>
  <c r="D97" i="46"/>
  <c r="D97" i="56"/>
  <c r="I110" i="46"/>
  <c r="Q110" i="46" s="1"/>
  <c r="I85" i="56"/>
  <c r="I46" i="56"/>
  <c r="H7" i="47"/>
  <c r="H163" i="56"/>
  <c r="H51" i="56"/>
  <c r="P51" i="56" s="1"/>
  <c r="H90" i="56"/>
  <c r="G81" i="56"/>
  <c r="G42" i="56"/>
  <c r="O42" i="56" s="1"/>
  <c r="F91" i="46"/>
  <c r="F91" i="56"/>
  <c r="F52" i="56"/>
  <c r="N52" i="56" s="1"/>
  <c r="G133" i="46"/>
  <c r="O133" i="46" s="1"/>
  <c r="G45" i="56"/>
  <c r="O45" i="56" s="1"/>
  <c r="G84" i="56"/>
  <c r="F201" i="56"/>
  <c r="F85" i="56"/>
  <c r="F46" i="56"/>
  <c r="N46" i="56" s="1"/>
  <c r="E7" i="47"/>
  <c r="E5" i="47"/>
  <c r="N82" i="50"/>
  <c r="F17" i="42" s="1"/>
  <c r="G235" i="56"/>
  <c r="G95" i="56"/>
  <c r="G56" i="56"/>
  <c r="N81" i="50"/>
  <c r="F16" i="42" s="1"/>
  <c r="F107" i="56" s="1"/>
  <c r="Q85" i="50"/>
  <c r="I20" i="42" s="1"/>
  <c r="D135" i="56"/>
  <c r="D86" i="56"/>
  <c r="D47" i="56"/>
  <c r="L47" i="56" s="1"/>
  <c r="H249" i="56"/>
  <c r="H85" i="56"/>
  <c r="H46" i="56"/>
  <c r="P46" i="56" s="1"/>
  <c r="G7" i="47"/>
  <c r="D86" i="46"/>
  <c r="N80" i="50"/>
  <c r="F15" i="42" s="1"/>
  <c r="N92" i="50"/>
  <c r="F27" i="42" s="1"/>
  <c r="N87" i="50"/>
  <c r="F22" i="42" s="1"/>
  <c r="P90" i="50"/>
  <c r="H25" i="42" s="1"/>
  <c r="P86" i="50"/>
  <c r="H21" i="42" s="1"/>
  <c r="G112" i="46"/>
  <c r="O112" i="46" s="1"/>
  <c r="G87" i="56"/>
  <c r="G48" i="56"/>
  <c r="O48" i="56" s="1"/>
  <c r="P225" i="46"/>
  <c r="O208" i="46"/>
  <c r="G92" i="56"/>
  <c r="G53" i="56"/>
  <c r="O53" i="56" s="1"/>
  <c r="Q88" i="50"/>
  <c r="I23" i="42" s="1"/>
  <c r="D140" i="56"/>
  <c r="D52" i="56"/>
  <c r="L52" i="56" s="1"/>
  <c r="D91" i="56"/>
  <c r="D95" i="46"/>
  <c r="D56" i="56"/>
  <c r="L56" i="56" s="1"/>
  <c r="D95" i="56"/>
  <c r="D111" i="56"/>
  <c r="P88" i="50"/>
  <c r="H23" i="42" s="1"/>
  <c r="P82" i="50"/>
  <c r="H17" i="42" s="1"/>
  <c r="N95" i="50"/>
  <c r="F30" i="42" s="1"/>
  <c r="H158" i="46"/>
  <c r="P158" i="46" s="1"/>
  <c r="P78" i="50"/>
  <c r="P95" i="50"/>
  <c r="H30" i="42" s="1"/>
  <c r="L259" i="46"/>
  <c r="D54" i="56"/>
  <c r="L54" i="56" s="1"/>
  <c r="D93" i="56"/>
  <c r="Q91" i="50"/>
  <c r="I26" i="42" s="1"/>
  <c r="I256" i="56" s="1"/>
  <c r="D254" i="56"/>
  <c r="D51" i="56"/>
  <c r="L51" i="56" s="1"/>
  <c r="D90" i="56"/>
  <c r="D111" i="46"/>
  <c r="L111" i="46" s="1"/>
  <c r="N91" i="50"/>
  <c r="F26" i="42" s="1"/>
  <c r="D120" i="46"/>
  <c r="L120" i="46" s="1"/>
  <c r="D211" i="56"/>
  <c r="H41" i="42"/>
  <c r="C24" i="47"/>
  <c r="L235" i="46"/>
  <c r="D168" i="46"/>
  <c r="L168" i="46" s="1"/>
  <c r="N78" i="50"/>
  <c r="F13" i="42" s="1"/>
  <c r="I8" i="42"/>
  <c r="D57" i="56"/>
  <c r="L57" i="56" s="1"/>
  <c r="D96" i="56"/>
  <c r="G156" i="56"/>
  <c r="G83" i="56"/>
  <c r="G44" i="56"/>
  <c r="F8" i="42"/>
  <c r="D223" i="56"/>
  <c r="D83" i="56"/>
  <c r="D44" i="56"/>
  <c r="L44" i="56" s="1"/>
  <c r="G48" i="46"/>
  <c r="O48" i="46" s="1"/>
  <c r="D135" i="46"/>
  <c r="L135" i="46" s="1"/>
  <c r="N96" i="50"/>
  <c r="F31" i="42" s="1"/>
  <c r="C23" i="47"/>
  <c r="P79" i="50"/>
  <c r="H14" i="42" s="1"/>
  <c r="F7" i="56"/>
  <c r="F7" i="46"/>
  <c r="D115" i="56"/>
  <c r="D139" i="56"/>
  <c r="D51" i="46"/>
  <c r="L51" i="46" s="1"/>
  <c r="N79" i="50"/>
  <c r="F14" i="42" s="1"/>
  <c r="G40" i="56"/>
  <c r="O40" i="56" s="1"/>
  <c r="G79" i="56"/>
  <c r="N85" i="50"/>
  <c r="F20" i="42" s="1"/>
  <c r="P87" i="50"/>
  <c r="H22" i="42" s="1"/>
  <c r="N86" i="50"/>
  <c r="F21" i="42" s="1"/>
  <c r="C21" i="47"/>
  <c r="C12" i="47"/>
  <c r="D108" i="56"/>
  <c r="N93" i="50"/>
  <c r="F28" i="42" s="1"/>
  <c r="N89" i="50"/>
  <c r="F24" i="42" s="1"/>
  <c r="L254" i="46"/>
  <c r="H110" i="56"/>
  <c r="D140" i="46"/>
  <c r="L140" i="46" s="1"/>
  <c r="L205" i="46"/>
  <c r="D50" i="56"/>
  <c r="L50" i="56" s="1"/>
  <c r="D89" i="56"/>
  <c r="Q90" i="50"/>
  <c r="I25" i="42" s="1"/>
  <c r="D84" i="56"/>
  <c r="D45" i="56"/>
  <c r="L45" i="56" s="1"/>
  <c r="O225" i="46"/>
  <c r="G85" i="56"/>
  <c r="G46" i="56"/>
  <c r="O46" i="56" s="1"/>
  <c r="F7" i="47"/>
  <c r="D128" i="56"/>
  <c r="D79" i="46"/>
  <c r="D32" i="56"/>
  <c r="D39" i="46"/>
  <c r="L39" i="46" s="1"/>
  <c r="D243" i="56"/>
  <c r="D186" i="56"/>
  <c r="L186" i="56" s="1"/>
  <c r="D152" i="46"/>
  <c r="L152" i="46" s="1"/>
  <c r="D31" i="46"/>
  <c r="D104" i="46"/>
  <c r="L104" i="46" s="1"/>
  <c r="D152" i="56"/>
  <c r="D79" i="56"/>
  <c r="D128" i="46"/>
  <c r="L128" i="46" s="1"/>
  <c r="D40" i="56"/>
  <c r="L40" i="56" s="1"/>
  <c r="D219" i="56"/>
  <c r="D186" i="46"/>
  <c r="L186" i="46" s="1"/>
  <c r="D195" i="56"/>
  <c r="D255" i="56"/>
  <c r="D231" i="56"/>
  <c r="D116" i="46"/>
  <c r="L116" i="46" s="1"/>
  <c r="D163" i="46"/>
  <c r="L163" i="46" s="1"/>
  <c r="F158" i="56"/>
  <c r="D155" i="46"/>
  <c r="L155" i="46" s="1"/>
  <c r="D188" i="46"/>
  <c r="L188" i="46" s="1"/>
  <c r="D42" i="46"/>
  <c r="L42" i="46" s="1"/>
  <c r="D107" i="56"/>
  <c r="L196" i="46"/>
  <c r="D187" i="56"/>
  <c r="L187" i="56" s="1"/>
  <c r="D32" i="46"/>
  <c r="L32" i="46" s="1"/>
  <c r="I85" i="46"/>
  <c r="D164" i="56"/>
  <c r="D90" i="46"/>
  <c r="H158" i="56"/>
  <c r="I158" i="46"/>
  <c r="Q158" i="46" s="1"/>
  <c r="Q201" i="46"/>
  <c r="H134" i="56"/>
  <c r="H134" i="46"/>
  <c r="P134" i="46" s="1"/>
  <c r="G158" i="46"/>
  <c r="O158" i="46" s="1"/>
  <c r="F225" i="56"/>
  <c r="F110" i="56"/>
  <c r="F41" i="42"/>
  <c r="F85" i="46"/>
  <c r="I249" i="56"/>
  <c r="I110" i="56"/>
  <c r="O228" i="46"/>
  <c r="G113" i="56"/>
  <c r="D250" i="56"/>
  <c r="D161" i="56"/>
  <c r="G137" i="56"/>
  <c r="G204" i="56"/>
  <c r="L202" i="46"/>
  <c r="D116" i="56"/>
  <c r="G206" i="56"/>
  <c r="D226" i="56"/>
  <c r="O201" i="46"/>
  <c r="G249" i="56"/>
  <c r="O249" i="46"/>
  <c r="G134" i="56"/>
  <c r="F110" i="46"/>
  <c r="N110" i="46" s="1"/>
  <c r="G85" i="46"/>
  <c r="G41" i="42"/>
  <c r="G225" i="56"/>
  <c r="G158" i="56"/>
  <c r="F134" i="56"/>
  <c r="F249" i="56"/>
  <c r="G134" i="46"/>
  <c r="O134" i="46" s="1"/>
  <c r="G110" i="56"/>
  <c r="N249" i="46"/>
  <c r="F45" i="46"/>
  <c r="N45" i="46" s="1"/>
  <c r="F158" i="46"/>
  <c r="N158" i="46" s="1"/>
  <c r="F134" i="46"/>
  <c r="N134" i="46" s="1"/>
  <c r="G200" i="56"/>
  <c r="G109" i="56"/>
  <c r="D198" i="56"/>
  <c r="D34" i="56"/>
  <c r="L198" i="46"/>
  <c r="D246" i="56"/>
  <c r="D155" i="56"/>
  <c r="D188" i="56"/>
  <c r="L188" i="56" s="1"/>
  <c r="D82" i="46"/>
  <c r="D222" i="56"/>
  <c r="L222" i="46"/>
  <c r="L246" i="46"/>
  <c r="D131" i="46"/>
  <c r="L131" i="46" s="1"/>
  <c r="D131" i="56"/>
  <c r="D38" i="42"/>
  <c r="D107" i="46"/>
  <c r="L107" i="46" s="1"/>
  <c r="D33" i="46"/>
  <c r="L33" i="46" s="1"/>
  <c r="D37" i="42"/>
  <c r="D105" i="46"/>
  <c r="L105" i="46" s="1"/>
  <c r="D33" i="56"/>
  <c r="L220" i="46"/>
  <c r="G248" i="56"/>
  <c r="G165" i="56"/>
  <c r="G161" i="46"/>
  <c r="O161" i="46" s="1"/>
  <c r="D5" i="47"/>
  <c r="D19" i="47" s="1"/>
  <c r="M88" i="50"/>
  <c r="E23" i="42" s="1"/>
  <c r="Q94" i="50"/>
  <c r="I29" i="42" s="1"/>
  <c r="Q86" i="50"/>
  <c r="I21" i="42" s="1"/>
  <c r="D244" i="56"/>
  <c r="D40" i="46"/>
  <c r="L40" i="46" s="1"/>
  <c r="Q78" i="50"/>
  <c r="I13" i="42" s="1"/>
  <c r="Q225" i="46"/>
  <c r="Q79" i="50"/>
  <c r="I14" i="42" s="1"/>
  <c r="Q87" i="50"/>
  <c r="I22" i="42" s="1"/>
  <c r="G157" i="56"/>
  <c r="M82" i="50"/>
  <c r="E17" i="42" s="1"/>
  <c r="D129" i="46"/>
  <c r="L129" i="46" s="1"/>
  <c r="G8" i="42"/>
  <c r="I201" i="56"/>
  <c r="O96" i="50"/>
  <c r="G31" i="42" s="1"/>
  <c r="D220" i="56"/>
  <c r="Q95" i="50"/>
  <c r="I30" i="42" s="1"/>
  <c r="L244" i="46"/>
  <c r="I134" i="46"/>
  <c r="Q134" i="46" s="1"/>
  <c r="G40" i="42"/>
  <c r="N255" i="46"/>
  <c r="G44" i="42"/>
  <c r="G228" i="56"/>
  <c r="M79" i="50"/>
  <c r="E14" i="42" s="1"/>
  <c r="M87" i="50"/>
  <c r="E22" i="42" s="1"/>
  <c r="M85" i="50"/>
  <c r="E20" i="42" s="1"/>
  <c r="M95" i="50"/>
  <c r="E30" i="42" s="1"/>
  <c r="M89" i="50"/>
  <c r="E24" i="42" s="1"/>
  <c r="M96" i="50"/>
  <c r="E31" i="42" s="1"/>
  <c r="I225" i="56"/>
  <c r="D153" i="56"/>
  <c r="G7" i="46"/>
  <c r="D36" i="42"/>
  <c r="Q93" i="50"/>
  <c r="I28" i="42" s="1"/>
  <c r="D129" i="56"/>
  <c r="G137" i="46"/>
  <c r="O137" i="46" s="1"/>
  <c r="M94" i="50"/>
  <c r="E29" i="42" s="1"/>
  <c r="M78" i="50"/>
  <c r="E13" i="42" s="1"/>
  <c r="E225" i="56"/>
  <c r="D153" i="46"/>
  <c r="L153" i="46" s="1"/>
  <c r="D80" i="46"/>
  <c r="O95" i="50"/>
  <c r="G30" i="42" s="1"/>
  <c r="F5" i="47"/>
  <c r="F15" i="47" s="1"/>
  <c r="Q96" i="50"/>
  <c r="I31" i="42" s="1"/>
  <c r="O79" i="50"/>
  <c r="G14" i="42" s="1"/>
  <c r="F164" i="46"/>
  <c r="N164" i="46" s="1"/>
  <c r="M86" i="50"/>
  <c r="E21" i="42" s="1"/>
  <c r="M92" i="50"/>
  <c r="E27" i="42" s="1"/>
  <c r="G161" i="56"/>
  <c r="M91" i="50"/>
  <c r="E26" i="42" s="1"/>
  <c r="E7" i="56"/>
  <c r="I41" i="42"/>
  <c r="G109" i="46"/>
  <c r="O109" i="46" s="1"/>
  <c r="G88" i="46"/>
  <c r="O85" i="50"/>
  <c r="G20" i="42" s="1"/>
  <c r="G201" i="56"/>
  <c r="Q81" i="50"/>
  <c r="I16" i="42" s="1"/>
  <c r="Q80" i="50"/>
  <c r="I15" i="42" s="1"/>
  <c r="D156" i="46"/>
  <c r="L156" i="46" s="1"/>
  <c r="M93" i="50"/>
  <c r="E28" i="42" s="1"/>
  <c r="I134" i="56"/>
  <c r="I165" i="46"/>
  <c r="Q165" i="46" s="1"/>
  <c r="G84" i="46"/>
  <c r="N231" i="46"/>
  <c r="G252" i="56"/>
  <c r="G113" i="46"/>
  <c r="O113" i="46" s="1"/>
  <c r="M80" i="50"/>
  <c r="E15" i="42" s="1"/>
  <c r="G45" i="46"/>
  <c r="O45" i="46" s="1"/>
  <c r="I45" i="46"/>
  <c r="Q45" i="46" s="1"/>
  <c r="O88" i="50"/>
  <c r="G23" i="42" s="1"/>
  <c r="Q83" i="50"/>
  <c r="I18" i="42" s="1"/>
  <c r="O81" i="50"/>
  <c r="G16" i="42" s="1"/>
  <c r="O224" i="46"/>
  <c r="G117" i="46"/>
  <c r="O117" i="46" s="1"/>
  <c r="O90" i="50"/>
  <c r="G25" i="42" s="1"/>
  <c r="O93" i="50"/>
  <c r="G28" i="42" s="1"/>
  <c r="G110" i="46"/>
  <c r="O110" i="46" s="1"/>
  <c r="G7" i="56"/>
  <c r="D187" i="46"/>
  <c r="L187" i="46" s="1"/>
  <c r="I7" i="56"/>
  <c r="Q89" i="50"/>
  <c r="I24" i="42" s="1"/>
  <c r="D105" i="56"/>
  <c r="D252" i="56"/>
  <c r="G199" i="56"/>
  <c r="I117" i="46"/>
  <c r="Q117" i="46" s="1"/>
  <c r="G51" i="42"/>
  <c r="D48" i="46"/>
  <c r="L48" i="46" s="1"/>
  <c r="G39" i="42"/>
  <c r="D204" i="56"/>
  <c r="G25" i="47"/>
  <c r="G83" i="46"/>
  <c r="H106" i="56"/>
  <c r="G132" i="46"/>
  <c r="O132" i="46" s="1"/>
  <c r="G224" i="56"/>
  <c r="G108" i="46"/>
  <c r="O108" i="46" s="1"/>
  <c r="G133" i="56"/>
  <c r="D113" i="56"/>
  <c r="G108" i="56"/>
  <c r="G132" i="56"/>
  <c r="D161" i="46"/>
  <c r="L161" i="46" s="1"/>
  <c r="D44" i="42"/>
  <c r="E246" i="56"/>
  <c r="G156" i="46"/>
  <c r="O156" i="46" s="1"/>
  <c r="L204" i="46"/>
  <c r="G223" i="56"/>
  <c r="L213" i="46"/>
  <c r="D118" i="56"/>
  <c r="D137" i="46"/>
  <c r="L137" i="46" s="1"/>
  <c r="D228" i="56"/>
  <c r="D106" i="56"/>
  <c r="E140" i="46"/>
  <c r="M140" i="46" s="1"/>
  <c r="G247" i="56"/>
  <c r="F11" i="47"/>
  <c r="G43" i="46"/>
  <c r="O43" i="46" s="1"/>
  <c r="L224" i="46"/>
  <c r="D197" i="56"/>
  <c r="D41" i="46"/>
  <c r="L41" i="46" s="1"/>
  <c r="D137" i="56"/>
  <c r="D113" i="46"/>
  <c r="L113" i="46" s="1"/>
  <c r="G48" i="42"/>
  <c r="O248" i="46"/>
  <c r="G141" i="46"/>
  <c r="O141" i="46" s="1"/>
  <c r="G44" i="46"/>
  <c r="O44" i="46" s="1"/>
  <c r="F51" i="46"/>
  <c r="N51" i="46" s="1"/>
  <c r="D133" i="56"/>
  <c r="D109" i="46"/>
  <c r="L109" i="46" s="1"/>
  <c r="D84" i="46"/>
  <c r="D109" i="56"/>
  <c r="D248" i="56"/>
  <c r="D224" i="56"/>
  <c r="G208" i="56"/>
  <c r="D154" i="56"/>
  <c r="D44" i="46"/>
  <c r="L44" i="46" s="1"/>
  <c r="D130" i="56"/>
  <c r="G157" i="46"/>
  <c r="O157" i="46" s="1"/>
  <c r="F164" i="56"/>
  <c r="D106" i="46"/>
  <c r="L106" i="46" s="1"/>
  <c r="D130" i="46"/>
  <c r="L130" i="46" s="1"/>
  <c r="D112" i="46"/>
  <c r="L112" i="46" s="1"/>
  <c r="L200" i="46"/>
  <c r="D138" i="46"/>
  <c r="L138" i="46" s="1"/>
  <c r="D133" i="46"/>
  <c r="L133" i="46" s="1"/>
  <c r="D203" i="56"/>
  <c r="D273" i="46"/>
  <c r="L273" i="46" s="1"/>
  <c r="L248" i="46"/>
  <c r="D200" i="56"/>
  <c r="D81" i="46"/>
  <c r="D157" i="56"/>
  <c r="D40" i="42"/>
  <c r="G87" i="46"/>
  <c r="F231" i="56"/>
  <c r="L197" i="46"/>
  <c r="D221" i="56"/>
  <c r="L46" i="56"/>
  <c r="D154" i="46"/>
  <c r="L154" i="46" s="1"/>
  <c r="D157" i="46"/>
  <c r="L157" i="46" s="1"/>
  <c r="G118" i="56"/>
  <c r="O56" i="56"/>
  <c r="G53" i="46"/>
  <c r="O53" i="46" s="1"/>
  <c r="G233" i="56"/>
  <c r="O233" i="46"/>
  <c r="G166" i="46"/>
  <c r="O166" i="46" s="1"/>
  <c r="G142" i="46"/>
  <c r="O142" i="46" s="1"/>
  <c r="G118" i="46"/>
  <c r="O118" i="46" s="1"/>
  <c r="G93" i="46"/>
  <c r="G49" i="42"/>
  <c r="G142" i="56"/>
  <c r="G257" i="56"/>
  <c r="G166" i="56"/>
  <c r="G209" i="56"/>
  <c r="D45" i="42"/>
  <c r="D253" i="56"/>
  <c r="D89" i="46"/>
  <c r="D205" i="56"/>
  <c r="D49" i="46"/>
  <c r="L49" i="46" s="1"/>
  <c r="D138" i="56"/>
  <c r="D114" i="46"/>
  <c r="L114" i="46" s="1"/>
  <c r="D162" i="56"/>
  <c r="D229" i="56"/>
  <c r="D136" i="46"/>
  <c r="L136" i="46" s="1"/>
  <c r="D277" i="46"/>
  <c r="L277" i="46" s="1"/>
  <c r="D251" i="56"/>
  <c r="D275" i="46"/>
  <c r="L275" i="46" s="1"/>
  <c r="D160" i="56"/>
  <c r="D269" i="46"/>
  <c r="L269" i="46" s="1"/>
  <c r="D136" i="56"/>
  <c r="D209" i="56"/>
  <c r="D53" i="46"/>
  <c r="L53" i="46" s="1"/>
  <c r="L209" i="46"/>
  <c r="D49" i="42"/>
  <c r="D118" i="46"/>
  <c r="L118" i="46" s="1"/>
  <c r="D142" i="56"/>
  <c r="D166" i="46"/>
  <c r="L166" i="46" s="1"/>
  <c r="D93" i="46"/>
  <c r="D257" i="56"/>
  <c r="D142" i="46"/>
  <c r="L142" i="46" s="1"/>
  <c r="D166" i="56"/>
  <c r="G92" i="46"/>
  <c r="D141" i="56"/>
  <c r="H237" i="56"/>
  <c r="D160" i="46"/>
  <c r="L160" i="46" s="1"/>
  <c r="O199" i="46"/>
  <c r="O247" i="46"/>
  <c r="D233" i="56"/>
  <c r="G52" i="46"/>
  <c r="O52" i="46" s="1"/>
  <c r="G165" i="46"/>
  <c r="O165" i="46" s="1"/>
  <c r="G232" i="56"/>
  <c r="G141" i="56"/>
  <c r="G117" i="56"/>
  <c r="D269" i="56"/>
  <c r="L269" i="56" s="1"/>
  <c r="D227" i="56"/>
  <c r="G256" i="56"/>
  <c r="D272" i="46"/>
  <c r="L272" i="46" s="1"/>
  <c r="D87" i="46"/>
  <c r="D43" i="42"/>
  <c r="G18" i="47"/>
  <c r="E155" i="56"/>
  <c r="F140" i="56"/>
  <c r="D165" i="56"/>
  <c r="D165" i="46"/>
  <c r="L165" i="46" s="1"/>
  <c r="L208" i="46"/>
  <c r="D141" i="46"/>
  <c r="L141" i="46" s="1"/>
  <c r="D92" i="46"/>
  <c r="D117" i="46"/>
  <c r="L117" i="46" s="1"/>
  <c r="D208" i="56"/>
  <c r="D117" i="56"/>
  <c r="D143" i="46"/>
  <c r="L143" i="46" s="1"/>
  <c r="D210" i="56"/>
  <c r="D167" i="56"/>
  <c r="D119" i="56"/>
  <c r="L234" i="46"/>
  <c r="D167" i="46"/>
  <c r="L167" i="46" s="1"/>
  <c r="D119" i="46"/>
  <c r="L119" i="46" s="1"/>
  <c r="D54" i="46"/>
  <c r="L54" i="46" s="1"/>
  <c r="D57" i="46"/>
  <c r="L57" i="46" s="1"/>
  <c r="D213" i="56"/>
  <c r="D261" i="56"/>
  <c r="D170" i="56"/>
  <c r="D53" i="42"/>
  <c r="L237" i="46"/>
  <c r="D146" i="46"/>
  <c r="L146" i="46" s="1"/>
  <c r="D271" i="46"/>
  <c r="L271" i="46" s="1"/>
  <c r="D275" i="56"/>
  <c r="L275" i="56" s="1"/>
  <c r="D143" i="56"/>
  <c r="F116" i="56"/>
  <c r="D268" i="56"/>
  <c r="L268" i="56" s="1"/>
  <c r="D271" i="56"/>
  <c r="L271" i="56" s="1"/>
  <c r="D170" i="46"/>
  <c r="L170" i="46" s="1"/>
  <c r="D94" i="46"/>
  <c r="D277" i="56"/>
  <c r="L277" i="56" s="1"/>
  <c r="F209" i="56"/>
  <c r="E198" i="56"/>
  <c r="D122" i="56"/>
  <c r="D50" i="42"/>
  <c r="D234" i="56"/>
  <c r="D276" i="46"/>
  <c r="L276" i="46" s="1"/>
  <c r="D274" i="46"/>
  <c r="L274" i="46" s="1"/>
  <c r="D273" i="56"/>
  <c r="L273" i="56" s="1"/>
  <c r="D270" i="46"/>
  <c r="L270" i="46" s="1"/>
  <c r="D52" i="46"/>
  <c r="L52" i="46" s="1"/>
  <c r="D121" i="56"/>
  <c r="D236" i="56"/>
  <c r="D212" i="56"/>
  <c r="L236" i="46"/>
  <c r="L212" i="46"/>
  <c r="D52" i="42"/>
  <c r="D169" i="46"/>
  <c r="L169" i="46" s="1"/>
  <c r="D96" i="46"/>
  <c r="D121" i="46"/>
  <c r="L121" i="46" s="1"/>
  <c r="D260" i="56"/>
  <c r="D145" i="56"/>
  <c r="D145" i="46"/>
  <c r="L145" i="46" s="1"/>
  <c r="D169" i="56"/>
  <c r="D56" i="46"/>
  <c r="L56" i="46" s="1"/>
  <c r="D32" i="42"/>
  <c r="D268" i="46"/>
  <c r="L268" i="46" s="1"/>
  <c r="F207" i="56"/>
  <c r="D278" i="56"/>
  <c r="L278" i="56" s="1"/>
  <c r="D258" i="56"/>
  <c r="G37" i="42"/>
  <c r="F116" i="46"/>
  <c r="N116" i="46" s="1"/>
  <c r="D276" i="56"/>
  <c r="L276" i="56" s="1"/>
  <c r="D274" i="56"/>
  <c r="L274" i="56" s="1"/>
  <c r="D122" i="46"/>
  <c r="L122" i="46" s="1"/>
  <c r="D237" i="56"/>
  <c r="D114" i="56"/>
  <c r="D278" i="46"/>
  <c r="L278" i="46" s="1"/>
  <c r="D48" i="42"/>
  <c r="L97" i="50"/>
  <c r="H91" i="46"/>
  <c r="E188" i="56"/>
  <c r="M188" i="56" s="1"/>
  <c r="F47" i="42"/>
  <c r="F255" i="56"/>
  <c r="D256" i="56"/>
  <c r="F140" i="46"/>
  <c r="N140" i="46" s="1"/>
  <c r="G169" i="56"/>
  <c r="F235" i="56"/>
  <c r="D272" i="56"/>
  <c r="L272" i="56" s="1"/>
  <c r="D270" i="56"/>
  <c r="L270" i="56" s="1"/>
  <c r="D162" i="46"/>
  <c r="L162" i="46" s="1"/>
  <c r="D47" i="46"/>
  <c r="L47" i="46" s="1"/>
  <c r="G95" i="46"/>
  <c r="E82" i="46"/>
  <c r="E16" i="47"/>
  <c r="E28" i="47"/>
  <c r="E21" i="47"/>
  <c r="E11" i="47"/>
  <c r="E15" i="47"/>
  <c r="E24" i="47"/>
  <c r="F138" i="46"/>
  <c r="N138" i="46" s="1"/>
  <c r="H82" i="46"/>
  <c r="H222" i="56"/>
  <c r="H107" i="46"/>
  <c r="P107" i="46" s="1"/>
  <c r="G245" i="56"/>
  <c r="G154" i="46"/>
  <c r="O154" i="46" s="1"/>
  <c r="G106" i="46"/>
  <c r="O106" i="46" s="1"/>
  <c r="O221" i="46"/>
  <c r="O197" i="46"/>
  <c r="G130" i="46"/>
  <c r="O130" i="46" s="1"/>
  <c r="G41" i="46"/>
  <c r="O41" i="46" s="1"/>
  <c r="G120" i="46"/>
  <c r="O120" i="46" s="1"/>
  <c r="G203" i="56"/>
  <c r="G43" i="42"/>
  <c r="G160" i="56"/>
  <c r="G136" i="56"/>
  <c r="G251" i="56"/>
  <c r="G136" i="46"/>
  <c r="O136" i="46" s="1"/>
  <c r="G144" i="46"/>
  <c r="O144" i="46" s="1"/>
  <c r="E42" i="46"/>
  <c r="M42" i="46" s="1"/>
  <c r="E131" i="56"/>
  <c r="E38" i="42"/>
  <c r="E34" i="56"/>
  <c r="M222" i="46"/>
  <c r="E107" i="56"/>
  <c r="E33" i="46"/>
  <c r="M33" i="46" s="1"/>
  <c r="E155" i="46"/>
  <c r="M155" i="46" s="1"/>
  <c r="G47" i="46"/>
  <c r="O47" i="46" s="1"/>
  <c r="G168" i="56"/>
  <c r="E107" i="46"/>
  <c r="M107" i="46" s="1"/>
  <c r="G55" i="46"/>
  <c r="O55" i="46" s="1"/>
  <c r="O251" i="46"/>
  <c r="G211" i="56"/>
  <c r="E131" i="46"/>
  <c r="M131" i="46" s="1"/>
  <c r="G221" i="56"/>
  <c r="O203" i="46"/>
  <c r="G168" i="46"/>
  <c r="O168" i="46" s="1"/>
  <c r="P254" i="46"/>
  <c r="H230" i="56"/>
  <c r="H139" i="56"/>
  <c r="H46" i="42"/>
  <c r="O227" i="46"/>
  <c r="E13" i="47"/>
  <c r="G112" i="56"/>
  <c r="G227" i="56"/>
  <c r="E188" i="46"/>
  <c r="M188" i="46" s="1"/>
  <c r="G144" i="56"/>
  <c r="G259" i="56"/>
  <c r="O235" i="46"/>
  <c r="G120" i="56"/>
  <c r="G81" i="46"/>
  <c r="G197" i="56"/>
  <c r="G160" i="46"/>
  <c r="O160" i="46" s="1"/>
  <c r="H116" i="56"/>
  <c r="H38" i="42"/>
  <c r="M198" i="46"/>
  <c r="G154" i="56"/>
  <c r="O211" i="46"/>
  <c r="G106" i="56"/>
  <c r="E222" i="56"/>
  <c r="G130" i="56"/>
  <c r="G19" i="47"/>
  <c r="H252" i="56"/>
  <c r="E12" i="47"/>
  <c r="H88" i="46"/>
  <c r="H159" i="46"/>
  <c r="P159" i="46" s="1"/>
  <c r="H115" i="56"/>
  <c r="G14" i="47"/>
  <c r="G28" i="47"/>
  <c r="H146" i="46"/>
  <c r="P146" i="46" s="1"/>
  <c r="H261" i="56"/>
  <c r="E196" i="56"/>
  <c r="H206" i="56"/>
  <c r="H81" i="46"/>
  <c r="G17" i="47"/>
  <c r="G10" i="47"/>
  <c r="H166" i="46"/>
  <c r="P166" i="46" s="1"/>
  <c r="H90" i="46"/>
  <c r="H254" i="56"/>
  <c r="H43" i="42"/>
  <c r="F111" i="56"/>
  <c r="H163" i="46"/>
  <c r="P163" i="46" s="1"/>
  <c r="G26" i="47"/>
  <c r="H122" i="56"/>
  <c r="H257" i="56"/>
  <c r="H47" i="46"/>
  <c r="P47" i="46" s="1"/>
  <c r="E187" i="46"/>
  <c r="M187" i="46" s="1"/>
  <c r="G12" i="47"/>
  <c r="E156" i="46"/>
  <c r="M156" i="46" s="1"/>
  <c r="H146" i="56"/>
  <c r="H160" i="56"/>
  <c r="H115" i="46"/>
  <c r="P115" i="46" s="1"/>
  <c r="H205" i="56"/>
  <c r="F248" i="56"/>
  <c r="H142" i="46"/>
  <c r="P142" i="46" s="1"/>
  <c r="E33" i="56"/>
  <c r="H251" i="56"/>
  <c r="H50" i="46"/>
  <c r="P50" i="46" s="1"/>
  <c r="H139" i="46"/>
  <c r="P139" i="46" s="1"/>
  <c r="G22" i="47"/>
  <c r="H197" i="56"/>
  <c r="F135" i="56"/>
  <c r="F135" i="46"/>
  <c r="N135" i="46" s="1"/>
  <c r="F159" i="56"/>
  <c r="F39" i="46"/>
  <c r="I39" i="46"/>
  <c r="G39" i="46"/>
  <c r="F186" i="56"/>
  <c r="F152" i="56"/>
  <c r="F195" i="56"/>
  <c r="F128" i="56"/>
  <c r="F31" i="46"/>
  <c r="F79" i="46"/>
  <c r="F35" i="42"/>
  <c r="L243" i="46"/>
  <c r="L219" i="46"/>
  <c r="L195" i="46"/>
  <c r="I186" i="56"/>
  <c r="I195" i="56"/>
  <c r="I32" i="56"/>
  <c r="I104" i="56"/>
  <c r="I128" i="56"/>
  <c r="I152" i="46"/>
  <c r="I128" i="46"/>
  <c r="G243" i="56"/>
  <c r="G219" i="56"/>
  <c r="G186" i="56"/>
  <c r="G152" i="56"/>
  <c r="G195" i="56"/>
  <c r="G128" i="56"/>
  <c r="G104" i="56"/>
  <c r="G32" i="56"/>
  <c r="G186" i="46"/>
  <c r="G152" i="46"/>
  <c r="G104" i="46"/>
  <c r="G128" i="46"/>
  <c r="G31" i="46"/>
  <c r="G79" i="46"/>
  <c r="G35" i="42"/>
  <c r="G202" i="56" l="1"/>
  <c r="G226" i="46"/>
  <c r="G202" i="46"/>
  <c r="G250" i="46"/>
  <c r="F228" i="46"/>
  <c r="N228" i="46" s="1"/>
  <c r="F204" i="46"/>
  <c r="N204" i="46" s="1"/>
  <c r="F252" i="46"/>
  <c r="N252" i="46" s="1"/>
  <c r="H92" i="56"/>
  <c r="H232" i="46"/>
  <c r="P232" i="46" s="1"/>
  <c r="H208" i="46"/>
  <c r="H256" i="46"/>
  <c r="P256" i="46" s="1"/>
  <c r="G96" i="46"/>
  <c r="G212" i="46"/>
  <c r="G260" i="46"/>
  <c r="G236" i="46"/>
  <c r="H212" i="46"/>
  <c r="H260" i="46"/>
  <c r="H236" i="46"/>
  <c r="P236" i="46" s="1"/>
  <c r="F257" i="46"/>
  <c r="N257" i="46" s="1"/>
  <c r="F233" i="46"/>
  <c r="N233" i="46" s="1"/>
  <c r="F209" i="46"/>
  <c r="N209" i="46" s="1"/>
  <c r="H200" i="56"/>
  <c r="H200" i="46"/>
  <c r="P200" i="46" s="1"/>
  <c r="H248" i="46"/>
  <c r="P248" i="46" s="1"/>
  <c r="H224" i="46"/>
  <c r="H170" i="46"/>
  <c r="P170" i="46" s="1"/>
  <c r="G222" i="56"/>
  <c r="G222" i="46"/>
  <c r="G246" i="46"/>
  <c r="G198" i="46"/>
  <c r="E170" i="46"/>
  <c r="M170" i="46" s="1"/>
  <c r="E213" i="46"/>
  <c r="M213" i="46" s="1"/>
  <c r="E237" i="46"/>
  <c r="M237" i="46" s="1"/>
  <c r="E261" i="46"/>
  <c r="I236" i="46"/>
  <c r="I212" i="46"/>
  <c r="I260" i="46"/>
  <c r="I195" i="46"/>
  <c r="I243" i="46"/>
  <c r="I219" i="46"/>
  <c r="F230" i="46"/>
  <c r="N230" i="46" s="1"/>
  <c r="F254" i="46"/>
  <c r="N254" i="46" s="1"/>
  <c r="F206" i="46"/>
  <c r="N206" i="46" s="1"/>
  <c r="I114" i="46"/>
  <c r="Q114" i="46" s="1"/>
  <c r="I229" i="46"/>
  <c r="I253" i="46"/>
  <c r="I205" i="46"/>
  <c r="Q205" i="46" s="1"/>
  <c r="F81" i="46"/>
  <c r="F245" i="46"/>
  <c r="F221" i="46"/>
  <c r="F197" i="46"/>
  <c r="H131" i="46"/>
  <c r="P131" i="46" s="1"/>
  <c r="H246" i="46"/>
  <c r="H222" i="46"/>
  <c r="H198" i="46"/>
  <c r="P198" i="46" s="1"/>
  <c r="F196" i="46"/>
  <c r="N196" i="46" s="1"/>
  <c r="F220" i="46"/>
  <c r="N220" i="46" s="1"/>
  <c r="F244" i="46"/>
  <c r="N244" i="46" s="1"/>
  <c r="I133" i="56"/>
  <c r="I224" i="46"/>
  <c r="I200" i="46"/>
  <c r="I248" i="46"/>
  <c r="F50" i="56"/>
  <c r="N50" i="56" s="1"/>
  <c r="F205" i="46"/>
  <c r="N205" i="46" s="1"/>
  <c r="F253" i="46"/>
  <c r="N253" i="46" s="1"/>
  <c r="F229" i="46"/>
  <c r="N229" i="46" s="1"/>
  <c r="G260" i="56"/>
  <c r="E167" i="46"/>
  <c r="M167" i="46" s="1"/>
  <c r="E210" i="46"/>
  <c r="E258" i="46"/>
  <c r="M258" i="46" s="1"/>
  <c r="E234" i="46"/>
  <c r="M234" i="46" s="1"/>
  <c r="E235" i="46"/>
  <c r="E211" i="46"/>
  <c r="E259" i="46"/>
  <c r="M259" i="46" s="1"/>
  <c r="E228" i="46"/>
  <c r="E204" i="46"/>
  <c r="E252" i="46"/>
  <c r="M252" i="46" s="1"/>
  <c r="I211" i="46"/>
  <c r="Q211" i="46" s="1"/>
  <c r="I235" i="46"/>
  <c r="Q235" i="46" s="1"/>
  <c r="I259" i="46"/>
  <c r="E233" i="46"/>
  <c r="M233" i="46" s="1"/>
  <c r="E209" i="46"/>
  <c r="M209" i="46" s="1"/>
  <c r="E257" i="46"/>
  <c r="E220" i="46"/>
  <c r="M220" i="46" s="1"/>
  <c r="E196" i="46"/>
  <c r="M196" i="46" s="1"/>
  <c r="E244" i="46"/>
  <c r="E205" i="46"/>
  <c r="E253" i="46"/>
  <c r="M253" i="46" s="1"/>
  <c r="E229" i="46"/>
  <c r="L189" i="56"/>
  <c r="L17" i="56" s="1"/>
  <c r="I207" i="56"/>
  <c r="I255" i="46"/>
  <c r="Q255" i="46" s="1"/>
  <c r="I207" i="46"/>
  <c r="Q207" i="46" s="1"/>
  <c r="I231" i="46"/>
  <c r="F160" i="46"/>
  <c r="N160" i="46" s="1"/>
  <c r="F227" i="46"/>
  <c r="F251" i="46"/>
  <c r="F203" i="46"/>
  <c r="H257" i="46"/>
  <c r="H209" i="46"/>
  <c r="P209" i="46" s="1"/>
  <c r="H233" i="46"/>
  <c r="P233" i="46" s="1"/>
  <c r="G230" i="46"/>
  <c r="O230" i="46" s="1"/>
  <c r="G254" i="46"/>
  <c r="G206" i="46"/>
  <c r="O206" i="46" s="1"/>
  <c r="E212" i="46"/>
  <c r="M212" i="46" s="1"/>
  <c r="E260" i="46"/>
  <c r="E236" i="46"/>
  <c r="F256" i="46"/>
  <c r="F232" i="46"/>
  <c r="F208" i="46"/>
  <c r="H53" i="56"/>
  <c r="P53" i="56" s="1"/>
  <c r="I227" i="46"/>
  <c r="Q227" i="46" s="1"/>
  <c r="I203" i="46"/>
  <c r="I251" i="46"/>
  <c r="Q251" i="46" s="1"/>
  <c r="F223" i="46"/>
  <c r="F247" i="46"/>
  <c r="N247" i="46" s="1"/>
  <c r="F199" i="46"/>
  <c r="N199" i="46" s="1"/>
  <c r="F114" i="56"/>
  <c r="H153" i="46"/>
  <c r="P153" i="46" s="1"/>
  <c r="H220" i="46"/>
  <c r="P220" i="46" s="1"/>
  <c r="H244" i="46"/>
  <c r="H196" i="46"/>
  <c r="H229" i="56"/>
  <c r="H229" i="46"/>
  <c r="P229" i="46" s="1"/>
  <c r="H205" i="46"/>
  <c r="P205" i="46" s="1"/>
  <c r="H253" i="46"/>
  <c r="P253" i="46" s="1"/>
  <c r="H57" i="46"/>
  <c r="P57" i="46" s="1"/>
  <c r="H145" i="46"/>
  <c r="P145" i="46" s="1"/>
  <c r="F44" i="42"/>
  <c r="E160" i="56"/>
  <c r="E203" i="46"/>
  <c r="E251" i="46"/>
  <c r="E227" i="46"/>
  <c r="E132" i="56"/>
  <c r="E223" i="46"/>
  <c r="E247" i="46"/>
  <c r="E199" i="46"/>
  <c r="H161" i="46"/>
  <c r="P161" i="46" s="1"/>
  <c r="H204" i="46"/>
  <c r="H228" i="46"/>
  <c r="H252" i="46"/>
  <c r="P252" i="46" s="1"/>
  <c r="F213" i="46"/>
  <c r="F237" i="46"/>
  <c r="N237" i="46" s="1"/>
  <c r="F261" i="46"/>
  <c r="N261" i="46" s="1"/>
  <c r="E109" i="56"/>
  <c r="E248" i="46"/>
  <c r="M248" i="46" s="1"/>
  <c r="E200" i="46"/>
  <c r="M200" i="46" s="1"/>
  <c r="E224" i="46"/>
  <c r="M224" i="46" s="1"/>
  <c r="F198" i="46"/>
  <c r="N198" i="46" s="1"/>
  <c r="F246" i="46"/>
  <c r="F222" i="46"/>
  <c r="Q230" i="46"/>
  <c r="I254" i="46"/>
  <c r="I230" i="46"/>
  <c r="I206" i="46"/>
  <c r="E195" i="46"/>
  <c r="M195" i="46" s="1"/>
  <c r="E243" i="46"/>
  <c r="E219" i="46"/>
  <c r="M219" i="46" s="1"/>
  <c r="H156" i="56"/>
  <c r="H247" i="46"/>
  <c r="P247" i="46" s="1"/>
  <c r="H223" i="46"/>
  <c r="P223" i="46" s="1"/>
  <c r="H199" i="46"/>
  <c r="I209" i="46"/>
  <c r="Q209" i="46" s="1"/>
  <c r="I257" i="46"/>
  <c r="Q257" i="46" s="1"/>
  <c r="I233" i="46"/>
  <c r="E154" i="46"/>
  <c r="M154" i="46" s="1"/>
  <c r="E221" i="46"/>
  <c r="E245" i="46"/>
  <c r="M245" i="46" s="1"/>
  <c r="E197" i="46"/>
  <c r="I154" i="56"/>
  <c r="I197" i="46"/>
  <c r="Q197" i="46" s="1"/>
  <c r="I245" i="46"/>
  <c r="Q245" i="46" s="1"/>
  <c r="I221" i="46"/>
  <c r="I54" i="46"/>
  <c r="Q54" i="46" s="1"/>
  <c r="I234" i="46"/>
  <c r="Q234" i="46" s="1"/>
  <c r="I258" i="46"/>
  <c r="Q258" i="46" s="1"/>
  <c r="I210" i="46"/>
  <c r="F202" i="46"/>
  <c r="F250" i="46"/>
  <c r="N250" i="46" s="1"/>
  <c r="F226" i="46"/>
  <c r="F219" i="46"/>
  <c r="F195" i="46"/>
  <c r="F243" i="46"/>
  <c r="I232" i="46"/>
  <c r="Q232" i="46" s="1"/>
  <c r="I208" i="46"/>
  <c r="Q208" i="46" s="1"/>
  <c r="I256" i="46"/>
  <c r="E207" i="46"/>
  <c r="E255" i="46"/>
  <c r="M255" i="46" s="1"/>
  <c r="E231" i="46"/>
  <c r="F200" i="46"/>
  <c r="N200" i="46" s="1"/>
  <c r="F248" i="46"/>
  <c r="F224" i="46"/>
  <c r="F187" i="46"/>
  <c r="N187" i="46" s="1"/>
  <c r="F228" i="56"/>
  <c r="G237" i="46"/>
  <c r="O237" i="46" s="1"/>
  <c r="G213" i="46"/>
  <c r="O213" i="46" s="1"/>
  <c r="G261" i="46"/>
  <c r="H237" i="46"/>
  <c r="P237" i="46" s="1"/>
  <c r="H213" i="46"/>
  <c r="P213" i="46" s="1"/>
  <c r="H261" i="46"/>
  <c r="E232" i="56"/>
  <c r="E232" i="46"/>
  <c r="E256" i="46"/>
  <c r="E208" i="46"/>
  <c r="H210" i="46"/>
  <c r="P210" i="46" s="1"/>
  <c r="H234" i="46"/>
  <c r="P234" i="46" s="1"/>
  <c r="H258" i="46"/>
  <c r="F45" i="42"/>
  <c r="G234" i="46"/>
  <c r="G210" i="46"/>
  <c r="O210" i="46" s="1"/>
  <c r="G258" i="46"/>
  <c r="O258" i="46" s="1"/>
  <c r="I222" i="46"/>
  <c r="I198" i="46"/>
  <c r="I246" i="46"/>
  <c r="Q246" i="46" s="1"/>
  <c r="G196" i="46"/>
  <c r="O196" i="46" s="1"/>
  <c r="G244" i="46"/>
  <c r="O244" i="46" s="1"/>
  <c r="G220" i="46"/>
  <c r="H227" i="46"/>
  <c r="H203" i="46"/>
  <c r="P203" i="46" s="1"/>
  <c r="H251" i="46"/>
  <c r="P251" i="46" s="1"/>
  <c r="E134" i="46"/>
  <c r="M134" i="46" s="1"/>
  <c r="E249" i="46"/>
  <c r="M249" i="46" s="1"/>
  <c r="E225" i="46"/>
  <c r="E201" i="46"/>
  <c r="I43" i="46"/>
  <c r="Q43" i="46" s="1"/>
  <c r="I199" i="46"/>
  <c r="I247" i="46"/>
  <c r="Q247" i="46" s="1"/>
  <c r="I223" i="46"/>
  <c r="Q223" i="46" s="1"/>
  <c r="I187" i="46"/>
  <c r="Q187" i="46" s="1"/>
  <c r="I220" i="46"/>
  <c r="I244" i="46"/>
  <c r="Q244" i="46" s="1"/>
  <c r="I196" i="46"/>
  <c r="Q196" i="46" s="1"/>
  <c r="E163" i="56"/>
  <c r="E254" i="46"/>
  <c r="E230" i="46"/>
  <c r="M230" i="46" s="1"/>
  <c r="E206" i="46"/>
  <c r="F210" i="46"/>
  <c r="N210" i="46" s="1"/>
  <c r="F258" i="46"/>
  <c r="F234" i="46"/>
  <c r="G205" i="46"/>
  <c r="G253" i="46"/>
  <c r="O253" i="46" s="1"/>
  <c r="G229" i="46"/>
  <c r="O229" i="46" s="1"/>
  <c r="F121" i="46"/>
  <c r="N121" i="46" s="1"/>
  <c r="F212" i="46"/>
  <c r="F260" i="46"/>
  <c r="N260" i="46" s="1"/>
  <c r="F236" i="46"/>
  <c r="N236" i="46" s="1"/>
  <c r="E226" i="56"/>
  <c r="E250" i="46"/>
  <c r="E226" i="46"/>
  <c r="E202" i="46"/>
  <c r="F89" i="56"/>
  <c r="H97" i="46"/>
  <c r="H169" i="46"/>
  <c r="P169" i="46" s="1"/>
  <c r="F161" i="46"/>
  <c r="N161" i="46" s="1"/>
  <c r="F229" i="56"/>
  <c r="F155" i="46"/>
  <c r="N155" i="46" s="1"/>
  <c r="G140" i="56"/>
  <c r="G207" i="46"/>
  <c r="O207" i="46" s="1"/>
  <c r="G255" i="46"/>
  <c r="G231" i="46"/>
  <c r="I237" i="46"/>
  <c r="I213" i="46"/>
  <c r="I261" i="46"/>
  <c r="I228" i="56"/>
  <c r="I252" i="46"/>
  <c r="Q252" i="46" s="1"/>
  <c r="I204" i="46"/>
  <c r="Q204" i="46" s="1"/>
  <c r="I228" i="46"/>
  <c r="Q228" i="46" s="1"/>
  <c r="H207" i="46"/>
  <c r="H255" i="46"/>
  <c r="H231" i="46"/>
  <c r="P231" i="46" s="1"/>
  <c r="I202" i="46"/>
  <c r="I250" i="46"/>
  <c r="I226" i="46"/>
  <c r="Q226" i="46" s="1"/>
  <c r="F55" i="46"/>
  <c r="N55" i="46" s="1"/>
  <c r="F235" i="46"/>
  <c r="F211" i="46"/>
  <c r="N211" i="46" s="1"/>
  <c r="F259" i="46"/>
  <c r="N259" i="46" s="1"/>
  <c r="H259" i="46"/>
  <c r="P259" i="46" s="1"/>
  <c r="H235" i="46"/>
  <c r="P235" i="46" s="1"/>
  <c r="H211" i="46"/>
  <c r="P250" i="46"/>
  <c r="H202" i="46"/>
  <c r="P202" i="46" s="1"/>
  <c r="H250" i="46"/>
  <c r="H226" i="46"/>
  <c r="P226" i="46" s="1"/>
  <c r="H245" i="46"/>
  <c r="P245" i="46" s="1"/>
  <c r="H197" i="46"/>
  <c r="H221" i="46"/>
  <c r="P221" i="46" s="1"/>
  <c r="I142" i="46"/>
  <c r="Q142" i="46" s="1"/>
  <c r="I93" i="46"/>
  <c r="I49" i="42"/>
  <c r="I142" i="56"/>
  <c r="I166" i="56"/>
  <c r="I233" i="56"/>
  <c r="I118" i="46"/>
  <c r="Q118" i="46" s="1"/>
  <c r="H55" i="56"/>
  <c r="P55" i="56" s="1"/>
  <c r="H119" i="56"/>
  <c r="H143" i="46"/>
  <c r="P143" i="46" s="1"/>
  <c r="H234" i="56"/>
  <c r="H167" i="46"/>
  <c r="P167" i="46" s="1"/>
  <c r="H258" i="56"/>
  <c r="H94" i="56"/>
  <c r="H54" i="46"/>
  <c r="P54" i="46" s="1"/>
  <c r="H143" i="56"/>
  <c r="P258" i="46"/>
  <c r="H94" i="46"/>
  <c r="H167" i="56"/>
  <c r="H50" i="42"/>
  <c r="H210" i="56"/>
  <c r="H119" i="46"/>
  <c r="P119" i="46" s="1"/>
  <c r="P255" i="46"/>
  <c r="H164" i="56"/>
  <c r="H140" i="56"/>
  <c r="H231" i="56"/>
  <c r="I159" i="56"/>
  <c r="I202" i="56"/>
  <c r="I250" i="56"/>
  <c r="I159" i="46"/>
  <c r="Q159" i="46" s="1"/>
  <c r="F105" i="46"/>
  <c r="N105" i="46" s="1"/>
  <c r="F187" i="56"/>
  <c r="N187" i="56" s="1"/>
  <c r="F220" i="56"/>
  <c r="F244" i="56"/>
  <c r="F105" i="56"/>
  <c r="F36" i="42"/>
  <c r="F33" i="56"/>
  <c r="F137" i="46"/>
  <c r="N137" i="46" s="1"/>
  <c r="F113" i="46"/>
  <c r="N113" i="46" s="1"/>
  <c r="F113" i="56"/>
  <c r="F88" i="46"/>
  <c r="F198" i="56"/>
  <c r="F246" i="56"/>
  <c r="F188" i="46"/>
  <c r="N188" i="46" s="1"/>
  <c r="F107" i="46"/>
  <c r="N107" i="46" s="1"/>
  <c r="F34" i="56"/>
  <c r="F131" i="56"/>
  <c r="F155" i="56"/>
  <c r="F196" i="56"/>
  <c r="H13" i="47"/>
  <c r="H14" i="47"/>
  <c r="H16" i="47"/>
  <c r="H10" i="47"/>
  <c r="H15" i="47"/>
  <c r="H23" i="47"/>
  <c r="H19" i="47"/>
  <c r="H25" i="47"/>
  <c r="H28" i="47"/>
  <c r="H22" i="47"/>
  <c r="H11" i="47"/>
  <c r="H24" i="47"/>
  <c r="H17" i="47"/>
  <c r="H21" i="47"/>
  <c r="I226" i="56"/>
  <c r="I135" i="56"/>
  <c r="H145" i="56"/>
  <c r="H96" i="46"/>
  <c r="H169" i="56"/>
  <c r="H260" i="56"/>
  <c r="H236" i="56"/>
  <c r="H121" i="56"/>
  <c r="F166" i="56"/>
  <c r="F93" i="46"/>
  <c r="F142" i="56"/>
  <c r="F257" i="56"/>
  <c r="F49" i="42"/>
  <c r="H54" i="56"/>
  <c r="P54" i="56" s="1"/>
  <c r="H49" i="42"/>
  <c r="H118" i="56"/>
  <c r="H233" i="56"/>
  <c r="H166" i="56"/>
  <c r="G163" i="56"/>
  <c r="G50" i="46"/>
  <c r="O50" i="46" s="1"/>
  <c r="G254" i="56"/>
  <c r="G90" i="46"/>
  <c r="F233" i="56"/>
  <c r="P260" i="46"/>
  <c r="G231" i="56"/>
  <c r="H121" i="46"/>
  <c r="P121" i="46" s="1"/>
  <c r="F166" i="46"/>
  <c r="N166" i="46" s="1"/>
  <c r="P212" i="46"/>
  <c r="H52" i="42"/>
  <c r="F118" i="46"/>
  <c r="N118" i="46" s="1"/>
  <c r="H93" i="46"/>
  <c r="G115" i="56"/>
  <c r="F256" i="56"/>
  <c r="F117" i="56"/>
  <c r="H212" i="56"/>
  <c r="P257" i="46"/>
  <c r="G139" i="56"/>
  <c r="H120" i="46"/>
  <c r="P120" i="46" s="1"/>
  <c r="H41" i="46"/>
  <c r="P41" i="46" s="1"/>
  <c r="P197" i="46"/>
  <c r="H154" i="56"/>
  <c r="H130" i="56"/>
  <c r="H81" i="56"/>
  <c r="H245" i="56"/>
  <c r="F118" i="56"/>
  <c r="F53" i="46"/>
  <c r="N53" i="46" s="1"/>
  <c r="I132" i="46"/>
  <c r="Q132" i="46" s="1"/>
  <c r="E146" i="46"/>
  <c r="M146" i="46" s="1"/>
  <c r="G115" i="46"/>
  <c r="O115" i="46" s="1"/>
  <c r="H142" i="56"/>
  <c r="D23" i="47"/>
  <c r="I156" i="56"/>
  <c r="H235" i="56"/>
  <c r="G163" i="46"/>
  <c r="O163" i="46" s="1"/>
  <c r="I39" i="42"/>
  <c r="O254" i="46"/>
  <c r="E22" i="47"/>
  <c r="E25" i="47"/>
  <c r="E14" i="47"/>
  <c r="G90" i="56"/>
  <c r="H221" i="56"/>
  <c r="E18" i="47"/>
  <c r="E221" i="56"/>
  <c r="F142" i="46"/>
  <c r="N142" i="46" s="1"/>
  <c r="G139" i="46"/>
  <c r="O139" i="46" s="1"/>
  <c r="I104" i="46"/>
  <c r="Q104" i="46" s="1"/>
  <c r="I31" i="46"/>
  <c r="Q31" i="46" s="1"/>
  <c r="I219" i="56"/>
  <c r="I35" i="42"/>
  <c r="G51" i="56"/>
  <c r="O51" i="56" s="1"/>
  <c r="H154" i="46"/>
  <c r="P154" i="46" s="1"/>
  <c r="H130" i="46"/>
  <c r="P130" i="46" s="1"/>
  <c r="E19" i="47"/>
  <c r="G46" i="42"/>
  <c r="E80" i="46"/>
  <c r="E244" i="56"/>
  <c r="F42" i="42"/>
  <c r="F159" i="46"/>
  <c r="N159" i="46" s="1"/>
  <c r="F243" i="56"/>
  <c r="F219" i="56"/>
  <c r="I141" i="46"/>
  <c r="Q141" i="46" s="1"/>
  <c r="E116" i="56"/>
  <c r="E207" i="56"/>
  <c r="H209" i="56"/>
  <c r="H53" i="46"/>
  <c r="P53" i="46" s="1"/>
  <c r="E27" i="47"/>
  <c r="H56" i="46"/>
  <c r="P56" i="46" s="1"/>
  <c r="I208" i="56"/>
  <c r="H106" i="46"/>
  <c r="P106" i="46" s="1"/>
  <c r="H37" i="42"/>
  <c r="G230" i="56"/>
  <c r="P227" i="46"/>
  <c r="H160" i="46"/>
  <c r="P160" i="46" s="1"/>
  <c r="H42" i="56"/>
  <c r="P42" i="56" s="1"/>
  <c r="H93" i="56"/>
  <c r="H97" i="56"/>
  <c r="P261" i="46"/>
  <c r="H53" i="42"/>
  <c r="H213" i="56"/>
  <c r="H170" i="56"/>
  <c r="H58" i="56"/>
  <c r="P58" i="56" s="1"/>
  <c r="F32" i="42"/>
  <c r="D34" i="46"/>
  <c r="D12" i="46" s="1"/>
  <c r="M199" i="46"/>
  <c r="F21" i="47"/>
  <c r="F270" i="46"/>
  <c r="N270" i="46" s="1"/>
  <c r="F44" i="46"/>
  <c r="N44" i="46" s="1"/>
  <c r="F210" i="56"/>
  <c r="C29" i="47"/>
  <c r="H47" i="56"/>
  <c r="P47" i="56" s="1"/>
  <c r="H86" i="56"/>
  <c r="I44" i="56"/>
  <c r="Q44" i="56" s="1"/>
  <c r="H111" i="46"/>
  <c r="P111" i="46" s="1"/>
  <c r="F109" i="46"/>
  <c r="N109" i="46" s="1"/>
  <c r="H40" i="42"/>
  <c r="H202" i="56"/>
  <c r="F121" i="56"/>
  <c r="P211" i="46"/>
  <c r="E157" i="46"/>
  <c r="M157" i="46" s="1"/>
  <c r="E111" i="46"/>
  <c r="M111" i="46" s="1"/>
  <c r="N224" i="46"/>
  <c r="F133" i="56"/>
  <c r="F84" i="46"/>
  <c r="H133" i="46"/>
  <c r="P133" i="46" s="1"/>
  <c r="H95" i="46"/>
  <c r="H168" i="46"/>
  <c r="P168" i="46" s="1"/>
  <c r="E122" i="56"/>
  <c r="E110" i="56"/>
  <c r="I108" i="56"/>
  <c r="H211" i="56"/>
  <c r="H116" i="46"/>
  <c r="P116" i="46" s="1"/>
  <c r="F221" i="56"/>
  <c r="G20" i="47"/>
  <c r="F162" i="46"/>
  <c r="N162" i="46" s="1"/>
  <c r="I42" i="42"/>
  <c r="I40" i="46"/>
  <c r="Q40" i="46" s="1"/>
  <c r="I154" i="46"/>
  <c r="Q154" i="46" s="1"/>
  <c r="H120" i="56"/>
  <c r="G11" i="47"/>
  <c r="E108" i="56"/>
  <c r="E134" i="56"/>
  <c r="F84" i="56"/>
  <c r="Q202" i="46"/>
  <c r="H51" i="46"/>
  <c r="P51" i="46" s="1"/>
  <c r="F204" i="56"/>
  <c r="G13" i="47"/>
  <c r="H159" i="56"/>
  <c r="I86" i="46"/>
  <c r="I168" i="56"/>
  <c r="F49" i="46"/>
  <c r="N49" i="46" s="1"/>
  <c r="H198" i="56"/>
  <c r="F260" i="56"/>
  <c r="G15" i="47"/>
  <c r="I132" i="56"/>
  <c r="H55" i="46"/>
  <c r="P55" i="46" s="1"/>
  <c r="F165" i="56"/>
  <c r="F33" i="46"/>
  <c r="N33" i="46" s="1"/>
  <c r="N222" i="46"/>
  <c r="F153" i="56"/>
  <c r="F45" i="56"/>
  <c r="N45" i="56" s="1"/>
  <c r="H135" i="46"/>
  <c r="P135" i="46" s="1"/>
  <c r="H168" i="56"/>
  <c r="I247" i="56"/>
  <c r="I156" i="46"/>
  <c r="Q156" i="46" s="1"/>
  <c r="F224" i="56"/>
  <c r="F167" i="46"/>
  <c r="N167" i="46" s="1"/>
  <c r="Q199" i="46"/>
  <c r="I83" i="56"/>
  <c r="H46" i="46"/>
  <c r="P46" i="46" s="1"/>
  <c r="F40" i="42"/>
  <c r="F141" i="46"/>
  <c r="N141" i="46" s="1"/>
  <c r="M231" i="46"/>
  <c r="H157" i="56"/>
  <c r="F145" i="46"/>
  <c r="N145" i="46" s="1"/>
  <c r="I37" i="42"/>
  <c r="I162" i="46"/>
  <c r="Q162" i="46" s="1"/>
  <c r="I83" i="46"/>
  <c r="H42" i="42"/>
  <c r="G21" i="47"/>
  <c r="G23" i="47"/>
  <c r="H140" i="46"/>
  <c r="P140" i="46" s="1"/>
  <c r="N248" i="46"/>
  <c r="H84" i="46"/>
  <c r="H48" i="46"/>
  <c r="P48" i="46" s="1"/>
  <c r="E138" i="46"/>
  <c r="M138" i="46" s="1"/>
  <c r="I111" i="46"/>
  <c r="Q111" i="46" s="1"/>
  <c r="H226" i="56"/>
  <c r="N212" i="46"/>
  <c r="I231" i="56"/>
  <c r="G24" i="47"/>
  <c r="I223" i="56"/>
  <c r="I199" i="56"/>
  <c r="F38" i="42"/>
  <c r="F222" i="56"/>
  <c r="E201" i="56"/>
  <c r="H56" i="56"/>
  <c r="P56" i="56" s="1"/>
  <c r="H118" i="46"/>
  <c r="P118" i="46" s="1"/>
  <c r="H86" i="46"/>
  <c r="I130" i="46"/>
  <c r="Q130" i="46" s="1"/>
  <c r="H111" i="56"/>
  <c r="F157" i="46"/>
  <c r="N157" i="46" s="1"/>
  <c r="I108" i="46"/>
  <c r="Q108" i="46" s="1"/>
  <c r="E158" i="46"/>
  <c r="M158" i="46" s="1"/>
  <c r="H117" i="46"/>
  <c r="P117" i="46" s="1"/>
  <c r="F48" i="42"/>
  <c r="H135" i="56"/>
  <c r="H132" i="46"/>
  <c r="P132" i="46" s="1"/>
  <c r="F109" i="56"/>
  <c r="H248" i="56"/>
  <c r="H250" i="56"/>
  <c r="H51" i="42"/>
  <c r="H144" i="56"/>
  <c r="I46" i="46"/>
  <c r="Q46" i="46" s="1"/>
  <c r="N208" i="46"/>
  <c r="F200" i="56"/>
  <c r="P246" i="46"/>
  <c r="F133" i="46"/>
  <c r="N133" i="46" s="1"/>
  <c r="F115" i="46"/>
  <c r="N115" i="46" s="1"/>
  <c r="H259" i="56"/>
  <c r="H144" i="46"/>
  <c r="P144" i="46" s="1"/>
  <c r="I116" i="56"/>
  <c r="G27" i="47"/>
  <c r="M201" i="46"/>
  <c r="H95" i="56"/>
  <c r="F157" i="56"/>
  <c r="E40" i="42"/>
  <c r="E200" i="56"/>
  <c r="F120" i="56"/>
  <c r="P244" i="46"/>
  <c r="E159" i="56"/>
  <c r="N251" i="46"/>
  <c r="F120" i="46"/>
  <c r="N120" i="46" s="1"/>
  <c r="H157" i="46"/>
  <c r="P157" i="46" s="1"/>
  <c r="H109" i="46"/>
  <c r="P109" i="46" s="1"/>
  <c r="H253" i="56"/>
  <c r="O231" i="46"/>
  <c r="P208" i="46"/>
  <c r="H42" i="46"/>
  <c r="P42" i="46" s="1"/>
  <c r="G164" i="46"/>
  <c r="O164" i="46" s="1"/>
  <c r="H155" i="56"/>
  <c r="F211" i="56"/>
  <c r="H33" i="56"/>
  <c r="F144" i="46"/>
  <c r="N144" i="46" s="1"/>
  <c r="E139" i="46"/>
  <c r="M139" i="46" s="1"/>
  <c r="H108" i="56"/>
  <c r="F271" i="56"/>
  <c r="N271" i="56" s="1"/>
  <c r="F56" i="56"/>
  <c r="N56" i="56" s="1"/>
  <c r="O255" i="46"/>
  <c r="F95" i="56"/>
  <c r="G116" i="56"/>
  <c r="H105" i="56"/>
  <c r="F251" i="56"/>
  <c r="G51" i="46"/>
  <c r="O51" i="46" s="1"/>
  <c r="G207" i="56"/>
  <c r="F168" i="56"/>
  <c r="E90" i="46"/>
  <c r="H132" i="56"/>
  <c r="N227" i="46"/>
  <c r="F47" i="46"/>
  <c r="N47" i="46" s="1"/>
  <c r="H228" i="56"/>
  <c r="E162" i="46"/>
  <c r="M162" i="46" s="1"/>
  <c r="H141" i="46"/>
  <c r="P141" i="46" s="1"/>
  <c r="H34" i="56"/>
  <c r="F168" i="46"/>
  <c r="N168" i="46" s="1"/>
  <c r="E46" i="42"/>
  <c r="D238" i="46"/>
  <c r="D21" i="46" s="1"/>
  <c r="G46" i="46"/>
  <c r="O46" i="46" s="1"/>
  <c r="H44" i="46"/>
  <c r="P44" i="46" s="1"/>
  <c r="F108" i="56"/>
  <c r="H155" i="46"/>
  <c r="P155" i="46" s="1"/>
  <c r="M205" i="46"/>
  <c r="E139" i="56"/>
  <c r="H153" i="56"/>
  <c r="F51" i="42"/>
  <c r="H89" i="46"/>
  <c r="H52" i="46"/>
  <c r="P52" i="46" s="1"/>
  <c r="F144" i="56"/>
  <c r="H83" i="46"/>
  <c r="H196" i="56"/>
  <c r="P224" i="46"/>
  <c r="M244" i="46"/>
  <c r="F170" i="56"/>
  <c r="F146" i="56"/>
  <c r="F136" i="56"/>
  <c r="I257" i="56"/>
  <c r="F95" i="46"/>
  <c r="I135" i="46"/>
  <c r="Q135" i="46" s="1"/>
  <c r="H141" i="56"/>
  <c r="E47" i="42"/>
  <c r="I118" i="56"/>
  <c r="I141" i="56"/>
  <c r="L59" i="56"/>
  <c r="L11" i="56" s="1"/>
  <c r="F128" i="46"/>
  <c r="N128" i="46" s="1"/>
  <c r="I111" i="56"/>
  <c r="F86" i="46"/>
  <c r="E87" i="46"/>
  <c r="F48" i="46"/>
  <c r="N48" i="46" s="1"/>
  <c r="E32" i="46"/>
  <c r="M32" i="46" s="1"/>
  <c r="H92" i="46"/>
  <c r="E23" i="47"/>
  <c r="F97" i="46"/>
  <c r="P222" i="46"/>
  <c r="N213" i="46"/>
  <c r="E17" i="47"/>
  <c r="E26" i="47"/>
  <c r="H207" i="56"/>
  <c r="H164" i="46"/>
  <c r="P164" i="46" s="1"/>
  <c r="H107" i="56"/>
  <c r="F253" i="56"/>
  <c r="F170" i="46"/>
  <c r="N170" i="46" s="1"/>
  <c r="H80" i="46"/>
  <c r="H36" i="42"/>
  <c r="N235" i="46"/>
  <c r="F259" i="56"/>
  <c r="Q250" i="46"/>
  <c r="I232" i="56"/>
  <c r="H199" i="56"/>
  <c r="M225" i="46"/>
  <c r="H20" i="47"/>
  <c r="F153" i="46"/>
  <c r="N153" i="46" s="1"/>
  <c r="E249" i="56"/>
  <c r="H84" i="56"/>
  <c r="H43" i="56"/>
  <c r="P43" i="56" s="1"/>
  <c r="E231" i="56"/>
  <c r="M206" i="46"/>
  <c r="F122" i="46"/>
  <c r="N122" i="46" s="1"/>
  <c r="E10" i="47"/>
  <c r="H188" i="46"/>
  <c r="P188" i="46" s="1"/>
  <c r="H33" i="46"/>
  <c r="P33" i="46" s="1"/>
  <c r="F156" i="56"/>
  <c r="Q233" i="46"/>
  <c r="E164" i="46"/>
  <c r="M164" i="46" s="1"/>
  <c r="E85" i="46"/>
  <c r="F129" i="46"/>
  <c r="N129" i="46" s="1"/>
  <c r="E110" i="46"/>
  <c r="M110" i="46" s="1"/>
  <c r="H45" i="56"/>
  <c r="P45" i="56" s="1"/>
  <c r="I54" i="56"/>
  <c r="Q54" i="56" s="1"/>
  <c r="H82" i="56"/>
  <c r="F104" i="46"/>
  <c r="N104" i="46" s="1"/>
  <c r="F202" i="56"/>
  <c r="H227" i="56"/>
  <c r="H87" i="46"/>
  <c r="I209" i="56"/>
  <c r="N219" i="46"/>
  <c r="E39" i="46"/>
  <c r="M39" i="46" s="1"/>
  <c r="N226" i="46"/>
  <c r="H112" i="46"/>
  <c r="P112" i="46" s="1"/>
  <c r="E255" i="56"/>
  <c r="E20" i="47"/>
  <c r="H204" i="56"/>
  <c r="F57" i="46"/>
  <c r="N57" i="46" s="1"/>
  <c r="H224" i="56"/>
  <c r="F162" i="56"/>
  <c r="H188" i="56"/>
  <c r="P188" i="56" s="1"/>
  <c r="F89" i="46"/>
  <c r="E109" i="46"/>
  <c r="M109" i="46" s="1"/>
  <c r="H40" i="46"/>
  <c r="P40" i="46" s="1"/>
  <c r="F254" i="56"/>
  <c r="H256" i="56"/>
  <c r="I49" i="46"/>
  <c r="Q49" i="46" s="1"/>
  <c r="F137" i="56"/>
  <c r="E140" i="56"/>
  <c r="E133" i="46"/>
  <c r="M133" i="46" s="1"/>
  <c r="H12" i="47"/>
  <c r="I52" i="46"/>
  <c r="Q52" i="46" s="1"/>
  <c r="F40" i="46"/>
  <c r="N40" i="46" s="1"/>
  <c r="F32" i="46"/>
  <c r="N32" i="46" s="1"/>
  <c r="F129" i="56"/>
  <c r="D73" i="46"/>
  <c r="D66" i="46" s="1"/>
  <c r="H109" i="56"/>
  <c r="I93" i="56"/>
  <c r="H246" i="56"/>
  <c r="H208" i="56"/>
  <c r="H117" i="56"/>
  <c r="H136" i="46"/>
  <c r="P136" i="46" s="1"/>
  <c r="H113" i="46"/>
  <c r="P113" i="46" s="1"/>
  <c r="F53" i="42"/>
  <c r="H165" i="56"/>
  <c r="F203" i="56"/>
  <c r="H161" i="56"/>
  <c r="F213" i="56"/>
  <c r="H165" i="46"/>
  <c r="P165" i="46" s="1"/>
  <c r="H47" i="42"/>
  <c r="F272" i="46"/>
  <c r="N272" i="46" s="1"/>
  <c r="H131" i="56"/>
  <c r="H48" i="42"/>
  <c r="F278" i="56"/>
  <c r="N278" i="56" s="1"/>
  <c r="E104" i="56"/>
  <c r="F152" i="46"/>
  <c r="F274" i="46"/>
  <c r="N274" i="46" s="1"/>
  <c r="H133" i="56"/>
  <c r="H255" i="56"/>
  <c r="F161" i="56"/>
  <c r="F205" i="56"/>
  <c r="F114" i="46"/>
  <c r="N114" i="46" s="1"/>
  <c r="N197" i="46"/>
  <c r="H18" i="47"/>
  <c r="I117" i="56"/>
  <c r="H232" i="56"/>
  <c r="I53" i="46"/>
  <c r="Q53" i="46" s="1"/>
  <c r="I166" i="46"/>
  <c r="Q166" i="46" s="1"/>
  <c r="H27" i="47"/>
  <c r="M236" i="46"/>
  <c r="E96" i="56"/>
  <c r="E57" i="56"/>
  <c r="E169" i="56"/>
  <c r="E128" i="56"/>
  <c r="E54" i="56"/>
  <c r="M54" i="56" s="1"/>
  <c r="E93" i="56"/>
  <c r="H13" i="42"/>
  <c r="P97" i="50"/>
  <c r="F269" i="56"/>
  <c r="N269" i="56" s="1"/>
  <c r="E166" i="56"/>
  <c r="I114" i="56"/>
  <c r="E35" i="42"/>
  <c r="E227" i="56"/>
  <c r="F197" i="56"/>
  <c r="F94" i="46"/>
  <c r="F212" i="56"/>
  <c r="F96" i="56"/>
  <c r="F57" i="56"/>
  <c r="N57" i="56" s="1"/>
  <c r="F145" i="56"/>
  <c r="F169" i="56"/>
  <c r="E243" i="56"/>
  <c r="I138" i="46"/>
  <c r="Q138" i="46" s="1"/>
  <c r="H108" i="46"/>
  <c r="P108" i="46" s="1"/>
  <c r="H83" i="56"/>
  <c r="H44" i="56"/>
  <c r="P44" i="56" s="1"/>
  <c r="F273" i="46"/>
  <c r="N273" i="46" s="1"/>
  <c r="F41" i="46"/>
  <c r="N41" i="46" s="1"/>
  <c r="H187" i="46"/>
  <c r="P187" i="46" s="1"/>
  <c r="I205" i="56"/>
  <c r="I140" i="56"/>
  <c r="I91" i="56"/>
  <c r="I52" i="56"/>
  <c r="Q52" i="56" s="1"/>
  <c r="I116" i="46"/>
  <c r="Q116" i="46" s="1"/>
  <c r="I140" i="46"/>
  <c r="Q140" i="46" s="1"/>
  <c r="Q231" i="46"/>
  <c r="I255" i="56"/>
  <c r="F87" i="56"/>
  <c r="F48" i="56"/>
  <c r="N48" i="56" s="1"/>
  <c r="F227" i="56"/>
  <c r="F160" i="56"/>
  <c r="F43" i="42"/>
  <c r="F83" i="56"/>
  <c r="F44" i="56"/>
  <c r="N44" i="56" s="1"/>
  <c r="F39" i="42"/>
  <c r="F156" i="46"/>
  <c r="N156" i="46" s="1"/>
  <c r="F83" i="46"/>
  <c r="F199" i="56"/>
  <c r="F108" i="46"/>
  <c r="N108" i="46" s="1"/>
  <c r="D189" i="56"/>
  <c r="D17" i="56" s="1"/>
  <c r="F274" i="56"/>
  <c r="N274" i="56" s="1"/>
  <c r="F111" i="46"/>
  <c r="N111" i="46" s="1"/>
  <c r="E153" i="56"/>
  <c r="E47" i="46"/>
  <c r="M47" i="46" s="1"/>
  <c r="F112" i="46"/>
  <c r="N112" i="46" s="1"/>
  <c r="N203" i="46"/>
  <c r="E105" i="56"/>
  <c r="N223" i="46"/>
  <c r="F115" i="56"/>
  <c r="F141" i="56"/>
  <c r="I164" i="56"/>
  <c r="F247" i="56"/>
  <c r="P204" i="46"/>
  <c r="H49" i="56"/>
  <c r="P49" i="56" s="1"/>
  <c r="H88" i="56"/>
  <c r="P228" i="46"/>
  <c r="H137" i="46"/>
  <c r="P137" i="46" s="1"/>
  <c r="H113" i="56"/>
  <c r="H44" i="42"/>
  <c r="F122" i="56"/>
  <c r="F97" i="56"/>
  <c r="F58" i="56"/>
  <c r="N58" i="56" s="1"/>
  <c r="F261" i="56"/>
  <c r="F237" i="56"/>
  <c r="F146" i="46"/>
  <c r="N146" i="46" s="1"/>
  <c r="E129" i="56"/>
  <c r="E80" i="56"/>
  <c r="E41" i="56"/>
  <c r="M41" i="56" s="1"/>
  <c r="E220" i="56"/>
  <c r="E36" i="42"/>
  <c r="E105" i="46"/>
  <c r="M105" i="46" s="1"/>
  <c r="E79" i="46"/>
  <c r="E250" i="56"/>
  <c r="F139" i="46"/>
  <c r="N139" i="46" s="1"/>
  <c r="E152" i="46"/>
  <c r="M152" i="46" s="1"/>
  <c r="F277" i="46"/>
  <c r="N277" i="46" s="1"/>
  <c r="E251" i="56"/>
  <c r="E186" i="46"/>
  <c r="E189" i="46" s="1"/>
  <c r="F169" i="46"/>
  <c r="N169" i="46" s="1"/>
  <c r="F132" i="46"/>
  <c r="N132" i="46" s="1"/>
  <c r="I51" i="46"/>
  <c r="Q51" i="46" s="1"/>
  <c r="F32" i="56"/>
  <c r="F35" i="56" s="1"/>
  <c r="F10" i="56" s="1"/>
  <c r="F10" i="46" s="1"/>
  <c r="F275" i="56"/>
  <c r="N275" i="56" s="1"/>
  <c r="N221" i="46"/>
  <c r="H39" i="42"/>
  <c r="E40" i="46"/>
  <c r="M40" i="46" s="1"/>
  <c r="F46" i="42"/>
  <c r="H32" i="46"/>
  <c r="P32" i="46" s="1"/>
  <c r="F223" i="56"/>
  <c r="F119" i="56"/>
  <c r="F56" i="46"/>
  <c r="N56" i="46" s="1"/>
  <c r="I45" i="42"/>
  <c r="I91" i="46"/>
  <c r="P199" i="46"/>
  <c r="F236" i="56"/>
  <c r="G164" i="56"/>
  <c r="G91" i="56"/>
  <c r="G52" i="56"/>
  <c r="O52" i="56" s="1"/>
  <c r="G255" i="56"/>
  <c r="G47" i="42"/>
  <c r="G140" i="46"/>
  <c r="O140" i="46" s="1"/>
  <c r="I80" i="56"/>
  <c r="I41" i="56"/>
  <c r="Q41" i="56" s="1"/>
  <c r="I105" i="56"/>
  <c r="I153" i="46"/>
  <c r="Q153" i="46" s="1"/>
  <c r="G89" i="56"/>
  <c r="G50" i="56"/>
  <c r="O50" i="56" s="1"/>
  <c r="E40" i="56"/>
  <c r="M40" i="56" s="1"/>
  <c r="E79" i="56"/>
  <c r="E186" i="56"/>
  <c r="E128" i="46"/>
  <c r="M128" i="46" s="1"/>
  <c r="E152" i="56"/>
  <c r="E31" i="46"/>
  <c r="E42" i="42"/>
  <c r="E86" i="56"/>
  <c r="E47" i="56"/>
  <c r="M47" i="56" s="1"/>
  <c r="M250" i="46"/>
  <c r="E159" i="46"/>
  <c r="M159" i="46" s="1"/>
  <c r="E86" i="46"/>
  <c r="E46" i="46"/>
  <c r="M46" i="46" s="1"/>
  <c r="E111" i="56"/>
  <c r="F163" i="56"/>
  <c r="F90" i="56"/>
  <c r="F51" i="56"/>
  <c r="N51" i="56" s="1"/>
  <c r="F163" i="46"/>
  <c r="N163" i="46" s="1"/>
  <c r="F206" i="56"/>
  <c r="F42" i="56"/>
  <c r="N42" i="56" s="1"/>
  <c r="F81" i="56"/>
  <c r="F154" i="56"/>
  <c r="F130" i="46"/>
  <c r="N130" i="46" s="1"/>
  <c r="F130" i="56"/>
  <c r="F154" i="46"/>
  <c r="N154" i="46" s="1"/>
  <c r="F106" i="46"/>
  <c r="N106" i="46" s="1"/>
  <c r="E32" i="56"/>
  <c r="E35" i="56" s="1"/>
  <c r="E10" i="56" s="1"/>
  <c r="E10" i="46" s="1"/>
  <c r="E135" i="46"/>
  <c r="M135" i="46" s="1"/>
  <c r="F268" i="56"/>
  <c r="N268" i="56" s="1"/>
  <c r="I115" i="46"/>
  <c r="Q115" i="46" s="1"/>
  <c r="I90" i="56"/>
  <c r="I51" i="56"/>
  <c r="Q51" i="56" s="1"/>
  <c r="M251" i="46"/>
  <c r="E48" i="56"/>
  <c r="M48" i="56" s="1"/>
  <c r="E87" i="56"/>
  <c r="E136" i="46"/>
  <c r="M136" i="46" s="1"/>
  <c r="E88" i="56"/>
  <c r="E49" i="56"/>
  <c r="M49" i="56" s="1"/>
  <c r="F94" i="56"/>
  <c r="F55" i="56"/>
  <c r="N55" i="56" s="1"/>
  <c r="F167" i="56"/>
  <c r="F143" i="46"/>
  <c r="N143" i="46" s="1"/>
  <c r="F143" i="56"/>
  <c r="E219" i="56"/>
  <c r="F277" i="56"/>
  <c r="N277" i="56" s="1"/>
  <c r="E135" i="56"/>
  <c r="F90" i="46"/>
  <c r="F273" i="56"/>
  <c r="N273" i="56" s="1"/>
  <c r="F50" i="42"/>
  <c r="I89" i="46"/>
  <c r="H45" i="42"/>
  <c r="H89" i="56"/>
  <c r="H50" i="56"/>
  <c r="P50" i="56" s="1"/>
  <c r="H138" i="56"/>
  <c r="H138" i="46"/>
  <c r="P138" i="46" s="1"/>
  <c r="H129" i="56"/>
  <c r="E129" i="46"/>
  <c r="M129" i="46" s="1"/>
  <c r="E118" i="46"/>
  <c r="M118" i="46" s="1"/>
  <c r="G145" i="46"/>
  <c r="O145" i="46" s="1"/>
  <c r="G57" i="56"/>
  <c r="O57" i="56" s="1"/>
  <c r="G96" i="56"/>
  <c r="G212" i="56"/>
  <c r="I53" i="56"/>
  <c r="Q53" i="56" s="1"/>
  <c r="I92" i="56"/>
  <c r="Q256" i="46"/>
  <c r="I92" i="46"/>
  <c r="I48" i="42"/>
  <c r="I165" i="56"/>
  <c r="E84" i="46"/>
  <c r="E45" i="56"/>
  <c r="M45" i="56" s="1"/>
  <c r="E84" i="56"/>
  <c r="E157" i="56"/>
  <c r="E248" i="56"/>
  <c r="E224" i="56"/>
  <c r="M243" i="46"/>
  <c r="N243" i="46"/>
  <c r="M226" i="46"/>
  <c r="E187" i="56"/>
  <c r="M187" i="56" s="1"/>
  <c r="H223" i="56"/>
  <c r="F112" i="56"/>
  <c r="F132" i="56"/>
  <c r="E44" i="46"/>
  <c r="M44" i="46" s="1"/>
  <c r="F258" i="56"/>
  <c r="N234" i="46"/>
  <c r="F54" i="46"/>
  <c r="N54" i="46" s="1"/>
  <c r="H162" i="46"/>
  <c r="P162" i="46" s="1"/>
  <c r="F119" i="46"/>
  <c r="N119" i="46" s="1"/>
  <c r="H137" i="56"/>
  <c r="F52" i="42"/>
  <c r="G246" i="56"/>
  <c r="G82" i="56"/>
  <c r="G43" i="56"/>
  <c r="O43" i="56" s="1"/>
  <c r="O222" i="46"/>
  <c r="G111" i="56"/>
  <c r="G86" i="56"/>
  <c r="G47" i="56"/>
  <c r="O47" i="56" s="1"/>
  <c r="O202" i="46"/>
  <c r="E48" i="42"/>
  <c r="E92" i="56"/>
  <c r="E53" i="56"/>
  <c r="M53" i="56" s="1"/>
  <c r="E97" i="46"/>
  <c r="E58" i="56"/>
  <c r="M58" i="56" s="1"/>
  <c r="E97" i="56"/>
  <c r="H114" i="46"/>
  <c r="P114" i="46" s="1"/>
  <c r="E56" i="56"/>
  <c r="M56" i="56" s="1"/>
  <c r="E95" i="56"/>
  <c r="E259" i="56"/>
  <c r="I229" i="56"/>
  <c r="I89" i="56"/>
  <c r="I50" i="56"/>
  <c r="Q50" i="56" s="1"/>
  <c r="Q253" i="46"/>
  <c r="I253" i="56"/>
  <c r="I162" i="56"/>
  <c r="Q229" i="46"/>
  <c r="I138" i="56"/>
  <c r="F106" i="56"/>
  <c r="F245" i="56"/>
  <c r="M210" i="46"/>
  <c r="E94" i="56"/>
  <c r="E55" i="56"/>
  <c r="M55" i="56" s="1"/>
  <c r="Q260" i="46"/>
  <c r="I57" i="56"/>
  <c r="Q57" i="56" s="1"/>
  <c r="I96" i="56"/>
  <c r="F276" i="56"/>
  <c r="N276" i="56" s="1"/>
  <c r="F139" i="56"/>
  <c r="N232" i="46"/>
  <c r="F92" i="56"/>
  <c r="F53" i="56"/>
  <c r="N53" i="56" s="1"/>
  <c r="F232" i="56"/>
  <c r="F92" i="46"/>
  <c r="F208" i="56"/>
  <c r="N256" i="46"/>
  <c r="F117" i="46"/>
  <c r="N117" i="46" s="1"/>
  <c r="N245" i="46"/>
  <c r="F37" i="42"/>
  <c r="E104" i="46"/>
  <c r="M104" i="46" s="1"/>
  <c r="D20" i="47"/>
  <c r="D10" i="47"/>
  <c r="H80" i="56"/>
  <c r="H41" i="56"/>
  <c r="P41" i="56" s="1"/>
  <c r="H105" i="46"/>
  <c r="P105" i="46" s="1"/>
  <c r="H129" i="46"/>
  <c r="P129" i="46" s="1"/>
  <c r="P196" i="46"/>
  <c r="H220" i="56"/>
  <c r="F52" i="46"/>
  <c r="N52" i="46" s="1"/>
  <c r="M202" i="46"/>
  <c r="F270" i="56"/>
  <c r="N270" i="56" s="1"/>
  <c r="H247" i="56"/>
  <c r="F230" i="56"/>
  <c r="I47" i="42"/>
  <c r="H43" i="46"/>
  <c r="P43" i="46" s="1"/>
  <c r="I107" i="56"/>
  <c r="I43" i="56"/>
  <c r="Q43" i="56" s="1"/>
  <c r="I82" i="56"/>
  <c r="I49" i="56"/>
  <c r="Q49" i="56" s="1"/>
  <c r="I88" i="56"/>
  <c r="F86" i="56"/>
  <c r="F47" i="56"/>
  <c r="N47" i="56" s="1"/>
  <c r="N202" i="46"/>
  <c r="F46" i="46"/>
  <c r="N46" i="46" s="1"/>
  <c r="F226" i="56"/>
  <c r="F40" i="56"/>
  <c r="N40" i="56" s="1"/>
  <c r="F79" i="56"/>
  <c r="F271" i="46"/>
  <c r="N271" i="46" s="1"/>
  <c r="F276" i="46"/>
  <c r="N276" i="46" s="1"/>
  <c r="F275" i="46"/>
  <c r="N275" i="46" s="1"/>
  <c r="F268" i="46"/>
  <c r="N268" i="46" s="1"/>
  <c r="F186" i="46"/>
  <c r="N186" i="46" s="1"/>
  <c r="N189" i="46" s="1"/>
  <c r="F272" i="56"/>
  <c r="N272" i="56" s="1"/>
  <c r="F269" i="46"/>
  <c r="N269" i="46" s="1"/>
  <c r="D73" i="56"/>
  <c r="E195" i="56"/>
  <c r="F104" i="56"/>
  <c r="E202" i="56"/>
  <c r="F278" i="46"/>
  <c r="N278" i="46" s="1"/>
  <c r="F250" i="56"/>
  <c r="F87" i="46"/>
  <c r="H114" i="56"/>
  <c r="N97" i="50"/>
  <c r="E153" i="46"/>
  <c r="M153" i="46" s="1"/>
  <c r="F136" i="46"/>
  <c r="N136" i="46" s="1"/>
  <c r="H156" i="46"/>
  <c r="P156" i="46" s="1"/>
  <c r="E133" i="56"/>
  <c r="H49" i="46"/>
  <c r="P49" i="46" s="1"/>
  <c r="D28" i="47"/>
  <c r="E257" i="56"/>
  <c r="H187" i="56"/>
  <c r="P187" i="56" s="1"/>
  <c r="F43" i="46"/>
  <c r="N43" i="46" s="1"/>
  <c r="N258" i="46"/>
  <c r="F96" i="46"/>
  <c r="F165" i="46"/>
  <c r="N165" i="46" s="1"/>
  <c r="H162" i="56"/>
  <c r="I164" i="46"/>
  <c r="Q164" i="46" s="1"/>
  <c r="F234" i="56"/>
  <c r="F50" i="46"/>
  <c r="N50" i="46" s="1"/>
  <c r="H244" i="56"/>
  <c r="Q200" i="46"/>
  <c r="I45" i="56"/>
  <c r="Q45" i="56" s="1"/>
  <c r="I84" i="56"/>
  <c r="E206" i="56"/>
  <c r="E90" i="56"/>
  <c r="E51" i="56"/>
  <c r="M51" i="56" s="1"/>
  <c r="E230" i="56"/>
  <c r="E83" i="56"/>
  <c r="E44" i="56"/>
  <c r="M44" i="56" s="1"/>
  <c r="E132" i="46"/>
  <c r="M132" i="46" s="1"/>
  <c r="I40" i="56"/>
  <c r="Q40" i="56" s="1"/>
  <c r="I79" i="56"/>
  <c r="Q195" i="46"/>
  <c r="I186" i="46"/>
  <c r="I87" i="56"/>
  <c r="I48" i="56"/>
  <c r="Q48" i="56" s="1"/>
  <c r="D72" i="46"/>
  <c r="D65" i="46" s="1"/>
  <c r="H87" i="56"/>
  <c r="H48" i="56"/>
  <c r="P48" i="56" s="1"/>
  <c r="E51" i="46"/>
  <c r="M51" i="46" s="1"/>
  <c r="E52" i="56"/>
  <c r="M52" i="56" s="1"/>
  <c r="E91" i="56"/>
  <c r="G237" i="56"/>
  <c r="G97" i="56"/>
  <c r="G58" i="56"/>
  <c r="O58" i="56" s="1"/>
  <c r="D35" i="56"/>
  <c r="D10" i="56" s="1"/>
  <c r="D10" i="46" s="1"/>
  <c r="P207" i="46"/>
  <c r="H91" i="56"/>
  <c r="H52" i="56"/>
  <c r="P52" i="56" s="1"/>
  <c r="I47" i="56"/>
  <c r="Q47" i="56" s="1"/>
  <c r="I86" i="56"/>
  <c r="E158" i="56"/>
  <c r="E46" i="56"/>
  <c r="M46" i="56" s="1"/>
  <c r="E85" i="56"/>
  <c r="D7" i="47"/>
  <c r="H203" i="56"/>
  <c r="H136" i="56"/>
  <c r="E91" i="46"/>
  <c r="E81" i="46"/>
  <c r="E42" i="56"/>
  <c r="M42" i="56" s="1"/>
  <c r="E81" i="56"/>
  <c r="G153" i="56"/>
  <c r="G80" i="56"/>
  <c r="G41" i="56"/>
  <c r="O41" i="56" s="1"/>
  <c r="I55" i="56"/>
  <c r="Q55" i="56" s="1"/>
  <c r="I94" i="56"/>
  <c r="I95" i="56"/>
  <c r="I56" i="56"/>
  <c r="Q56" i="56" s="1"/>
  <c r="H112" i="56"/>
  <c r="E245" i="56"/>
  <c r="M207" i="46"/>
  <c r="I221" i="56"/>
  <c r="I81" i="56"/>
  <c r="I42" i="56"/>
  <c r="Q42" i="56" s="1"/>
  <c r="I53" i="42"/>
  <c r="I97" i="56"/>
  <c r="I58" i="56"/>
  <c r="Q58" i="56" s="1"/>
  <c r="E253" i="56"/>
  <c r="E50" i="56"/>
  <c r="M50" i="56" s="1"/>
  <c r="E89" i="56"/>
  <c r="F41" i="56"/>
  <c r="N41" i="56" s="1"/>
  <c r="F80" i="56"/>
  <c r="F80" i="46"/>
  <c r="F252" i="56"/>
  <c r="F88" i="56"/>
  <c r="F49" i="56"/>
  <c r="N49" i="56" s="1"/>
  <c r="F42" i="46"/>
  <c r="N42" i="46" s="1"/>
  <c r="F82" i="56"/>
  <c r="F43" i="56"/>
  <c r="N43" i="56" s="1"/>
  <c r="F188" i="56"/>
  <c r="N188" i="56" s="1"/>
  <c r="N246" i="46"/>
  <c r="F82" i="46"/>
  <c r="F131" i="46"/>
  <c r="N131" i="46" s="1"/>
  <c r="E164" i="56"/>
  <c r="E116" i="46"/>
  <c r="M116" i="46" s="1"/>
  <c r="G94" i="56"/>
  <c r="G55" i="56"/>
  <c r="O55" i="56" s="1"/>
  <c r="E41" i="42"/>
  <c r="D72" i="56"/>
  <c r="D65" i="56" s="1"/>
  <c r="H57" i="56"/>
  <c r="P57" i="56" s="1"/>
  <c r="H96" i="56"/>
  <c r="F93" i="56"/>
  <c r="F54" i="56"/>
  <c r="N54" i="56" s="1"/>
  <c r="L31" i="46"/>
  <c r="L34" i="46" s="1"/>
  <c r="L12" i="46" s="1"/>
  <c r="I36" i="42"/>
  <c r="I230" i="56"/>
  <c r="I196" i="56"/>
  <c r="I220" i="56"/>
  <c r="I51" i="42"/>
  <c r="I252" i="56"/>
  <c r="I129" i="56"/>
  <c r="I188" i="46"/>
  <c r="Q188" i="46" s="1"/>
  <c r="I161" i="56"/>
  <c r="E144" i="56"/>
  <c r="E137" i="56"/>
  <c r="E145" i="56"/>
  <c r="E56" i="46"/>
  <c r="M56" i="46" s="1"/>
  <c r="E51" i="42"/>
  <c r="E160" i="46"/>
  <c r="M160" i="46" s="1"/>
  <c r="E113" i="56"/>
  <c r="E48" i="46"/>
  <c r="M48" i="46" s="1"/>
  <c r="E121" i="46"/>
  <c r="M121" i="46" s="1"/>
  <c r="E120" i="56"/>
  <c r="E121" i="56"/>
  <c r="E118" i="56"/>
  <c r="E142" i="56"/>
  <c r="E161" i="46"/>
  <c r="M161" i="46" s="1"/>
  <c r="E168" i="56"/>
  <c r="E120" i="46"/>
  <c r="M120" i="46" s="1"/>
  <c r="M211" i="46"/>
  <c r="E212" i="56"/>
  <c r="M260" i="46"/>
  <c r="E233" i="56"/>
  <c r="E136" i="56"/>
  <c r="E168" i="46"/>
  <c r="M168" i="46" s="1"/>
  <c r="E112" i="56"/>
  <c r="E112" i="46"/>
  <c r="M112" i="46" s="1"/>
  <c r="E55" i="46"/>
  <c r="M55" i="46" s="1"/>
  <c r="M203" i="46"/>
  <c r="E53" i="46"/>
  <c r="M53" i="46" s="1"/>
  <c r="E166" i="46"/>
  <c r="M166" i="46" s="1"/>
  <c r="E142" i="46"/>
  <c r="M142" i="46" s="1"/>
  <c r="E211" i="56"/>
  <c r="E144" i="46"/>
  <c r="M144" i="46" s="1"/>
  <c r="E96" i="46"/>
  <c r="M257" i="46"/>
  <c r="M227" i="46"/>
  <c r="E236" i="56"/>
  <c r="E169" i="46"/>
  <c r="M169" i="46" s="1"/>
  <c r="E95" i="46"/>
  <c r="E113" i="46"/>
  <c r="M113" i="46" s="1"/>
  <c r="E203" i="56"/>
  <c r="E252" i="56"/>
  <c r="E209" i="56"/>
  <c r="M235" i="46"/>
  <c r="E235" i="56"/>
  <c r="E43" i="42"/>
  <c r="M228" i="46"/>
  <c r="E49" i="42"/>
  <c r="G42" i="42"/>
  <c r="Q254" i="46"/>
  <c r="G234" i="56"/>
  <c r="G258" i="56"/>
  <c r="G143" i="56"/>
  <c r="G167" i="56"/>
  <c r="G167" i="46"/>
  <c r="O167" i="46" s="1"/>
  <c r="G210" i="56"/>
  <c r="G56" i="46"/>
  <c r="O56" i="46" s="1"/>
  <c r="G50" i="42"/>
  <c r="G86" i="46"/>
  <c r="G54" i="46"/>
  <c r="O54" i="46" s="1"/>
  <c r="G143" i="46"/>
  <c r="O143" i="46" s="1"/>
  <c r="G94" i="46"/>
  <c r="G111" i="46"/>
  <c r="O111" i="46" s="1"/>
  <c r="E115" i="46"/>
  <c r="M115" i="46" s="1"/>
  <c r="E161" i="56"/>
  <c r="E88" i="46"/>
  <c r="I106" i="46"/>
  <c r="Q106" i="46" s="1"/>
  <c r="O246" i="46"/>
  <c r="E137" i="46"/>
  <c r="M137" i="46" s="1"/>
  <c r="I41" i="46"/>
  <c r="Q41" i="46" s="1"/>
  <c r="Q221" i="46"/>
  <c r="G107" i="46"/>
  <c r="O107" i="46" s="1"/>
  <c r="I245" i="56"/>
  <c r="G82" i="46"/>
  <c r="G155" i="46"/>
  <c r="O155" i="46" s="1"/>
  <c r="E204" i="56"/>
  <c r="I106" i="56"/>
  <c r="E43" i="46"/>
  <c r="M43" i="46" s="1"/>
  <c r="E228" i="56"/>
  <c r="E83" i="46"/>
  <c r="E44" i="42"/>
  <c r="M204" i="46"/>
  <c r="G119" i="56"/>
  <c r="O44" i="56"/>
  <c r="G188" i="46"/>
  <c r="O188" i="46" s="1"/>
  <c r="E261" i="56"/>
  <c r="I81" i="46"/>
  <c r="E53" i="42"/>
  <c r="E143" i="56"/>
  <c r="G33" i="46"/>
  <c r="O33" i="46" s="1"/>
  <c r="G188" i="56"/>
  <c r="O188" i="56" s="1"/>
  <c r="I143" i="46"/>
  <c r="Q143" i="46" s="1"/>
  <c r="E143" i="46"/>
  <c r="M143" i="46" s="1"/>
  <c r="I237" i="56"/>
  <c r="E146" i="56"/>
  <c r="E119" i="46"/>
  <c r="M119" i="46" s="1"/>
  <c r="I130" i="56"/>
  <c r="G131" i="46"/>
  <c r="O131" i="46" s="1"/>
  <c r="G38" i="42"/>
  <c r="E57" i="46"/>
  <c r="M57" i="46" s="1"/>
  <c r="E234" i="56"/>
  <c r="E122" i="46"/>
  <c r="M122" i="46" s="1"/>
  <c r="G42" i="46"/>
  <c r="O42" i="46" s="1"/>
  <c r="O198" i="46"/>
  <c r="M261" i="46"/>
  <c r="E213" i="56"/>
  <c r="E170" i="56"/>
  <c r="I261" i="56"/>
  <c r="E271" i="46"/>
  <c r="M271" i="46" s="1"/>
  <c r="G116" i="46"/>
  <c r="O116" i="46" s="1"/>
  <c r="G119" i="46"/>
  <c r="O119" i="46" s="1"/>
  <c r="O234" i="46"/>
  <c r="I155" i="46"/>
  <c r="Q155" i="46" s="1"/>
  <c r="E237" i="56"/>
  <c r="M254" i="46"/>
  <c r="E93" i="46"/>
  <c r="I197" i="56"/>
  <c r="G91" i="46"/>
  <c r="I187" i="56"/>
  <c r="Q187" i="56" s="1"/>
  <c r="I204" i="56"/>
  <c r="I137" i="56"/>
  <c r="I243" i="56"/>
  <c r="I161" i="46"/>
  <c r="Q161" i="46" s="1"/>
  <c r="I105" i="46"/>
  <c r="Q105" i="46" s="1"/>
  <c r="I268" i="46"/>
  <c r="Q268" i="46" s="1"/>
  <c r="I79" i="46"/>
  <c r="I152" i="56"/>
  <c r="G273" i="46"/>
  <c r="O273" i="46" s="1"/>
  <c r="G277" i="56"/>
  <c r="O277" i="56" s="1"/>
  <c r="G122" i="56"/>
  <c r="E119" i="56"/>
  <c r="E163" i="46"/>
  <c r="M163" i="46" s="1"/>
  <c r="E167" i="56"/>
  <c r="G114" i="56"/>
  <c r="G114" i="46"/>
  <c r="O114" i="46" s="1"/>
  <c r="E94" i="46"/>
  <c r="E165" i="56"/>
  <c r="E258" i="56"/>
  <c r="E277" i="46"/>
  <c r="M277" i="46" s="1"/>
  <c r="M256" i="46"/>
  <c r="G89" i="46"/>
  <c r="G49" i="46"/>
  <c r="O49" i="46" s="1"/>
  <c r="E115" i="56"/>
  <c r="E50" i="42"/>
  <c r="E52" i="46"/>
  <c r="M52" i="46" s="1"/>
  <c r="E269" i="46"/>
  <c r="M269" i="46" s="1"/>
  <c r="E141" i="56"/>
  <c r="E50" i="46"/>
  <c r="M50" i="46" s="1"/>
  <c r="E254" i="56"/>
  <c r="E39" i="42"/>
  <c r="E108" i="46"/>
  <c r="M108" i="46" s="1"/>
  <c r="E156" i="56"/>
  <c r="E223" i="56"/>
  <c r="E199" i="56"/>
  <c r="E272" i="46"/>
  <c r="M272" i="46" s="1"/>
  <c r="M223" i="46"/>
  <c r="M247" i="46"/>
  <c r="E275" i="46"/>
  <c r="M275" i="46" s="1"/>
  <c r="M97" i="50"/>
  <c r="E247" i="56"/>
  <c r="M197" i="46"/>
  <c r="E37" i="42"/>
  <c r="E130" i="46"/>
  <c r="M130" i="46" s="1"/>
  <c r="E130" i="56"/>
  <c r="E106" i="56"/>
  <c r="E41" i="46"/>
  <c r="M41" i="46" s="1"/>
  <c r="E106" i="46"/>
  <c r="M106" i="46" s="1"/>
  <c r="M43" i="56"/>
  <c r="M221" i="46"/>
  <c r="E32" i="42"/>
  <c r="E197" i="56"/>
  <c r="G131" i="56"/>
  <c r="G107" i="56"/>
  <c r="G34" i="56"/>
  <c r="G155" i="56"/>
  <c r="G198" i="56"/>
  <c r="E273" i="46"/>
  <c r="M273" i="46" s="1"/>
  <c r="E275" i="56"/>
  <c r="M275" i="56" s="1"/>
  <c r="E154" i="56"/>
  <c r="G271" i="56"/>
  <c r="O271" i="56" s="1"/>
  <c r="I120" i="56"/>
  <c r="I122" i="46"/>
  <c r="Q122" i="46" s="1"/>
  <c r="I90" i="46"/>
  <c r="I254" i="56"/>
  <c r="G146" i="56"/>
  <c r="I258" i="56"/>
  <c r="I131" i="56"/>
  <c r="E278" i="56"/>
  <c r="M278" i="56" s="1"/>
  <c r="E114" i="46"/>
  <c r="M114" i="46" s="1"/>
  <c r="I211" i="56"/>
  <c r="I146" i="56"/>
  <c r="I94" i="46"/>
  <c r="G80" i="46"/>
  <c r="I163" i="46"/>
  <c r="Q163" i="46" s="1"/>
  <c r="G278" i="56"/>
  <c r="O278" i="56" s="1"/>
  <c r="G268" i="56"/>
  <c r="O268" i="56" s="1"/>
  <c r="E268" i="46"/>
  <c r="D25" i="47"/>
  <c r="Q259" i="46"/>
  <c r="I144" i="56"/>
  <c r="I95" i="46"/>
  <c r="E141" i="46"/>
  <c r="M141" i="46" s="1"/>
  <c r="E229" i="56"/>
  <c r="G236" i="56"/>
  <c r="O236" i="46"/>
  <c r="I169" i="56"/>
  <c r="I213" i="56"/>
  <c r="Q210" i="46"/>
  <c r="G253" i="56"/>
  <c r="G229" i="56"/>
  <c r="F16" i="47"/>
  <c r="F23" i="47"/>
  <c r="I38" i="42"/>
  <c r="I139" i="56"/>
  <c r="E54" i="46"/>
  <c r="M54" i="46" s="1"/>
  <c r="E210" i="56"/>
  <c r="M57" i="56"/>
  <c r="Q46" i="56"/>
  <c r="I234" i="56"/>
  <c r="G138" i="56"/>
  <c r="Q248" i="46"/>
  <c r="I224" i="56"/>
  <c r="I157" i="46"/>
  <c r="Q157" i="46" s="1"/>
  <c r="I157" i="56"/>
  <c r="G33" i="56"/>
  <c r="F28" i="47"/>
  <c r="G261" i="56"/>
  <c r="Q222" i="46"/>
  <c r="Q97" i="50"/>
  <c r="E274" i="46"/>
  <c r="M274" i="46" s="1"/>
  <c r="D27" i="47"/>
  <c r="G277" i="46"/>
  <c r="O277" i="46" s="1"/>
  <c r="G276" i="56"/>
  <c r="O276" i="56" s="1"/>
  <c r="E277" i="56"/>
  <c r="M277" i="56" s="1"/>
  <c r="E270" i="46"/>
  <c r="M270" i="46" s="1"/>
  <c r="G159" i="56"/>
  <c r="D13" i="47"/>
  <c r="D11" i="47"/>
  <c r="E49" i="46"/>
  <c r="M49" i="46" s="1"/>
  <c r="E117" i="56"/>
  <c r="I144" i="46"/>
  <c r="Q144" i="46" s="1"/>
  <c r="E165" i="46"/>
  <c r="M165" i="46" s="1"/>
  <c r="G52" i="42"/>
  <c r="I52" i="42"/>
  <c r="G196" i="56"/>
  <c r="I133" i="46"/>
  <c r="Q133" i="46" s="1"/>
  <c r="I170" i="46"/>
  <c r="Q170" i="46" s="1"/>
  <c r="G121" i="46"/>
  <c r="O121" i="46" s="1"/>
  <c r="E208" i="56"/>
  <c r="I212" i="56"/>
  <c r="G220" i="56"/>
  <c r="I248" i="56"/>
  <c r="Q224" i="46"/>
  <c r="Q206" i="46"/>
  <c r="D18" i="47"/>
  <c r="I48" i="46"/>
  <c r="Q48" i="46" s="1"/>
  <c r="I88" i="46"/>
  <c r="I113" i="56"/>
  <c r="I137" i="46"/>
  <c r="Q137" i="46" s="1"/>
  <c r="I113" i="46"/>
  <c r="Q113" i="46" s="1"/>
  <c r="I44" i="42"/>
  <c r="G275" i="56"/>
  <c r="O275" i="56" s="1"/>
  <c r="I57" i="46"/>
  <c r="Q57" i="46" s="1"/>
  <c r="G278" i="46"/>
  <c r="O278" i="46" s="1"/>
  <c r="G205" i="56"/>
  <c r="I188" i="56"/>
  <c r="Q188" i="56" s="1"/>
  <c r="G274" i="46"/>
  <c r="O274" i="46" s="1"/>
  <c r="G159" i="46"/>
  <c r="O159" i="46" s="1"/>
  <c r="I143" i="56"/>
  <c r="G53" i="42"/>
  <c r="F25" i="47"/>
  <c r="I210" i="56"/>
  <c r="E138" i="56"/>
  <c r="I119" i="56"/>
  <c r="F18" i="47"/>
  <c r="G45" i="42"/>
  <c r="I198" i="56"/>
  <c r="G187" i="46"/>
  <c r="O187" i="46" s="1"/>
  <c r="F26" i="47"/>
  <c r="G105" i="46"/>
  <c r="O105" i="46" s="1"/>
  <c r="I167" i="56"/>
  <c r="G269" i="46"/>
  <c r="O269" i="46" s="1"/>
  <c r="G272" i="56"/>
  <c r="O272" i="56" s="1"/>
  <c r="E276" i="46"/>
  <c r="M276" i="46" s="1"/>
  <c r="E268" i="56"/>
  <c r="M268" i="56" s="1"/>
  <c r="O250" i="46"/>
  <c r="G135" i="46"/>
  <c r="O135" i="46" s="1"/>
  <c r="D17" i="47"/>
  <c r="O226" i="46"/>
  <c r="D24" i="47"/>
  <c r="I55" i="46"/>
  <c r="Q55" i="46" s="1"/>
  <c r="I259" i="56"/>
  <c r="E92" i="46"/>
  <c r="I168" i="46"/>
  <c r="Q168" i="46" s="1"/>
  <c r="M208" i="46"/>
  <c r="G170" i="46"/>
  <c r="O170" i="46" s="1"/>
  <c r="G187" i="56"/>
  <c r="O187" i="56" s="1"/>
  <c r="I222" i="56"/>
  <c r="I119" i="46"/>
  <c r="Q119" i="46" s="1"/>
  <c r="I146" i="46"/>
  <c r="Q146" i="46" s="1"/>
  <c r="Q237" i="46"/>
  <c r="G138" i="46"/>
  <c r="O138" i="46" s="1"/>
  <c r="F20" i="47"/>
  <c r="G36" i="42"/>
  <c r="F10" i="47"/>
  <c r="I46" i="42"/>
  <c r="I131" i="46"/>
  <c r="Q131" i="46" s="1"/>
  <c r="E145" i="46"/>
  <c r="M145" i="46" s="1"/>
  <c r="E52" i="42"/>
  <c r="E260" i="56"/>
  <c r="Q220" i="46"/>
  <c r="I80" i="46"/>
  <c r="I244" i="56"/>
  <c r="I33" i="56"/>
  <c r="I153" i="56"/>
  <c r="I129" i="46"/>
  <c r="Q129" i="46" s="1"/>
  <c r="I32" i="46"/>
  <c r="Q32" i="46" s="1"/>
  <c r="I145" i="46"/>
  <c r="Q145" i="46" s="1"/>
  <c r="I121" i="46"/>
  <c r="Q121" i="46" s="1"/>
  <c r="I145" i="56"/>
  <c r="I169" i="46"/>
  <c r="Q169" i="46" s="1"/>
  <c r="I121" i="56"/>
  <c r="Q212" i="46"/>
  <c r="I84" i="46"/>
  <c r="I236" i="56"/>
  <c r="I34" i="56"/>
  <c r="I109" i="46"/>
  <c r="Q109" i="46" s="1"/>
  <c r="I139" i="46"/>
  <c r="Q139" i="46" s="1"/>
  <c r="E114" i="56"/>
  <c r="I120" i="46"/>
  <c r="Q120" i="46" s="1"/>
  <c r="M229" i="46"/>
  <c r="G162" i="56"/>
  <c r="G272" i="46"/>
  <c r="O272" i="46" s="1"/>
  <c r="G270" i="46"/>
  <c r="O270" i="46" s="1"/>
  <c r="O97" i="50"/>
  <c r="F22" i="47"/>
  <c r="E45" i="42"/>
  <c r="G135" i="56"/>
  <c r="D16" i="47"/>
  <c r="E256" i="56"/>
  <c r="I235" i="56"/>
  <c r="I155" i="56"/>
  <c r="F24" i="47"/>
  <c r="I206" i="56"/>
  <c r="I109" i="56"/>
  <c r="O220" i="46"/>
  <c r="Q261" i="46"/>
  <c r="I96" i="46"/>
  <c r="D14" i="47"/>
  <c r="I107" i="46"/>
  <c r="Q107" i="46" s="1"/>
  <c r="G153" i="46"/>
  <c r="O153" i="46" s="1"/>
  <c r="G269" i="56"/>
  <c r="O269" i="56" s="1"/>
  <c r="Q236" i="46"/>
  <c r="G57" i="46"/>
  <c r="O57" i="46" s="1"/>
  <c r="G170" i="56"/>
  <c r="O261" i="46"/>
  <c r="G97" i="46"/>
  <c r="G146" i="46"/>
  <c r="O146" i="46" s="1"/>
  <c r="G129" i="56"/>
  <c r="F27" i="47"/>
  <c r="E271" i="56"/>
  <c r="M271" i="56" s="1"/>
  <c r="G40" i="46"/>
  <c r="O40" i="46" s="1"/>
  <c r="I82" i="46"/>
  <c r="E278" i="46"/>
  <c r="M278" i="46" s="1"/>
  <c r="I167" i="46"/>
  <c r="Q167" i="46" s="1"/>
  <c r="E89" i="46"/>
  <c r="G276" i="46"/>
  <c r="O276" i="46" s="1"/>
  <c r="G275" i="46"/>
  <c r="O275" i="46" s="1"/>
  <c r="E269" i="56"/>
  <c r="M269" i="56" s="1"/>
  <c r="E276" i="56"/>
  <c r="M276" i="56" s="1"/>
  <c r="D15" i="47"/>
  <c r="D26" i="47"/>
  <c r="D22" i="47"/>
  <c r="L189" i="46"/>
  <c r="L19" i="46" s="1"/>
  <c r="G274" i="56"/>
  <c r="O274" i="56" s="1"/>
  <c r="G271" i="46"/>
  <c r="O271" i="46" s="1"/>
  <c r="E274" i="56"/>
  <c r="M274" i="56" s="1"/>
  <c r="E272" i="56"/>
  <c r="M272" i="56" s="1"/>
  <c r="D12" i="47"/>
  <c r="D21" i="47"/>
  <c r="G250" i="56"/>
  <c r="G145" i="56"/>
  <c r="G121" i="56"/>
  <c r="G169" i="46"/>
  <c r="O169" i="46" s="1"/>
  <c r="F14" i="47"/>
  <c r="I163" i="56"/>
  <c r="I200" i="56"/>
  <c r="F19" i="47"/>
  <c r="I170" i="56"/>
  <c r="I260" i="56"/>
  <c r="I42" i="46"/>
  <c r="Q42" i="46" s="1"/>
  <c r="I246" i="56"/>
  <c r="G244" i="56"/>
  <c r="I56" i="46"/>
  <c r="Q56" i="46" s="1"/>
  <c r="I115" i="56"/>
  <c r="Q198" i="46"/>
  <c r="G273" i="56"/>
  <c r="O273" i="56" s="1"/>
  <c r="I122" i="56"/>
  <c r="I33" i="46"/>
  <c r="Q33" i="46" s="1"/>
  <c r="G162" i="46"/>
  <c r="O162" i="46" s="1"/>
  <c r="G105" i="56"/>
  <c r="I50" i="42"/>
  <c r="E273" i="56"/>
  <c r="M273" i="56" s="1"/>
  <c r="F12" i="47"/>
  <c r="E117" i="46"/>
  <c r="M117" i="46" s="1"/>
  <c r="E205" i="56"/>
  <c r="G32" i="42"/>
  <c r="D189" i="46"/>
  <c r="D19" i="46" s="1"/>
  <c r="O49" i="56"/>
  <c r="G270" i="56"/>
  <c r="O270" i="56" s="1"/>
  <c r="G268" i="46"/>
  <c r="E270" i="56"/>
  <c r="M270" i="56" s="1"/>
  <c r="G226" i="56"/>
  <c r="M232" i="46"/>
  <c r="E162" i="56"/>
  <c r="O260" i="46"/>
  <c r="F17" i="47"/>
  <c r="I50" i="46"/>
  <c r="Q50" i="46" s="1"/>
  <c r="I44" i="46"/>
  <c r="Q44" i="46" s="1"/>
  <c r="Q213" i="46"/>
  <c r="I97" i="46"/>
  <c r="O212" i="46"/>
  <c r="G213" i="56"/>
  <c r="F13" i="47"/>
  <c r="O205" i="46"/>
  <c r="G129" i="46"/>
  <c r="O129" i="46" s="1"/>
  <c r="G32" i="46"/>
  <c r="O32" i="46" s="1"/>
  <c r="I40" i="42"/>
  <c r="G122" i="46"/>
  <c r="O122" i="46" s="1"/>
  <c r="L123" i="46"/>
  <c r="L15" i="46" s="1"/>
  <c r="D214" i="56"/>
  <c r="D18" i="56" s="1"/>
  <c r="I277" i="56"/>
  <c r="Q277" i="56" s="1"/>
  <c r="D98" i="56"/>
  <c r="D171" i="46"/>
  <c r="D17" i="46" s="1"/>
  <c r="L279" i="46"/>
  <c r="L23" i="46" s="1"/>
  <c r="D279" i="46"/>
  <c r="D23" i="46" s="1"/>
  <c r="D214" i="46"/>
  <c r="D20" i="46" s="1"/>
  <c r="L214" i="46"/>
  <c r="L20" i="46" s="1"/>
  <c r="D238" i="56"/>
  <c r="D19" i="56" s="1"/>
  <c r="D279" i="56"/>
  <c r="D22" i="56" s="1"/>
  <c r="D123" i="56"/>
  <c r="D13" i="56" s="1"/>
  <c r="D147" i="56"/>
  <c r="D14" i="56" s="1"/>
  <c r="D171" i="56"/>
  <c r="D15" i="56" s="1"/>
  <c r="D262" i="56"/>
  <c r="D20" i="56" s="1"/>
  <c r="D54" i="42"/>
  <c r="C34" i="47" s="1"/>
  <c r="D147" i="46"/>
  <c r="D16" i="46" s="1"/>
  <c r="L58" i="46"/>
  <c r="L13" i="46" s="1"/>
  <c r="D58" i="46"/>
  <c r="D13" i="46" s="1"/>
  <c r="D59" i="56"/>
  <c r="D11" i="56" s="1"/>
  <c r="D11" i="46" s="1"/>
  <c r="D98" i="46"/>
  <c r="L147" i="46"/>
  <c r="L16" i="46" s="1"/>
  <c r="L238" i="46"/>
  <c r="L21" i="46" s="1"/>
  <c r="I274" i="46"/>
  <c r="Q274" i="46" s="1"/>
  <c r="I271" i="56"/>
  <c r="Q271" i="56" s="1"/>
  <c r="D262" i="46"/>
  <c r="D22" i="46" s="1"/>
  <c r="D123" i="46"/>
  <c r="D15" i="46" s="1"/>
  <c r="L171" i="46"/>
  <c r="L17" i="46" s="1"/>
  <c r="I160" i="56"/>
  <c r="I43" i="42"/>
  <c r="I251" i="56"/>
  <c r="I227" i="56"/>
  <c r="I47" i="46"/>
  <c r="Q47" i="46" s="1"/>
  <c r="I112" i="56"/>
  <c r="I203" i="56"/>
  <c r="I136" i="46"/>
  <c r="Q136" i="46" s="1"/>
  <c r="I112" i="46"/>
  <c r="Q112" i="46" s="1"/>
  <c r="I136" i="56"/>
  <c r="Q203" i="46"/>
  <c r="I160" i="46"/>
  <c r="Q160" i="46" s="1"/>
  <c r="I87" i="46"/>
  <c r="I269" i="56"/>
  <c r="Q269" i="56" s="1"/>
  <c r="I276" i="46"/>
  <c r="Q276" i="46" s="1"/>
  <c r="I278" i="56"/>
  <c r="Q278" i="56" s="1"/>
  <c r="I276" i="56"/>
  <c r="Q276" i="56" s="1"/>
  <c r="I274" i="56"/>
  <c r="Q274" i="56" s="1"/>
  <c r="I273" i="56"/>
  <c r="Q273" i="56" s="1"/>
  <c r="I269" i="46"/>
  <c r="Q269" i="46" s="1"/>
  <c r="I270" i="56"/>
  <c r="Q270" i="56" s="1"/>
  <c r="I268" i="56"/>
  <c r="Q268" i="56" s="1"/>
  <c r="I272" i="56"/>
  <c r="Q272" i="56" s="1"/>
  <c r="I277" i="46"/>
  <c r="Q277" i="46" s="1"/>
  <c r="I273" i="46"/>
  <c r="Q273" i="46" s="1"/>
  <c r="I272" i="46"/>
  <c r="Q272" i="46" s="1"/>
  <c r="I270" i="46"/>
  <c r="Q270" i="46" s="1"/>
  <c r="I275" i="46"/>
  <c r="Q275" i="46" s="1"/>
  <c r="I32" i="42"/>
  <c r="I278" i="46"/>
  <c r="Q278" i="46" s="1"/>
  <c r="I275" i="56"/>
  <c r="Q275" i="56" s="1"/>
  <c r="I271" i="46"/>
  <c r="Q271" i="46" s="1"/>
  <c r="L262" i="46"/>
  <c r="L22" i="46" s="1"/>
  <c r="L279" i="56"/>
  <c r="L22" i="56" s="1"/>
  <c r="O219" i="46"/>
  <c r="Q219" i="46"/>
  <c r="O186" i="46"/>
  <c r="O152" i="46"/>
  <c r="O31" i="46"/>
  <c r="O39" i="46"/>
  <c r="O195" i="46"/>
  <c r="O243" i="46"/>
  <c r="O186" i="56"/>
  <c r="Q39" i="46"/>
  <c r="Q128" i="46"/>
  <c r="Q243" i="46"/>
  <c r="M186" i="56"/>
  <c r="M189" i="56" s="1"/>
  <c r="O128" i="46"/>
  <c r="Q152" i="46"/>
  <c r="Q186" i="56"/>
  <c r="F34" i="46"/>
  <c r="N31" i="46"/>
  <c r="N34" i="46" s="1"/>
  <c r="N186" i="56"/>
  <c r="O104" i="46"/>
  <c r="N39" i="46"/>
  <c r="E189" i="56" l="1"/>
  <c r="H195" i="46"/>
  <c r="H243" i="46"/>
  <c r="H219" i="46"/>
  <c r="F238" i="56"/>
  <c r="F19" i="56" s="1"/>
  <c r="G29" i="47"/>
  <c r="F262" i="56"/>
  <c r="F20" i="56" s="1"/>
  <c r="H29" i="47"/>
  <c r="N35" i="46"/>
  <c r="F98" i="56"/>
  <c r="F189" i="56"/>
  <c r="F190" i="56" s="1"/>
  <c r="I73" i="46"/>
  <c r="I66" i="46" s="1"/>
  <c r="F214" i="56"/>
  <c r="F215" i="56" s="1"/>
  <c r="F147" i="56"/>
  <c r="N189" i="56"/>
  <c r="F98" i="46"/>
  <c r="N123" i="46"/>
  <c r="E29" i="47"/>
  <c r="F54" i="42"/>
  <c r="E34" i="47" s="1"/>
  <c r="F171" i="56"/>
  <c r="F172" i="56" s="1"/>
  <c r="N147" i="46"/>
  <c r="N148" i="46" s="1"/>
  <c r="H73" i="46"/>
  <c r="H66" i="46" s="1"/>
  <c r="N262" i="46"/>
  <c r="N263" i="46" s="1"/>
  <c r="E34" i="46"/>
  <c r="E12" i="46" s="1"/>
  <c r="O34" i="46"/>
  <c r="O35" i="46" s="1"/>
  <c r="I189" i="46"/>
  <c r="F189" i="46"/>
  <c r="F171" i="46"/>
  <c r="F17" i="46" s="1"/>
  <c r="N238" i="46"/>
  <c r="N21" i="46" s="1"/>
  <c r="M186" i="46"/>
  <c r="M189" i="46" s="1"/>
  <c r="M19" i="46" s="1"/>
  <c r="G72" i="56"/>
  <c r="G65" i="56" s="1"/>
  <c r="M31" i="46"/>
  <c r="M34" i="46" s="1"/>
  <c r="M35" i="46" s="1"/>
  <c r="F72" i="46"/>
  <c r="F65" i="46" s="1"/>
  <c r="F238" i="46"/>
  <c r="F239" i="46" s="1"/>
  <c r="E78" i="47" s="1"/>
  <c r="F279" i="56"/>
  <c r="F22" i="56" s="1"/>
  <c r="F147" i="46"/>
  <c r="F148" i="46" s="1"/>
  <c r="E67" i="47" s="1"/>
  <c r="F123" i="56"/>
  <c r="F13" i="56" s="1"/>
  <c r="Q186" i="46"/>
  <c r="Q189" i="46" s="1"/>
  <c r="Q190" i="46" s="1"/>
  <c r="N152" i="46"/>
  <c r="N171" i="46" s="1"/>
  <c r="N172" i="46" s="1"/>
  <c r="N279" i="46"/>
  <c r="N280" i="46" s="1"/>
  <c r="H73" i="56"/>
  <c r="H66" i="56" s="1"/>
  <c r="F262" i="46"/>
  <c r="F263" i="46" s="1"/>
  <c r="E79" i="47" s="1"/>
  <c r="F58" i="46"/>
  <c r="F59" i="46" s="1"/>
  <c r="E60" i="47" s="1"/>
  <c r="F123" i="46"/>
  <c r="F124" i="46" s="1"/>
  <c r="E66" i="47" s="1"/>
  <c r="F73" i="46"/>
  <c r="F66" i="46" s="1"/>
  <c r="E57" i="47"/>
  <c r="F279" i="46"/>
  <c r="F280" i="46" s="1"/>
  <c r="E82" i="47" s="1"/>
  <c r="N58" i="46"/>
  <c r="N59" i="46" s="1"/>
  <c r="N59" i="56"/>
  <c r="N11" i="56" s="1"/>
  <c r="G189" i="46"/>
  <c r="G190" i="46" s="1"/>
  <c r="F74" i="47" s="1"/>
  <c r="G72" i="46"/>
  <c r="F214" i="46"/>
  <c r="F215" i="46" s="1"/>
  <c r="E77" i="47" s="1"/>
  <c r="G73" i="56"/>
  <c r="O73" i="56" s="1"/>
  <c r="E73" i="46"/>
  <c r="E66" i="46" s="1"/>
  <c r="H40" i="56"/>
  <c r="H79" i="56"/>
  <c r="H269" i="56"/>
  <c r="P269" i="56" s="1"/>
  <c r="H270" i="56"/>
  <c r="P270" i="56" s="1"/>
  <c r="H273" i="56"/>
  <c r="P273" i="56" s="1"/>
  <c r="H274" i="56"/>
  <c r="P274" i="56" s="1"/>
  <c r="H219" i="56"/>
  <c r="H238" i="56" s="1"/>
  <c r="H19" i="56" s="1"/>
  <c r="H152" i="46"/>
  <c r="H277" i="56"/>
  <c r="P277" i="56" s="1"/>
  <c r="H270" i="46"/>
  <c r="P270" i="46" s="1"/>
  <c r="H186" i="56"/>
  <c r="H128" i="46"/>
  <c r="H272" i="46"/>
  <c r="P272" i="46" s="1"/>
  <c r="H274" i="46"/>
  <c r="P274" i="46" s="1"/>
  <c r="H39" i="46"/>
  <c r="H243" i="56"/>
  <c r="H262" i="56" s="1"/>
  <c r="H20" i="56" s="1"/>
  <c r="H32" i="42"/>
  <c r="H104" i="56"/>
  <c r="H123" i="56" s="1"/>
  <c r="H13" i="56" s="1"/>
  <c r="H271" i="56"/>
  <c r="P271" i="56" s="1"/>
  <c r="H186" i="46"/>
  <c r="H276" i="46"/>
  <c r="P276" i="46" s="1"/>
  <c r="H275" i="56"/>
  <c r="P275" i="56" s="1"/>
  <c r="H152" i="56"/>
  <c r="H171" i="56" s="1"/>
  <c r="H15" i="56" s="1"/>
  <c r="H79" i="46"/>
  <c r="H271" i="46"/>
  <c r="P271" i="46" s="1"/>
  <c r="H128" i="56"/>
  <c r="H147" i="56" s="1"/>
  <c r="H14" i="56" s="1"/>
  <c r="H268" i="46"/>
  <c r="H269" i="46"/>
  <c r="P269" i="46" s="1"/>
  <c r="H195" i="56"/>
  <c r="H214" i="56" s="1"/>
  <c r="H18" i="56" s="1"/>
  <c r="H35" i="42"/>
  <c r="H54" i="42" s="1"/>
  <c r="G34" i="47" s="1"/>
  <c r="H277" i="46"/>
  <c r="P277" i="46" s="1"/>
  <c r="H276" i="56"/>
  <c r="P276" i="56" s="1"/>
  <c r="H278" i="46"/>
  <c r="P278" i="46" s="1"/>
  <c r="H275" i="46"/>
  <c r="P275" i="46" s="1"/>
  <c r="H32" i="56"/>
  <c r="H35" i="56" s="1"/>
  <c r="H36" i="56" s="1"/>
  <c r="H272" i="56"/>
  <c r="P272" i="56" s="1"/>
  <c r="H268" i="56"/>
  <c r="H273" i="46"/>
  <c r="P273" i="46" s="1"/>
  <c r="H278" i="56"/>
  <c r="P278" i="56" s="1"/>
  <c r="H104" i="46"/>
  <c r="H31" i="46"/>
  <c r="E72" i="56"/>
  <c r="M72" i="56" s="1"/>
  <c r="E72" i="46"/>
  <c r="E65" i="46" s="1"/>
  <c r="L72" i="56"/>
  <c r="D74" i="56"/>
  <c r="D12" i="56" s="1"/>
  <c r="I72" i="46"/>
  <c r="I65" i="46" s="1"/>
  <c r="F73" i="56"/>
  <c r="N73" i="56" s="1"/>
  <c r="D57" i="47"/>
  <c r="G73" i="46"/>
  <c r="G66" i="46" s="1"/>
  <c r="N195" i="46"/>
  <c r="N214" i="46" s="1"/>
  <c r="N215" i="46" s="1"/>
  <c r="F59" i="56"/>
  <c r="F11" i="56" s="1"/>
  <c r="F11" i="46" s="1"/>
  <c r="E58" i="47" s="1"/>
  <c r="I72" i="56"/>
  <c r="I65" i="56" s="1"/>
  <c r="E73" i="56"/>
  <c r="E66" i="56" s="1"/>
  <c r="F36" i="56"/>
  <c r="I73" i="56"/>
  <c r="F72" i="56"/>
  <c r="N72" i="56" s="1"/>
  <c r="O59" i="56"/>
  <c r="O11" i="56" s="1"/>
  <c r="M262" i="46"/>
  <c r="M263" i="46" s="1"/>
  <c r="I189" i="56"/>
  <c r="I190" i="56" s="1"/>
  <c r="Q189" i="56"/>
  <c r="Q190" i="56" s="1"/>
  <c r="E262" i="46"/>
  <c r="E22" i="46" s="1"/>
  <c r="E214" i="56"/>
  <c r="E215" i="56" s="1"/>
  <c r="E98" i="46"/>
  <c r="E99" i="46" s="1"/>
  <c r="D63" i="47" s="1"/>
  <c r="E238" i="56"/>
  <c r="E19" i="56" s="1"/>
  <c r="I35" i="56"/>
  <c r="I10" i="56" s="1"/>
  <c r="I10" i="46" s="1"/>
  <c r="H57" i="47" s="1"/>
  <c r="G214" i="56"/>
  <c r="G18" i="56" s="1"/>
  <c r="G35" i="56"/>
  <c r="G10" i="56" s="1"/>
  <c r="G10" i="46" s="1"/>
  <c r="F57" i="47" s="1"/>
  <c r="M147" i="46"/>
  <c r="M148" i="46" s="1"/>
  <c r="G98" i="56"/>
  <c r="G99" i="56" s="1"/>
  <c r="E54" i="42"/>
  <c r="D34" i="47" s="1"/>
  <c r="D36" i="47" s="1"/>
  <c r="E171" i="56"/>
  <c r="E15" i="56" s="1"/>
  <c r="G238" i="56"/>
  <c r="G239" i="56" s="1"/>
  <c r="M58" i="46"/>
  <c r="M59" i="46" s="1"/>
  <c r="E123" i="56"/>
  <c r="E124" i="56" s="1"/>
  <c r="G262" i="56"/>
  <c r="G20" i="56" s="1"/>
  <c r="G171" i="56"/>
  <c r="G15" i="56" s="1"/>
  <c r="Q59" i="56"/>
  <c r="Q60" i="56" s="1"/>
  <c r="Q34" i="46"/>
  <c r="Q35" i="46" s="1"/>
  <c r="I34" i="46"/>
  <c r="I12" i="46" s="1"/>
  <c r="E147" i="46"/>
  <c r="E148" i="46" s="1"/>
  <c r="D67" i="47" s="1"/>
  <c r="E147" i="56"/>
  <c r="E148" i="56" s="1"/>
  <c r="E58" i="46"/>
  <c r="E59" i="46" s="1"/>
  <c r="D60" i="47" s="1"/>
  <c r="G59" i="56"/>
  <c r="G60" i="56" s="1"/>
  <c r="O214" i="46"/>
  <c r="O20" i="46" s="1"/>
  <c r="F148" i="56"/>
  <c r="G238" i="46"/>
  <c r="G239" i="46" s="1"/>
  <c r="F78" i="47" s="1"/>
  <c r="E262" i="56"/>
  <c r="E263" i="56" s="1"/>
  <c r="M59" i="56"/>
  <c r="M60" i="56" s="1"/>
  <c r="E98" i="56"/>
  <c r="E99" i="56" s="1"/>
  <c r="D29" i="47"/>
  <c r="M238" i="46"/>
  <c r="M239" i="46" s="1"/>
  <c r="O189" i="46"/>
  <c r="O19" i="46" s="1"/>
  <c r="G98" i="46"/>
  <c r="G99" i="46" s="1"/>
  <c r="F63" i="47" s="1"/>
  <c r="G279" i="46"/>
  <c r="G280" i="46" s="1"/>
  <c r="F82" i="47" s="1"/>
  <c r="O268" i="46"/>
  <c r="O279" i="46" s="1"/>
  <c r="G279" i="56"/>
  <c r="G280" i="56" s="1"/>
  <c r="F29" i="47"/>
  <c r="G147" i="56"/>
  <c r="G14" i="56" s="1"/>
  <c r="G147" i="46"/>
  <c r="G148" i="46" s="1"/>
  <c r="F67" i="47" s="1"/>
  <c r="O58" i="46"/>
  <c r="O59" i="46" s="1"/>
  <c r="G123" i="56"/>
  <c r="G13" i="56" s="1"/>
  <c r="M279" i="56"/>
  <c r="M280" i="56" s="1"/>
  <c r="E279" i="46"/>
  <c r="E280" i="46" s="1"/>
  <c r="D82" i="47" s="1"/>
  <c r="G58" i="46"/>
  <c r="G13" i="46" s="1"/>
  <c r="O238" i="46"/>
  <c r="O239" i="46" s="1"/>
  <c r="G54" i="42"/>
  <c r="F34" i="47" s="1"/>
  <c r="F35" i="47" s="1"/>
  <c r="I54" i="42"/>
  <c r="I56" i="42" s="1"/>
  <c r="E59" i="56"/>
  <c r="E60" i="56" s="1"/>
  <c r="O123" i="46"/>
  <c r="O124" i="46" s="1"/>
  <c r="M214" i="46"/>
  <c r="M215" i="46" s="1"/>
  <c r="G189" i="56"/>
  <c r="G17" i="56" s="1"/>
  <c r="O171" i="46"/>
  <c r="O172" i="46" s="1"/>
  <c r="M171" i="46"/>
  <c r="M172" i="46" s="1"/>
  <c r="M123" i="46"/>
  <c r="M124" i="46" s="1"/>
  <c r="G262" i="46"/>
  <c r="G263" i="46" s="1"/>
  <c r="F79" i="47" s="1"/>
  <c r="E171" i="46"/>
  <c r="E17" i="46" s="1"/>
  <c r="M268" i="46"/>
  <c r="M279" i="46" s="1"/>
  <c r="M23" i="46" s="1"/>
  <c r="I147" i="56"/>
  <c r="I148" i="56" s="1"/>
  <c r="E214" i="46"/>
  <c r="E215" i="46" s="1"/>
  <c r="D77" i="47" s="1"/>
  <c r="O189" i="56"/>
  <c r="O190" i="56" s="1"/>
  <c r="I214" i="56"/>
  <c r="I18" i="56" s="1"/>
  <c r="E238" i="46"/>
  <c r="E239" i="46" s="1"/>
  <c r="D78" i="47" s="1"/>
  <c r="G34" i="46"/>
  <c r="G35" i="46" s="1"/>
  <c r="F59" i="47" s="1"/>
  <c r="E123" i="46"/>
  <c r="E15" i="46" s="1"/>
  <c r="G123" i="46"/>
  <c r="G124" i="46" s="1"/>
  <c r="F66" i="47" s="1"/>
  <c r="G171" i="46"/>
  <c r="G172" i="46" s="1"/>
  <c r="F68" i="47" s="1"/>
  <c r="O262" i="46"/>
  <c r="O22" i="46" s="1"/>
  <c r="I123" i="56"/>
  <c r="I124" i="56" s="1"/>
  <c r="E279" i="56"/>
  <c r="E280" i="56" s="1"/>
  <c r="O147" i="46"/>
  <c r="O148" i="46" s="1"/>
  <c r="I262" i="56"/>
  <c r="I20" i="56" s="1"/>
  <c r="I171" i="56"/>
  <c r="I15" i="56" s="1"/>
  <c r="G214" i="46"/>
  <c r="G215" i="46" s="1"/>
  <c r="F77" i="47" s="1"/>
  <c r="I238" i="56"/>
  <c r="I239" i="56" s="1"/>
  <c r="D67" i="46"/>
  <c r="I123" i="46"/>
  <c r="I15" i="46" s="1"/>
  <c r="Q123" i="46"/>
  <c r="Q124" i="46" s="1"/>
  <c r="F99" i="56"/>
  <c r="F239" i="56"/>
  <c r="F18" i="56"/>
  <c r="F263" i="56"/>
  <c r="L24" i="46"/>
  <c r="I214" i="46"/>
  <c r="I215" i="46" s="1"/>
  <c r="H77" i="47" s="1"/>
  <c r="D74" i="46"/>
  <c r="D14" i="46" s="1"/>
  <c r="F99" i="46"/>
  <c r="E63" i="47" s="1"/>
  <c r="Q214" i="46"/>
  <c r="Q215" i="46" s="1"/>
  <c r="I98" i="46"/>
  <c r="I99" i="46" s="1"/>
  <c r="H63" i="47" s="1"/>
  <c r="I98" i="56"/>
  <c r="I99" i="56" s="1"/>
  <c r="Q171" i="46"/>
  <c r="Q172" i="46" s="1"/>
  <c r="I171" i="46"/>
  <c r="I172" i="46" s="1"/>
  <c r="H68" i="47" s="1"/>
  <c r="F14" i="56"/>
  <c r="I147" i="46"/>
  <c r="I16" i="46" s="1"/>
  <c r="D66" i="56"/>
  <c r="D67" i="56" s="1"/>
  <c r="L73" i="56"/>
  <c r="F66" i="56"/>
  <c r="I238" i="46"/>
  <c r="I239" i="46" s="1"/>
  <c r="H78" i="47" s="1"/>
  <c r="Q147" i="46"/>
  <c r="Q16" i="46" s="1"/>
  <c r="I262" i="46"/>
  <c r="I263" i="46" s="1"/>
  <c r="H79" i="47" s="1"/>
  <c r="I59" i="56"/>
  <c r="I60" i="56" s="1"/>
  <c r="Q238" i="46"/>
  <c r="Q239" i="46" s="1"/>
  <c r="Q262" i="46"/>
  <c r="Q263" i="46" s="1"/>
  <c r="Q58" i="46"/>
  <c r="Q59" i="46" s="1"/>
  <c r="I279" i="56"/>
  <c r="I280" i="56" s="1"/>
  <c r="E36" i="56"/>
  <c r="Q279" i="46"/>
  <c r="Q280" i="46" s="1"/>
  <c r="I279" i="46"/>
  <c r="I23" i="46" s="1"/>
  <c r="I58" i="46"/>
  <c r="I13" i="46" s="1"/>
  <c r="I190" i="46"/>
  <c r="H74" i="47" s="1"/>
  <c r="I19" i="46"/>
  <c r="F35" i="46"/>
  <c r="E59" i="47" s="1"/>
  <c r="F12" i="46"/>
  <c r="E190" i="56"/>
  <c r="E17" i="56"/>
  <c r="N279" i="56"/>
  <c r="N190" i="46"/>
  <c r="N19" i="46"/>
  <c r="N17" i="56"/>
  <c r="N190" i="56"/>
  <c r="F190" i="46"/>
  <c r="E74" i="47" s="1"/>
  <c r="F19" i="46"/>
  <c r="E190" i="46"/>
  <c r="D74" i="47" s="1"/>
  <c r="E19" i="46"/>
  <c r="N124" i="46"/>
  <c r="N15" i="46"/>
  <c r="F16" i="46"/>
  <c r="E35" i="46"/>
  <c r="D59" i="47" s="1"/>
  <c r="Q19" i="46"/>
  <c r="M190" i="56"/>
  <c r="M17" i="56"/>
  <c r="F21" i="46" l="1"/>
  <c r="F67" i="46"/>
  <c r="G19" i="46"/>
  <c r="F124" i="56"/>
  <c r="N60" i="56"/>
  <c r="M190" i="46"/>
  <c r="F17" i="56"/>
  <c r="N22" i="46"/>
  <c r="H263" i="56"/>
  <c r="G74" i="46"/>
  <c r="G75" i="46" s="1"/>
  <c r="F62" i="47" s="1"/>
  <c r="H56" i="42"/>
  <c r="E263" i="46"/>
  <c r="D79" i="47" s="1"/>
  <c r="N239" i="46"/>
  <c r="N74" i="56"/>
  <c r="N12" i="56" s="1"/>
  <c r="P73" i="56"/>
  <c r="M22" i="56"/>
  <c r="N16" i="46"/>
  <c r="F172" i="46"/>
  <c r="E68" i="47" s="1"/>
  <c r="F74" i="46"/>
  <c r="F14" i="46" s="1"/>
  <c r="G74" i="56"/>
  <c r="G12" i="56" s="1"/>
  <c r="F56" i="42"/>
  <c r="O72" i="56"/>
  <c r="O74" i="56" s="1"/>
  <c r="O75" i="56" s="1"/>
  <c r="M22" i="46"/>
  <c r="F15" i="46"/>
  <c r="F15" i="56"/>
  <c r="N13" i="46"/>
  <c r="F280" i="56"/>
  <c r="F23" i="46"/>
  <c r="G65" i="46"/>
  <c r="G67" i="46" s="1"/>
  <c r="G68" i="46" s="1"/>
  <c r="F61" i="47" s="1"/>
  <c r="F20" i="46"/>
  <c r="F13" i="46"/>
  <c r="F22" i="46"/>
  <c r="N23" i="46"/>
  <c r="L74" i="56"/>
  <c r="L12" i="56" s="1"/>
  <c r="L23" i="56" s="1"/>
  <c r="C43" i="47" s="1"/>
  <c r="C49" i="47" s="1"/>
  <c r="Q11" i="56"/>
  <c r="I36" i="56"/>
  <c r="N17" i="46"/>
  <c r="O60" i="56"/>
  <c r="F74" i="56"/>
  <c r="F65" i="56"/>
  <c r="F67" i="56" s="1"/>
  <c r="F68" i="56" s="1"/>
  <c r="H10" i="56"/>
  <c r="H10" i="46" s="1"/>
  <c r="G57" i="47" s="1"/>
  <c r="H172" i="56"/>
  <c r="I263" i="56"/>
  <c r="P152" i="46"/>
  <c r="P171" i="46" s="1"/>
  <c r="H171" i="46"/>
  <c r="M13" i="46"/>
  <c r="P195" i="46"/>
  <c r="P214" i="46" s="1"/>
  <c r="H214" i="46"/>
  <c r="E65" i="56"/>
  <c r="E67" i="56" s="1"/>
  <c r="E68" i="56" s="1"/>
  <c r="E36" i="47"/>
  <c r="P268" i="46"/>
  <c r="P279" i="46" s="1"/>
  <c r="H279" i="46"/>
  <c r="G12" i="46"/>
  <c r="I35" i="46"/>
  <c r="H59" i="47" s="1"/>
  <c r="E13" i="46"/>
  <c r="I17" i="56"/>
  <c r="H239" i="56"/>
  <c r="I74" i="56"/>
  <c r="I12" i="56" s="1"/>
  <c r="P268" i="56"/>
  <c r="H279" i="56"/>
  <c r="P219" i="46"/>
  <c r="P238" i="46" s="1"/>
  <c r="H238" i="46"/>
  <c r="H58" i="46"/>
  <c r="P39" i="46"/>
  <c r="P58" i="46" s="1"/>
  <c r="N20" i="46"/>
  <c r="M21" i="46"/>
  <c r="H215" i="56"/>
  <c r="H148" i="56"/>
  <c r="P40" i="56"/>
  <c r="P59" i="56" s="1"/>
  <c r="H59" i="56"/>
  <c r="H124" i="56"/>
  <c r="F60" i="56"/>
  <c r="Q17" i="56"/>
  <c r="E18" i="56"/>
  <c r="H98" i="46"/>
  <c r="H99" i="46" s="1"/>
  <c r="G63" i="47" s="1"/>
  <c r="H72" i="46"/>
  <c r="P128" i="46"/>
  <c r="P147" i="46" s="1"/>
  <c r="H147" i="46"/>
  <c r="H34" i="46"/>
  <c r="P31" i="46"/>
  <c r="P34" i="46" s="1"/>
  <c r="P35" i="46" s="1"/>
  <c r="P186" i="46"/>
  <c r="P189" i="46" s="1"/>
  <c r="H189" i="46"/>
  <c r="H123" i="46"/>
  <c r="P104" i="46"/>
  <c r="P123" i="46" s="1"/>
  <c r="P243" i="46"/>
  <c r="P262" i="46" s="1"/>
  <c r="H262" i="46"/>
  <c r="H72" i="56"/>
  <c r="H98" i="56"/>
  <c r="H99" i="56" s="1"/>
  <c r="E14" i="56"/>
  <c r="Q72" i="56"/>
  <c r="H189" i="56"/>
  <c r="P186" i="56"/>
  <c r="P189" i="56" s="1"/>
  <c r="G66" i="56"/>
  <c r="G67" i="56" s="1"/>
  <c r="G68" i="56" s="1"/>
  <c r="G215" i="56"/>
  <c r="G11" i="56"/>
  <c r="G11" i="46" s="1"/>
  <c r="F58" i="47" s="1"/>
  <c r="G19" i="56"/>
  <c r="E74" i="46"/>
  <c r="E75" i="46" s="1"/>
  <c r="D62" i="47" s="1"/>
  <c r="O190" i="46"/>
  <c r="E67" i="46"/>
  <c r="E68" i="46" s="1"/>
  <c r="D61" i="47" s="1"/>
  <c r="E239" i="56"/>
  <c r="G263" i="56"/>
  <c r="O215" i="46"/>
  <c r="G172" i="56"/>
  <c r="E13" i="56"/>
  <c r="G36" i="56"/>
  <c r="I215" i="56"/>
  <c r="D35" i="47"/>
  <c r="E56" i="42"/>
  <c r="E57" i="42" s="1"/>
  <c r="I124" i="46"/>
  <c r="H66" i="47" s="1"/>
  <c r="M16" i="46"/>
  <c r="M73" i="56"/>
  <c r="M74" i="56" s="1"/>
  <c r="M12" i="56" s="1"/>
  <c r="E74" i="56"/>
  <c r="E75" i="56" s="1"/>
  <c r="E172" i="56"/>
  <c r="Q73" i="56"/>
  <c r="E16" i="46"/>
  <c r="I66" i="56"/>
  <c r="I67" i="56" s="1"/>
  <c r="I68" i="56" s="1"/>
  <c r="I74" i="46"/>
  <c r="I75" i="46" s="1"/>
  <c r="H62" i="47" s="1"/>
  <c r="I67" i="46"/>
  <c r="I68" i="46" s="1"/>
  <c r="H61" i="47" s="1"/>
  <c r="Q15" i="46"/>
  <c r="I13" i="56"/>
  <c r="I14" i="56"/>
  <c r="E20" i="56"/>
  <c r="O263" i="46"/>
  <c r="G21" i="46"/>
  <c r="M17" i="46"/>
  <c r="M11" i="56"/>
  <c r="E23" i="46"/>
  <c r="G22" i="56"/>
  <c r="O21" i="46"/>
  <c r="G59" i="46"/>
  <c r="F60" i="47" s="1"/>
  <c r="G23" i="46"/>
  <c r="O17" i="46"/>
  <c r="G20" i="46"/>
  <c r="O23" i="46"/>
  <c r="O280" i="46"/>
  <c r="G17" i="46"/>
  <c r="E172" i="46"/>
  <c r="D68" i="47" s="1"/>
  <c r="O13" i="46"/>
  <c r="E11" i="56"/>
  <c r="E11" i="46" s="1"/>
  <c r="D58" i="47" s="1"/>
  <c r="O15" i="46"/>
  <c r="O17" i="56"/>
  <c r="M280" i="46"/>
  <c r="G190" i="56"/>
  <c r="G124" i="56"/>
  <c r="E20" i="46"/>
  <c r="O16" i="46"/>
  <c r="G16" i="46"/>
  <c r="E22" i="56"/>
  <c r="M20" i="46"/>
  <c r="G148" i="56"/>
  <c r="G56" i="42"/>
  <c r="H34" i="47"/>
  <c r="H35" i="47" s="1"/>
  <c r="I19" i="56"/>
  <c r="E21" i="46"/>
  <c r="I172" i="56"/>
  <c r="E124" i="46"/>
  <c r="D66" i="47" s="1"/>
  <c r="F68" i="46"/>
  <c r="E61" i="47" s="1"/>
  <c r="M15" i="46"/>
  <c r="G22" i="46"/>
  <c r="G15" i="46"/>
  <c r="I148" i="46"/>
  <c r="H67" i="47" s="1"/>
  <c r="I20" i="46"/>
  <c r="E35" i="47"/>
  <c r="I17" i="46"/>
  <c r="I57" i="42"/>
  <c r="I59" i="46"/>
  <c r="H60" i="47" s="1"/>
  <c r="Q17" i="46"/>
  <c r="I280" i="46"/>
  <c r="H82" i="47" s="1"/>
  <c r="Q20" i="46"/>
  <c r="I11" i="56"/>
  <c r="I11" i="46" s="1"/>
  <c r="H58" i="47" s="1"/>
  <c r="I22" i="46"/>
  <c r="F36" i="47"/>
  <c r="Q22" i="46"/>
  <c r="Q148" i="46"/>
  <c r="I22" i="56"/>
  <c r="Q23" i="46"/>
  <c r="I21" i="46"/>
  <c r="Q21" i="46"/>
  <c r="Q13" i="46"/>
  <c r="G35" i="47"/>
  <c r="G36" i="47"/>
  <c r="F75" i="46"/>
  <c r="E62" i="47" s="1"/>
  <c r="E14" i="46"/>
  <c r="F75" i="56"/>
  <c r="F12" i="56"/>
  <c r="G14" i="46"/>
  <c r="O279" i="56"/>
  <c r="I75" i="56" l="1"/>
  <c r="N24" i="46"/>
  <c r="G57" i="42"/>
  <c r="N75" i="56"/>
  <c r="G75" i="56"/>
  <c r="O12" i="56"/>
  <c r="P16" i="46"/>
  <c r="P148" i="46"/>
  <c r="P23" i="46"/>
  <c r="P280" i="46"/>
  <c r="H65" i="56"/>
  <c r="H67" i="56" s="1"/>
  <c r="H68" i="56" s="1"/>
  <c r="H74" i="56"/>
  <c r="P72" i="56"/>
  <c r="P74" i="56" s="1"/>
  <c r="P12" i="56" s="1"/>
  <c r="P59" i="46"/>
  <c r="P13" i="46"/>
  <c r="H280" i="46"/>
  <c r="G82" i="47" s="1"/>
  <c r="H23" i="46"/>
  <c r="H22" i="46"/>
  <c r="H263" i="46"/>
  <c r="G79" i="47" s="1"/>
  <c r="H13" i="46"/>
  <c r="H59" i="46"/>
  <c r="G60" i="47" s="1"/>
  <c r="P22" i="46"/>
  <c r="P263" i="46"/>
  <c r="H239" i="46"/>
  <c r="G78" i="47" s="1"/>
  <c r="H21" i="46"/>
  <c r="P15" i="46"/>
  <c r="P124" i="46"/>
  <c r="P21" i="46"/>
  <c r="P239" i="46"/>
  <c r="H15" i="46"/>
  <c r="H124" i="46"/>
  <c r="G66" i="47" s="1"/>
  <c r="H22" i="56"/>
  <c r="H280" i="56"/>
  <c r="H20" i="46"/>
  <c r="H215" i="46"/>
  <c r="G77" i="47" s="1"/>
  <c r="H190" i="46"/>
  <c r="G74" i="47" s="1"/>
  <c r="H19" i="46"/>
  <c r="H60" i="56"/>
  <c r="H11" i="56"/>
  <c r="H11" i="46" s="1"/>
  <c r="G58" i="47" s="1"/>
  <c r="P190" i="46"/>
  <c r="P19" i="46"/>
  <c r="P11" i="56"/>
  <c r="P60" i="56"/>
  <c r="H148" i="46"/>
  <c r="G67" i="47" s="1"/>
  <c r="H16" i="46"/>
  <c r="H65" i="46"/>
  <c r="H67" i="46" s="1"/>
  <c r="H68" i="46" s="1"/>
  <c r="G61" i="47" s="1"/>
  <c r="H74" i="46"/>
  <c r="P20" i="46"/>
  <c r="P215" i="46"/>
  <c r="P17" i="56"/>
  <c r="P190" i="56"/>
  <c r="H172" i="46"/>
  <c r="G68" i="47" s="1"/>
  <c r="H17" i="46"/>
  <c r="Q74" i="56"/>
  <c r="Q75" i="56" s="1"/>
  <c r="H190" i="56"/>
  <c r="H17" i="56"/>
  <c r="H35" i="46"/>
  <c r="G59" i="47" s="1"/>
  <c r="H12" i="46"/>
  <c r="P17" i="46"/>
  <c r="P172" i="46"/>
  <c r="I14" i="46"/>
  <c r="F57" i="42"/>
  <c r="E12" i="56"/>
  <c r="M23" i="56"/>
  <c r="D43" i="47" s="1"/>
  <c r="D44" i="47" s="1"/>
  <c r="O24" i="46"/>
  <c r="M24" i="46"/>
  <c r="H57" i="42"/>
  <c r="H36" i="47"/>
  <c r="Q24" i="46"/>
  <c r="M75" i="56"/>
  <c r="N280" i="56"/>
  <c r="N22" i="56"/>
  <c r="N23" i="56" s="1"/>
  <c r="E43" i="47" s="1"/>
  <c r="P279" i="56"/>
  <c r="P75" i="56" l="1"/>
  <c r="P24" i="46"/>
  <c r="Q12" i="56"/>
  <c r="H75" i="56"/>
  <c r="H12" i="56"/>
  <c r="H75" i="46"/>
  <c r="G62" i="47" s="1"/>
  <c r="H14" i="46"/>
  <c r="D49" i="47"/>
  <c r="D50" i="47" s="1"/>
  <c r="D45" i="47"/>
  <c r="E44" i="47"/>
  <c r="E45" i="47"/>
  <c r="E49" i="47"/>
  <c r="O280" i="56"/>
  <c r="O22" i="56"/>
  <c r="O23" i="56" s="1"/>
  <c r="F43" i="47" s="1"/>
  <c r="Q279" i="56"/>
  <c r="D51" i="47" l="1"/>
  <c r="F45" i="47"/>
  <c r="F44" i="47"/>
  <c r="F49" i="47"/>
  <c r="Q280" i="56"/>
  <c r="Q22" i="56"/>
  <c r="Q23" i="56" s="1"/>
  <c r="H43" i="47" s="1"/>
  <c r="P280" i="56"/>
  <c r="P22" i="56"/>
  <c r="P23" i="56" s="1"/>
  <c r="G43" i="47" s="1"/>
  <c r="E50" i="47"/>
  <c r="E51" i="47"/>
  <c r="H45" i="47" l="1"/>
  <c r="H44" i="47"/>
  <c r="H49" i="47"/>
  <c r="G45" i="47"/>
  <c r="G44" i="47"/>
  <c r="G49" i="47"/>
  <c r="F50" i="47"/>
  <c r="F51" i="47"/>
  <c r="H51" i="47" l="1"/>
  <c r="H50" i="47"/>
  <c r="G51" i="47"/>
  <c r="G50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<sst xmlns="http://schemas.openxmlformats.org/spreadsheetml/2006/main" count="3206" uniqueCount="1132">
  <si>
    <t>Putting NICE guidance into practice</t>
  </si>
  <si>
    <t>Resource impact template:</t>
  </si>
  <si>
    <t>Specialty area</t>
  </si>
  <si>
    <t>Central nervous system</t>
  </si>
  <si>
    <t>Disease area</t>
  </si>
  <si>
    <t>Multiple sclerosis</t>
  </si>
  <si>
    <t>Pathway position</t>
  </si>
  <si>
    <t>Administration method</t>
  </si>
  <si>
    <t>IV</t>
  </si>
  <si>
    <t>Provider</t>
  </si>
  <si>
    <t>Secondary care - acute</t>
  </si>
  <si>
    <t>Commissioner</t>
  </si>
  <si>
    <t>NHS England</t>
  </si>
  <si>
    <t>Programme budget category</t>
  </si>
  <si>
    <t>07X Neurological, Neurological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</si>
  <si>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</si>
  <si>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</si>
  <si>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</si>
  <si>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</si>
  <si>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</si>
  <si>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</si>
  <si>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</si>
  <si>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</si>
  <si>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</si>
  <si>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</si>
  <si>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</si>
  <si>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</si>
  <si>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</si>
  <si>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</si>
  <si>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</si>
  <si>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</si>
  <si>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</si>
  <si>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</si>
  <si>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</si>
  <si>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</si>
  <si>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</si>
  <si>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</si>
  <si>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</si>
  <si>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</si>
  <si>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</si>
  <si>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</si>
  <si>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</si>
  <si>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</si>
  <si>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</si>
  <si>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</si>
  <si>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</si>
  <si>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</si>
  <si>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</si>
  <si>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</si>
  <si>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</si>
  <si>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</si>
  <si>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</si>
  <si>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</si>
  <si>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</si>
  <si>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</si>
  <si>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</si>
  <si>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</si>
  <si>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</si>
  <si>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</si>
  <si>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</si>
  <si>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</si>
  <si>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</si>
  <si>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</si>
  <si>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</si>
  <si>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</si>
  <si>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</si>
  <si>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</si>
  <si>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</si>
  <si>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</si>
  <si>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</si>
  <si>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</si>
  <si>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</si>
  <si>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</si>
  <si>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</si>
  <si>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</si>
  <si>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</si>
  <si>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</si>
  <si>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</si>
  <si>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</si>
  <si>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</si>
  <si>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</si>
  <si>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</si>
  <si>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</si>
  <si>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</si>
  <si>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</si>
  <si>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</si>
  <si>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</si>
  <si>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</si>
  <si>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</si>
  <si>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</si>
  <si>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</si>
  <si>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</si>
  <si>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</si>
  <si>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</si>
  <si>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</si>
  <si>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</si>
  <si>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</si>
  <si>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</si>
  <si>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</si>
  <si>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</si>
  <si>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</si>
  <si>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</si>
  <si>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</si>
  <si>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</si>
  <si>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</si>
  <si>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</si>
  <si>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</si>
  <si>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</si>
  <si>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</si>
  <si>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</si>
  <si>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</si>
  <si>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</si>
  <si>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</si>
  <si>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</si>
  <si>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</si>
  <si>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</si>
  <si>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</si>
  <si>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</si>
  <si>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</si>
  <si>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</si>
  <si>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</si>
  <si>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</si>
  <si>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</si>
  <si>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</si>
  <si>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</si>
  <si>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</si>
  <si>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</si>
  <si>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</si>
  <si>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</si>
  <si>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</si>
  <si>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</si>
  <si>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</si>
  <si>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</si>
  <si>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</si>
  <si>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</si>
  <si>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</si>
  <si>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</si>
  <si>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</si>
  <si>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</si>
  <si>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</si>
  <si>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</si>
  <si>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</si>
  <si>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</si>
  <si>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</si>
  <si>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</si>
  <si>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</si>
  <si>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</si>
  <si>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</si>
  <si>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</si>
  <si>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</si>
  <si>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</si>
  <si>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</si>
  <si>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</si>
  <si>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</si>
  <si>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</si>
  <si>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</si>
  <si>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</si>
  <si>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</si>
  <si>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</si>
  <si>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</si>
  <si>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</si>
  <si>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</si>
  <si>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</si>
  <si>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</si>
  <si>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</si>
  <si>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</si>
  <si>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</si>
  <si>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</si>
  <si>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</si>
  <si>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</si>
  <si>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</si>
  <si>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</si>
  <si>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</si>
  <si>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</si>
  <si>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</si>
  <si>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</si>
  <si>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</si>
  <si>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</si>
  <si>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</si>
  <si>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</si>
  <si>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</si>
  <si>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</si>
  <si>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</si>
  <si>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</si>
  <si>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</si>
  <si>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</si>
  <si>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</si>
  <si>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</si>
  <si>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</si>
  <si>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</si>
  <si>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</si>
  <si>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</si>
  <si>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</si>
  <si>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</si>
  <si>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</si>
  <si>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</si>
  <si>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</si>
  <si>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</si>
  <si>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</si>
  <si>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</si>
  <si>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</si>
  <si>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</si>
  <si>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</si>
  <si>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</si>
  <si>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</si>
  <si>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</si>
  <si>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</si>
  <si>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</si>
  <si>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</si>
  <si>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</si>
  <si>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</si>
  <si>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</si>
  <si>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</si>
  <si>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</si>
  <si>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</si>
  <si>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</si>
  <si>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</si>
  <si>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</si>
  <si>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</si>
  <si>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</si>
  <si>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</si>
  <si>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</si>
  <si>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</si>
  <si>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</si>
  <si>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</si>
  <si>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</si>
  <si>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</si>
  <si>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</si>
  <si>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</si>
  <si>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</si>
  <si>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</si>
  <si>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</si>
  <si>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</si>
  <si>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</si>
  <si>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</si>
  <si>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</si>
  <si>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</si>
  <si>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</si>
  <si>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</si>
  <si>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</si>
  <si>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</si>
  <si>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</si>
  <si>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</si>
  <si>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</si>
  <si>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</si>
  <si>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</si>
  <si>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</si>
  <si>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</si>
  <si>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</si>
  <si>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</si>
  <si>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</si>
  <si>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</si>
  <si>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</si>
  <si>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</si>
  <si>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</si>
  <si>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</si>
  <si>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</si>
  <si>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</si>
  <si>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</si>
  <si>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</si>
  <si>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</si>
  <si>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</si>
  <si>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</si>
  <si>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</si>
  <si>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</si>
  <si>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</si>
  <si>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</si>
  <si>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</si>
  <si>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</si>
  <si>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</si>
  <si>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</si>
  <si>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</si>
  <si>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</si>
  <si>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</si>
  <si>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</si>
  <si>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</si>
  <si>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</si>
  <si>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</si>
  <si>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</si>
  <si>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</si>
  <si>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</si>
  <si>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</si>
  <si>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</si>
  <si>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</si>
  <si>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</si>
  <si>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</si>
  <si>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</si>
  <si>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</si>
  <si>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</si>
  <si>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</si>
  <si>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</si>
  <si>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</si>
  <si>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</si>
  <si>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</si>
  <si>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</si>
  <si>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</si>
  <si>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</si>
  <si>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</si>
  <si>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</si>
  <si>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</si>
  <si>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</si>
  <si>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</si>
  <si>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</si>
  <si>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</si>
  <si>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</si>
  <si>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</si>
  <si>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</si>
  <si>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</si>
  <si>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</si>
  <si>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</si>
  <si>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</si>
  <si>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</si>
  <si>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</si>
  <si>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</si>
  <si>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</si>
  <si>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</si>
  <si>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</si>
  <si>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</si>
  <si>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</si>
  <si>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</si>
  <si>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</si>
  <si>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</si>
  <si>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</si>
  <si>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</si>
  <si>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</si>
  <si>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</si>
  <si>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</si>
  <si>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</si>
  <si>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</si>
  <si>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</si>
  <si>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</si>
  <si>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</si>
  <si>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</si>
  <si>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</si>
  <si>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</si>
  <si>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</si>
  <si>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</si>
  <si>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</si>
  <si>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</si>
  <si>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</si>
  <si>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</si>
  <si>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</si>
  <si>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</si>
  <si>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</si>
  <si>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</si>
  <si>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</si>
  <si>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</si>
  <si>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</si>
  <si>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</si>
  <si>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</si>
  <si>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</si>
  <si>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</si>
  <si>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</si>
  <si>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</si>
  <si>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</si>
  <si>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</si>
  <si>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</si>
  <si>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</si>
  <si>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</si>
  <si>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</si>
  <si>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</si>
  <si>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</si>
  <si>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</si>
  <si>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</si>
  <si>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</si>
  <si>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</si>
  <si>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</si>
  <si>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</si>
  <si>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</si>
  <si>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</si>
  <si>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</si>
  <si>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</si>
  <si>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</si>
  <si>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</si>
  <si>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</si>
  <si>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</si>
  <si>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</si>
  <si>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</si>
  <si>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</si>
  <si>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</si>
  <si>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</si>
  <si>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</si>
  <si>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</si>
  <si>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</si>
  <si>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</si>
  <si>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</si>
  <si>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</si>
  <si>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</si>
  <si>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</si>
  <si>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</si>
  <si>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</si>
  <si>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</si>
  <si>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</si>
  <si>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</si>
  <si>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</si>
  <si>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</si>
  <si>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</si>
  <si>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</si>
  <si>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</si>
  <si>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</si>
  <si>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</si>
  <si>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</si>
  <si>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</si>
  <si>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</si>
  <si>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</si>
  <si>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</si>
  <si>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</si>
  <si>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</si>
  <si>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</si>
  <si>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</si>
  <si>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</si>
  <si>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</si>
  <si>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</si>
  <si>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</si>
  <si>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</si>
  <si>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</si>
  <si>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</si>
  <si>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</si>
  <si>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</si>
  <si>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</si>
  <si>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</si>
  <si>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</si>
  <si>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</si>
  <si>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</si>
  <si>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</si>
  <si>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</si>
  <si>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</si>
  <si>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</si>
  <si>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</si>
  <si>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</si>
  <si>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</si>
  <si>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</si>
  <si>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</si>
  <si>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</si>
  <si>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</si>
  <si>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</si>
  <si>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</si>
  <si>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</si>
  <si>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</si>
  <si>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</si>
  <si>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</si>
  <si>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</si>
  <si>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</si>
  <si>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</si>
  <si>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</si>
  <si>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</si>
  <si>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</si>
  <si>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</si>
  <si>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</si>
  <si>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</si>
  <si>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</si>
  <si>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</si>
  <si>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</si>
  <si>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</si>
  <si>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</si>
  <si>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</si>
  <si>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</si>
  <si>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</si>
  <si>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</si>
  <si>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</si>
  <si>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</si>
  <si>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</si>
  <si>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</si>
  <si>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</si>
  <si>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</si>
  <si>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</si>
  <si>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</si>
  <si>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</si>
  <si>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</si>
  <si>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</si>
  <si>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</si>
  <si>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</si>
  <si>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</si>
  <si>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</si>
  <si>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</si>
  <si>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</si>
  <si>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</si>
  <si>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</si>
  <si>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</si>
  <si>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</si>
  <si>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</si>
  <si>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</si>
  <si>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</si>
  <si>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</si>
  <si>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</si>
  <si>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</si>
  <si>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</si>
  <si>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</si>
  <si>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</si>
  <si>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</si>
  <si>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</si>
  <si>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</si>
  <si>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</si>
  <si>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</si>
  <si>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</si>
  <si>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</si>
  <si>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</si>
  <si>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</si>
  <si>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</si>
  <si>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</si>
  <si>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</si>
  <si>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</si>
  <si>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</si>
  <si>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</si>
  <si>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</si>
  <si>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</si>
  <si>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</si>
  <si>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</si>
  <si>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</si>
  <si>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</si>
  <si>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</si>
  <si>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</si>
  <si>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</si>
  <si>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</si>
  <si>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</si>
  <si>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</si>
  <si>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</si>
  <si>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</si>
  <si>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</si>
  <si>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</si>
  <si>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</si>
  <si>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</si>
  <si>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</si>
  <si>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</si>
  <si>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</si>
  <si>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</si>
  <si>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</si>
  <si>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</si>
  <si>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</si>
  <si>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</si>
  <si>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</si>
  <si>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</si>
  <si>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</si>
  <si>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</si>
  <si>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</si>
  <si>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</si>
  <si>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</si>
  <si>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</si>
  <si>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</si>
  <si>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</si>
  <si>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</si>
  <si>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</si>
  <si>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</si>
  <si>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</si>
  <si>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</si>
  <si>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</si>
  <si>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</si>
  <si>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</si>
  <si>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</si>
  <si>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</si>
  <si>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</si>
  <si>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</si>
  <si>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</si>
  <si>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</si>
  <si>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</si>
  <si>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</si>
  <si>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</si>
  <si>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</si>
  <si>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</si>
  <si>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</si>
  <si>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</si>
  <si>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</si>
  <si>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</si>
  <si>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</si>
  <si>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</si>
  <si>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</si>
  <si>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</si>
  <si>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</si>
  <si>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</si>
  <si>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</si>
  <si>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</si>
  <si>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</si>
  <si>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</si>
  <si>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</si>
  <si>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</si>
  <si>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</si>
  <si>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</si>
  <si>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</si>
  <si>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</si>
  <si>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</si>
  <si>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</si>
  <si>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</si>
  <si>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</si>
  <si>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</si>
  <si>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</si>
  <si>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</si>
  <si>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</si>
  <si>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</si>
  <si>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</si>
  <si>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</si>
  <si>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</si>
  <si>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</si>
  <si>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</si>
  <si>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</si>
  <si>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</si>
  <si>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</si>
  <si>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</si>
  <si>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</si>
  <si>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</si>
  <si>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</si>
  <si>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</si>
  <si>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</si>
  <si>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</si>
  <si>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</si>
  <si>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</si>
  <si>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</si>
  <si>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</si>
  <si>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</si>
  <si>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</si>
  <si>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</si>
  <si>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</si>
  <si>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</si>
  <si>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</si>
  <si>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</si>
  <si>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</si>
  <si>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</si>
  <si>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</si>
  <si>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</si>
  <si>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</si>
  <si>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</si>
  <si>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</si>
  <si>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</si>
  <si>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</si>
  <si>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</si>
  <si>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</si>
  <si>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</si>
  <si>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</si>
  <si>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</si>
  <si>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</si>
  <si>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</si>
  <si>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</si>
  <si>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</si>
  <si>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</si>
  <si>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</si>
  <si>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</si>
  <si>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</si>
  <si>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</si>
  <si>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</si>
  <si>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</si>
  <si>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</si>
  <si>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</si>
  <si>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</si>
  <si>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</si>
  <si>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</si>
  <si>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</si>
  <si>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</si>
  <si>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</si>
  <si>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</si>
  <si>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</si>
  <si>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</si>
  <si>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</si>
  <si>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</si>
  <si>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</si>
  <si>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</si>
  <si>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</si>
  <si>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</si>
  <si>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</si>
  <si>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</si>
  <si>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</si>
  <si>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</si>
  <si>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</si>
  <si>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</si>
  <si>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</si>
  <si>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</si>
  <si>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</si>
  <si>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</si>
  <si>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</si>
  <si>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</si>
  <si>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</si>
  <si>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</si>
  <si>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</si>
  <si>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</si>
  <si>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</si>
  <si>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</si>
  <si>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</si>
  <si>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</si>
  <si>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</si>
  <si>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</si>
  <si>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</si>
  <si>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</si>
  <si>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Prevalence of multiple sclerosis (MS)</t>
  </si>
  <si>
    <r>
      <t xml:space="preserve">How common is multiple sclerosis? | MS Trust </t>
    </r>
    <r>
      <rPr>
        <sz val="11"/>
        <rFont val="Calibri"/>
        <family val="2"/>
      </rPr>
      <t xml:space="preserve">(Assume 244 children) </t>
    </r>
  </si>
  <si>
    <t>People treated with a disease modifying therapy (DMT)</t>
  </si>
  <si>
    <t>My MS My Needs 2022 report.pdf (mssociety.org.uk)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</si>
  <si>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</si>
  <si>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</si>
  <si>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</si>
  <si>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</si>
  <si>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</si>
  <si>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</si>
  <si>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</si>
  <si>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</si>
  <si>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</si>
  <si>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</si>
  <si>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Drug</t>
  </si>
  <si>
    <t>Strength, container type, quantity</t>
  </si>
  <si>
    <t>Price</t>
  </si>
  <si>
    <t>VAT rate applicable</t>
  </si>
  <si>
    <t>Source</t>
  </si>
  <si>
    <t>Ublituximab</t>
  </si>
  <si>
    <t>1x 150mg vial solution for infusion</t>
  </si>
  <si>
    <t>Ocrelizumab IV</t>
  </si>
  <si>
    <t>1x 300mg/10ml concentrate for solution for infusion vials</t>
  </si>
  <si>
    <t>Ocrelizumab SC</t>
  </si>
  <si>
    <t>1x 920mg injection pre filled pen</t>
  </si>
  <si>
    <t>Ofatumumab</t>
  </si>
  <si>
    <t>1x 20mg/0.4ml solution for injection pre-filled pens</t>
  </si>
  <si>
    <t>Ponesimod (Loading)</t>
  </si>
  <si>
    <t>Loading phase pack of 14 film-coated tablets for a 2-week treatment schedule</t>
  </si>
  <si>
    <t>Ponesimod (Maintenance)</t>
  </si>
  <si>
    <t>20mg x 28 film-coated tablets pack</t>
  </si>
  <si>
    <t>Alemtuzumab</t>
  </si>
  <si>
    <t>1x 12mg/1.2ml concentrate for solution for infusion vials</t>
  </si>
  <si>
    <t>10mg x 6 tablets pack</t>
  </si>
  <si>
    <t>Dimethyl fumarate</t>
  </si>
  <si>
    <t>120mg x 14  tablets pack</t>
  </si>
  <si>
    <t>240mg x 56 tablets pack</t>
  </si>
  <si>
    <t>Diroximel fumarate</t>
  </si>
  <si>
    <t>231mg x 120 tablets pack</t>
  </si>
  <si>
    <t>Fingolimod</t>
  </si>
  <si>
    <t>500 microgram x 28 tablets pack</t>
  </si>
  <si>
    <t>Glatiramer acetate</t>
  </si>
  <si>
    <t>28 x 20mg/1ml solution for injection pre-filled syringes</t>
  </si>
  <si>
    <t>Interferon beta-1a 22 mcg</t>
  </si>
  <si>
    <t>12 x 22micrograms/0.5ml (6million units) solution for injection 1.5ml cartridges</t>
  </si>
  <si>
    <t>Interferon beta-1a 30 mcg</t>
  </si>
  <si>
    <t>12 x 30micrograms/0.5ml (6million units) solution for injection pre-filled syringes</t>
  </si>
  <si>
    <t>Interferon beta-1a 44mcg SC</t>
  </si>
  <si>
    <t>12 x 44micrograms/0.5ml (12million units) solution for injection pre-filled pens</t>
  </si>
  <si>
    <t>Interferon beta-1b 250mcg SC</t>
  </si>
  <si>
    <t>15 x 300microgram powder and solvent for solution for injection vials</t>
  </si>
  <si>
    <t>Natalizumab</t>
  </si>
  <si>
    <t>1 x 300mg/15ml concentrate for solution for infusion vials</t>
  </si>
  <si>
    <t>Peginterferon beta-1a</t>
  </si>
  <si>
    <t>2 x 125micrograms/0.5ml solution for injection pre-filled syringes</t>
  </si>
  <si>
    <t>Teriflunomide</t>
  </si>
  <si>
    <t>14mg x 28 tablets pack</t>
  </si>
  <si>
    <t>VAT applied to IV treatment administered in hospital, all others treatments are assumed to be administered via homecare service</t>
  </si>
  <si>
    <t>Average weight (kg)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</si>
  <si>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</si>
  <si>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</si>
  <si>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</si>
  <si>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</si>
  <si>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</si>
  <si>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</si>
  <si>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</si>
  <si>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</si>
  <si>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</si>
  <si>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Ofatumumab SC</t>
  </si>
  <si>
    <t xml:space="preserve">Ponesimod </t>
  </si>
  <si>
    <t>Best supportive care</t>
  </si>
  <si>
    <t>Market share to be updated to reflect local practice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</si>
  <si>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</si>
  <si>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</si>
  <si>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</si>
  <si>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</si>
  <si>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</si>
  <si>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</si>
  <si>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</si>
  <si>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Ponesimod</t>
  </si>
  <si>
    <t>BSC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</si>
  <si>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</si>
  <si>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</si>
  <si>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</si>
  <si>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</si>
  <si>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</si>
  <si>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</si>
  <si>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</si>
  <si>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</si>
  <si>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Neurology appointments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</si>
  <si>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</si>
  <si>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</si>
  <si>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</si>
  <si>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</si>
  <si>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</si>
  <si>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</si>
  <si>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</si>
  <si>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</si>
  <si>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Pharmacy support (see notes below)</t>
  </si>
  <si>
    <t>Band 8a Bottom</t>
  </si>
  <si>
    <t>supporting specialty x</t>
  </si>
  <si>
    <t>Appointments with x specialty</t>
  </si>
  <si>
    <t>per patient/yr.</t>
  </si>
  <si>
    <t>pathology / diagnostics / radiology</t>
  </si>
  <si>
    <t>Full blood count</t>
  </si>
  <si>
    <t>Staff time per test (minutes)</t>
  </si>
  <si>
    <t>biochemistry test</t>
  </si>
  <si>
    <t>Band 6 Mid</t>
  </si>
  <si>
    <t>MRI scans</t>
  </si>
  <si>
    <t>per patient</t>
  </si>
  <si>
    <t>Adverse events</t>
  </si>
  <si>
    <t>Adverse events, various (rate of cases)</t>
  </si>
  <si>
    <t>See Unit costs tab</t>
  </si>
  <si>
    <t>Notes</t>
  </si>
  <si>
    <t>Duration of administrations as per SmPC available through the European Medicines Compendium</t>
  </si>
  <si>
    <t>Number of full blood count, biochemistry and MRI scans as per company submissions and clinical opinion when data is not available. (Please amend to reflect local practice)</t>
  </si>
  <si>
    <t>Rates of adverse events and costs to be amended based on local input.</t>
  </si>
  <si>
    <t>Adverse events rates driven by inputs in blue cells on unit costs worksheet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</si>
  <si>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</si>
  <si>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</si>
  <si>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</si>
  <si>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</si>
  <si>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</si>
  <si>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</si>
  <si>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</si>
  <si>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</si>
  <si>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</si>
  <si>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</si>
  <si>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</si>
  <si>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</si>
  <si>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</si>
  <si>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summary</t>
  </si>
  <si>
    <t>Drug Name</t>
  </si>
  <si>
    <t>Annual costs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</si>
  <si>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</si>
  <si>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</si>
  <si>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</si>
  <si>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</si>
  <si>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</si>
  <si>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</si>
  <si>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</si>
  <si>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</si>
  <si>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</si>
  <si>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</si>
  <si>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per admin</t>
  </si>
  <si>
    <t xml:space="preserve">Number of admins per cycle </t>
  </si>
  <si>
    <t>Dose per cycle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</si>
  <si>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</si>
  <si>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</si>
  <si>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</si>
  <si>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</si>
  <si>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</si>
  <si>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</si>
  <si>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The first dose of ublituximab is administered as a 150mg intravenous infusion (Year 1)</t>
  </si>
  <si>
    <t>Vials</t>
  </si>
  <si>
    <t>Followed by a 450mg intravenous infusion 2 weeks later then 450mg intravenous infusion every 24 weeks (Year 1)</t>
  </si>
  <si>
    <t>Initially 300 mg dose then 300 mg dose after 2 weeks (Year 1)</t>
  </si>
  <si>
    <t>Ocrelizumab</t>
  </si>
  <si>
    <t>Maintenance 600 mg every 6 months (Year 1)</t>
  </si>
  <si>
    <t>Maintenance 600 mg every 6 months (Subsequent years)</t>
  </si>
  <si>
    <t>920mg every 6 months</t>
  </si>
  <si>
    <t>Subcutaneous</t>
  </si>
  <si>
    <t>Prefilled injection</t>
  </si>
  <si>
    <t>Maintenance dose 20 mg once a month, starting on week 4 [2 weeks after the third dose] (Year 1)</t>
  </si>
  <si>
    <t>Maintenance dose 20 mg once a month, starting on week 4 [2 weeks after the third dose] (Subsequent years)</t>
  </si>
  <si>
    <t>Initially 2 mg once daily on days 1–2, then increased to 3 mg once daily on days 3–4, then increased to 4 mg once daily on days 5–6, then increased in steps of 1 mg once daily from days 7–11, then increased to 10 mg once daily on days 12–14 (Year 1)</t>
  </si>
  <si>
    <t>Oral</t>
  </si>
  <si>
    <t>Tablet</t>
  </si>
  <si>
    <t>Various</t>
  </si>
  <si>
    <t>maintenance 20 mg once daily from day 15 onwards (Year 1)</t>
  </si>
  <si>
    <t>maintenance 20 mg once daily from day 15 onwards (Subsequent years)</t>
  </si>
  <si>
    <t>First treatment course: 12 mg/day on 5 consecutive days (Year 1)</t>
  </si>
  <si>
    <t>Second treatment course: 12 mg/day on 3 consecutive days (36 mg total dose) administered 12 months after the first treatment course (Subsequent years)</t>
  </si>
  <si>
    <t xml:space="preserve">1.75mg/kg/year split across 2 treatment weeks; one at the beginning of the first month and one at the beginning of the second month of the respective treatment year. </t>
  </si>
  <si>
    <t>Initially 120 mg twice daily for 7 days</t>
  </si>
  <si>
    <t>Maintenance  240 mg twice daily (Year 1)</t>
  </si>
  <si>
    <t>Maintenance  240 mg twice daily (Subsequent years)</t>
  </si>
  <si>
    <t>Initially 231 mg twice daily for 7 days</t>
  </si>
  <si>
    <t>Maintenance  462 mg twice daily (Year 1)</t>
  </si>
  <si>
    <t>Maintenance  462 mg twice daily (Subsequent years)</t>
  </si>
  <si>
    <t>500 micrograms once daily.</t>
  </si>
  <si>
    <t>20 mg once daily</t>
  </si>
  <si>
    <t>22 mcg three times a week</t>
  </si>
  <si>
    <t>Interferon beta-1a 22mcg SC</t>
  </si>
  <si>
    <t>30 mcg once weekly</t>
  </si>
  <si>
    <t>Interferon beta-1a 30mcg IM</t>
  </si>
  <si>
    <t>intramuscular injection</t>
  </si>
  <si>
    <t>44 mcg three times a week</t>
  </si>
  <si>
    <t>250 mcg every other day</t>
  </si>
  <si>
    <t>300 mg every 4 weeks</t>
  </si>
  <si>
    <t>125 mcg every two weeks</t>
  </si>
  <si>
    <t>Peginterferon beta-1a 125mcg SC</t>
  </si>
  <si>
    <t>14 mg once daily</t>
  </si>
  <si>
    <t>NHS England national tariff payment system</t>
  </si>
  <si>
    <t>Based on data from NHSE, 31% patients were new, 69% were continuing; assumed to be year 1 and year 2+ respectively.</t>
  </si>
  <si>
    <t>Administrations</t>
  </si>
  <si>
    <t>Treatment option</t>
  </si>
  <si>
    <t>HRG code</t>
  </si>
  <si>
    <t>day(s)</t>
  </si>
  <si>
    <t>HRG description</t>
  </si>
  <si>
    <t>Tariff</t>
  </si>
  <si>
    <t>AA30F</t>
  </si>
  <si>
    <t>Medical Care of Patients with Multiple Sclerosis, with CC Score 0-1</t>
  </si>
  <si>
    <t>Homecare</t>
  </si>
  <si>
    <t>Homecare service</t>
  </si>
  <si>
    <t>Based on 2023-25 NHS England national tariff payment system –  24-25 prices</t>
  </si>
  <si>
    <t>Appointments with specialist</t>
  </si>
  <si>
    <t>Follow up attendance TFC 400 Neurology</t>
  </si>
  <si>
    <t>WF01A</t>
  </si>
  <si>
    <t>Non-Admitted Face-to-Face Attendance, Follow-up</t>
  </si>
  <si>
    <t>National Cost Collection: National schedule of NHS costs - Year 2022/23 - NHS trusts and NHS foundation trusts</t>
  </si>
  <si>
    <t>Appointments with x specialist</t>
  </si>
  <si>
    <t>all options</t>
  </si>
  <si>
    <t>Based on 2023-25 National Tariff Payment System –  24-25 prices</t>
  </si>
  <si>
    <t>MRI imaging</t>
  </si>
  <si>
    <t>Adverse events, annual costs and rates</t>
  </si>
  <si>
    <t>Amend data in blue cells locally where necessary.</t>
  </si>
  <si>
    <t>Event</t>
  </si>
  <si>
    <t>Arthralgia</t>
  </si>
  <si>
    <t>Back pain</t>
  </si>
  <si>
    <t>Bronchitis</t>
  </si>
  <si>
    <t>Depression</t>
  </si>
  <si>
    <t>Fatigue</t>
  </si>
  <si>
    <t>Headache</t>
  </si>
  <si>
    <t>Injection site pain</t>
  </si>
  <si>
    <t>Nasopharyngitis</t>
  </si>
  <si>
    <t>PML</t>
  </si>
  <si>
    <t>Upper respiratory tract infection</t>
  </si>
  <si>
    <t>Urinary tract infection</t>
  </si>
  <si>
    <t>Unit cost (£) 
national prices</t>
  </si>
  <si>
    <t xml:space="preserve">Adverse events data from company model.  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</si>
  <si>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</si>
  <si>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</si>
  <si>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</si>
  <si>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</si>
  <si>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</si>
  <si>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</si>
  <si>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</si>
  <si>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having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</si>
  <si>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</si>
  <si>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</si>
  <si>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</si>
  <si>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</si>
  <si>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</si>
  <si>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</si>
  <si>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</si>
  <si>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</si>
  <si>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</si>
  <si>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</si>
  <si>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</si>
  <si>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</si>
  <si>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</si>
  <si>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</si>
  <si>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</si>
  <si>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</si>
  <si>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</si>
  <si>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</si>
  <si>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 xml:space="preserve">Administrations - change in volume 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</si>
  <si>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</si>
  <si>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</si>
  <si>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</si>
  <si>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</si>
  <si>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</si>
  <si>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</si>
  <si>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</si>
  <si>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Support time (hours) - change to current practice</t>
  </si>
  <si>
    <t>Capacity impact on x service</t>
  </si>
  <si>
    <t>Appointments with x specialty - change</t>
  </si>
  <si>
    <t>Capacity impact on pathology/ radiology /diagnostics</t>
  </si>
  <si>
    <t>Full blood count - change in number to current practice</t>
  </si>
  <si>
    <t>Biochemistry tests - change in number to current practice</t>
  </si>
  <si>
    <t>MRI scan - change in number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</si>
  <si>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</si>
  <si>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</si>
  <si>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</si>
  <si>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</si>
  <si>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</si>
  <si>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</si>
  <si>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</si>
  <si>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</si>
  <si>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</si>
  <si>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</si>
  <si>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</si>
  <si>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</si>
  <si>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</si>
  <si>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</si>
  <si>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</si>
  <si>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</si>
  <si>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</si>
  <si>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</si>
  <si>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</si>
  <si>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</si>
  <si>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</si>
  <si>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</si>
  <si>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</si>
  <si>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</si>
  <si>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AA30F Medical Care of Patients with Multiple Sclerosis, with CC Score 0-1</t>
  </si>
  <si>
    <t>Administrations - change in volume of HRGs to current practice</t>
  </si>
  <si>
    <t>Administrations - number of cycles</t>
  </si>
  <si>
    <t>Ublituximab (AA30F Medical Care of Patients with Multiple Sclerosis, with CC Score 0-1)</t>
  </si>
  <si>
    <t>Ocrelizumab IV (AA30F Medical Care of Patients with Multiple Sclerosis, with CC Score 0-1)</t>
  </si>
  <si>
    <t>Ofatumumab (Homecare)</t>
  </si>
  <si>
    <t>Ponesimod (Homecare)</t>
  </si>
  <si>
    <t>Alemtuzumab (AA30F Medical Care of Patients with Multiple Sclerosis, with CC Score 0-1)</t>
  </si>
  <si>
    <t>Dimethyl fumarate (Homecare)</t>
  </si>
  <si>
    <t>Diroximel fumarate (Homecare)</t>
  </si>
  <si>
    <t>Fingolimod (Homecare)</t>
  </si>
  <si>
    <t>Glatiramer acetate (Homecare)</t>
  </si>
  <si>
    <t>Interferon beta-1a 22 mcg (Homecare)</t>
  </si>
  <si>
    <t>Interferon beta-1a 30 mcg (Homecare)</t>
  </si>
  <si>
    <t>Interferon beta-1a 44mcg SC (Homecare)</t>
  </si>
  <si>
    <t>Interferon beta-1b 250mcg SC (Homecare)</t>
  </si>
  <si>
    <t>Natalizumab (AA30F Medical Care of Patients with Multiple Sclerosis, with CC Score 0-1)</t>
  </si>
  <si>
    <t>Peginterferon beta-1a (Homecare)</t>
  </si>
  <si>
    <t>Teriflunomide (Homecare)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</si>
  <si>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</si>
  <si>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</si>
  <si>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</si>
  <si>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</si>
  <si>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</si>
  <si>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</si>
  <si>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</si>
  <si>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</si>
  <si>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</si>
  <si>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</si>
  <si>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Pharmacy support (hours)</t>
  </si>
  <si>
    <t>Support time  (mins)</t>
  </si>
  <si>
    <t>X specialty</t>
  </si>
  <si>
    <t>Appointments with supporting specialty x</t>
  </si>
  <si>
    <t>Appointments with x specialty - change to current practice</t>
  </si>
  <si>
    <t>Pathology/ radiology/ diagnostics</t>
  </si>
  <si>
    <t>Full blood count (hours)</t>
  </si>
  <si>
    <t>Number of biochemistry tests</t>
  </si>
  <si>
    <t>MRI scan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</si>
  <si>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</si>
  <si>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</si>
  <si>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</si>
  <si>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</si>
  <si>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</si>
  <si>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</si>
  <si>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Ocrelizumab (AA30F Medical Care of Patients with Multiple Sclerosis, with CC Score 0-1)</t>
  </si>
  <si>
    <t>Biochemistry tests per person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</si>
  <si>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</si>
  <si>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</si>
  <si>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</si>
  <si>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</si>
  <si>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</si>
  <si>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</si>
  <si>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</si>
  <si>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</si>
  <si>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</si>
  <si>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</si>
  <si>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</si>
  <si>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</si>
  <si>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</si>
  <si>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</si>
  <si>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</si>
  <si>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</si>
  <si>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</si>
  <si>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</si>
  <si>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</si>
  <si>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</si>
  <si>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</si>
  <si>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</si>
  <si>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</si>
  <si>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</si>
  <si>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</si>
  <si>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</si>
  <si>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</si>
  <si>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</si>
  <si>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</si>
  <si>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</si>
  <si>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</si>
  <si>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</si>
  <si>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</si>
  <si>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</si>
  <si>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</si>
  <si>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</si>
  <si>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</si>
  <si>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</si>
  <si>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</si>
  <si>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</si>
  <si>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</si>
  <si>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</si>
  <si>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</si>
  <si>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</si>
  <si>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</si>
  <si>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</si>
  <si>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</si>
  <si>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</si>
  <si>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</si>
  <si>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</si>
  <si>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</si>
  <si>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Band 8a Mid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</si>
  <si>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</si>
  <si>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</si>
  <si>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</si>
  <si>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</si>
  <si>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</si>
  <si>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</si>
  <si>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</si>
  <si>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</si>
  <si>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</si>
  <si>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</si>
  <si>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</si>
  <si>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</si>
  <si>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</si>
  <si>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</si>
  <si>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</si>
  <si>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</si>
  <si>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</si>
  <si>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</si>
  <si>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</si>
  <si>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</si>
  <si>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</si>
  <si>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</si>
  <si>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</si>
  <si>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</si>
  <si>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</si>
  <si>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</si>
  <si>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</si>
  <si>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Cladribine</t>
  </si>
  <si>
    <t>Cladribine (Homecare)</t>
  </si>
  <si>
    <t>Source; Health Survey for England, 2021.</t>
  </si>
  <si>
    <t>Source: https://pmc.ncbi.nlm.nih.gov/articles/PMC2812484/</t>
  </si>
  <si>
    <t>Assume on average 30% patients are new, 70% are continuing treatment</t>
  </si>
  <si>
    <t>Initially 20 mg once weekly [weeks 0] (Year 1)</t>
  </si>
  <si>
    <t>Then 20 mg once weekly for 2 doses [weeks 1 and 2] (Year 1)</t>
  </si>
  <si>
    <t>450mg intravenous infusion every 24 weeks (Subsequent years)</t>
  </si>
  <si>
    <t>Published: April 2025</t>
  </si>
  <si>
    <t>90 days</t>
  </si>
  <si>
    <t>Cladribine for treating active relapsing forms of multiple sclerosis</t>
  </si>
  <si>
    <t>© NICE 2025. All rights reserved. Subject to Notice of rights.</t>
  </si>
  <si>
    <t>People having cladribine</t>
  </si>
  <si>
    <t>Add locally</t>
  </si>
  <si>
    <r>
      <rPr>
        <b/>
        <sz val="11"/>
        <color theme="1"/>
        <rFont val="Calibri"/>
        <family val="2"/>
        <scheme val="minor"/>
      </rPr>
      <t>Eligible population</t>
    </r>
    <r>
      <rPr>
        <sz val="11"/>
        <color theme="1"/>
        <rFont val="Calibri"/>
        <family val="2"/>
        <scheme val="minor"/>
      </rPr>
      <t xml:space="preserve"> (note not all of these people will be eligible for all treatments included in this template – see recommendations for each topic)</t>
    </r>
  </si>
  <si>
    <t>Proportion who have secondary progressive MS</t>
  </si>
  <si>
    <t>Proportion of people with relapsing remitting MS (RRMS) at diagnosis</t>
  </si>
  <si>
    <t>Proportion who have relapsing remitting MS</t>
  </si>
  <si>
    <r>
      <rPr>
        <u/>
        <sz val="11"/>
        <color rgb="FF0000FF"/>
        <rFont val="Calibri"/>
        <family val="2"/>
      </rPr>
      <t xml:space="preserve">Relapsing Remitting MS (RRMS) - MS Relapse Signs | MS Society  </t>
    </r>
    <r>
      <rPr>
        <sz val="11"/>
        <color rgb="FF000000"/>
        <rFont val="Calibri"/>
        <family val="2"/>
      </rPr>
      <t>85% of people have RRMS at diagnosis.</t>
    </r>
  </si>
  <si>
    <t>TA1053</t>
  </si>
  <si>
    <t xml:space="preserve">Professor of Clinical Neurology opinion. See reference in row 29, this gives 75% with RRMS at any one time. </t>
  </si>
  <si>
    <t>Professor of Clinical Neurology opinion. 20 years following diagnosis of RRMS, around 50% of these people will have progressed to secondary progressive MS (SPMS). Assuming about half of all people in the prevalent population are 20 years post diagnosis, (50% x 50%) will have progressed to SPMS.</t>
  </si>
  <si>
    <t>Relapsing-remitting multiple sclerosis</t>
  </si>
  <si>
    <t>Treatments for relapsing-remitting multiple sclerosis</t>
  </si>
  <si>
    <t>Preparation time before and post administration based on clinical opinion.  Band 7 nurse assumed, amend where necessary</t>
  </si>
  <si>
    <t>Ocrelizumab SC (AA30F Medical Care of Patients with Multiple Sclerosis, with CC Score 0-1)</t>
  </si>
  <si>
    <t>Biochemistry test (hours)</t>
  </si>
  <si>
    <t>MRI scan (hours)</t>
  </si>
  <si>
    <t>Full blood count - change in hours to current practice</t>
  </si>
  <si>
    <t>Biochemistry tests - change in hours to current practice</t>
  </si>
  <si>
    <t>MRI scan - change in hours to current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</si>
</sst>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0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3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5" fillId="39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7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5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5" fillId="24" borderId="0" xfId="0" applyFont="1" applyFill="1" applyAlignment="1">
      <alignment horizontal="center" vertical="center"/>
    </xf>
    <xf numFmtId="0" fontId="65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5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8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2" fontId="62" fillId="0" borderId="0" xfId="0" applyNumberFormat="1" applyFont="1" applyAlignment="1">
      <alignment vertical="top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28" fillId="0" borderId="0" xfId="72" applyBorder="1" applyAlignment="1" applyProtection="1"/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9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169" fontId="0" fillId="39" borderId="11" xfId="0" applyNumberFormat="1" applyFill="1" applyBorder="1" applyProtection="1">
      <protection locked="0"/>
    </xf>
    <xf numFmtId="9" fontId="0" fillId="39" borderId="39" xfId="0" applyNumberFormat="1" applyFill="1" applyBorder="1" applyAlignment="1" applyProtection="1">
      <alignment horizontal="right"/>
      <protection locked="0"/>
    </xf>
    <xf numFmtId="0" fontId="0" fillId="39" borderId="38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39" fillId="0" borderId="11" xfId="0" applyFont="1" applyBorder="1"/>
    <xf numFmtId="0" fontId="46" fillId="39" borderId="12" xfId="82" applyFont="1" applyFill="1" applyBorder="1" applyProtection="1">
      <protection locked="0"/>
    </xf>
    <xf numFmtId="0" fontId="48" fillId="0" borderId="40" xfId="82" applyFont="1" applyBorder="1"/>
    <xf numFmtId="0" fontId="46" fillId="0" borderId="41" xfId="82" applyFont="1" applyBorder="1"/>
    <xf numFmtId="0" fontId="46" fillId="0" borderId="42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5" fontId="48" fillId="0" borderId="0" xfId="82" applyNumberFormat="1" applyFont="1"/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0" fontId="46" fillId="0" borderId="43" xfId="82" applyFont="1" applyBorder="1"/>
    <xf numFmtId="165" fontId="46" fillId="0" borderId="44" xfId="82" applyNumberFormat="1" applyFont="1" applyBorder="1"/>
    <xf numFmtId="3" fontId="46" fillId="0" borderId="43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7" xfId="0" applyNumberFormat="1" applyBorder="1"/>
    <xf numFmtId="9" fontId="27" fillId="0" borderId="37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1" fillId="44" borderId="0" xfId="0" applyFont="1" applyFill="1"/>
    <xf numFmtId="0" fontId="71" fillId="44" borderId="20" xfId="0" applyFont="1" applyFill="1" applyBorder="1" applyAlignment="1">
      <alignment horizontal="center"/>
    </xf>
    <xf numFmtId="4" fontId="71" fillId="44" borderId="20" xfId="0" applyNumberFormat="1" applyFont="1" applyFill="1" applyBorder="1"/>
    <xf numFmtId="164" fontId="71" fillId="44" borderId="20" xfId="0" applyNumberFormat="1" applyFont="1" applyFill="1" applyBorder="1"/>
    <xf numFmtId="0" fontId="71" fillId="44" borderId="20" xfId="0" applyFont="1" applyFill="1" applyBorder="1"/>
    <xf numFmtId="0" fontId="71" fillId="44" borderId="17" xfId="0" applyFont="1" applyFill="1" applyBorder="1"/>
    <xf numFmtId="0" fontId="48" fillId="44" borderId="12" xfId="0" applyFont="1" applyFill="1" applyBorder="1" applyAlignment="1">
      <alignment horizontal="left" vertical="center"/>
    </xf>
    <xf numFmtId="0" fontId="73" fillId="24" borderId="45" xfId="0" applyFont="1" applyFill="1" applyBorder="1" applyAlignment="1">
      <alignment horizontal="center" vertical="center"/>
    </xf>
    <xf numFmtId="0" fontId="40" fillId="24" borderId="44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4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6" xfId="0" applyFont="1" applyFill="1" applyBorder="1" applyAlignment="1">
      <alignment horizontal="center"/>
    </xf>
    <xf numFmtId="0" fontId="44" fillId="24" borderId="47" xfId="82" applyFont="1" applyFill="1" applyBorder="1" applyAlignment="1">
      <alignment horizontal="center"/>
    </xf>
    <xf numFmtId="0" fontId="44" fillId="24" borderId="47" xfId="110" applyFont="1" applyFill="1" applyBorder="1" applyAlignment="1">
      <alignment horizontal="center" wrapText="1"/>
    </xf>
    <xf numFmtId="3" fontId="44" fillId="24" borderId="47" xfId="110" applyNumberFormat="1" applyFont="1" applyFill="1" applyBorder="1" applyAlignment="1">
      <alignment horizontal="center" wrapText="1"/>
    </xf>
    <xf numFmtId="0" fontId="44" fillId="24" borderId="48" xfId="11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44" fillId="47" borderId="47" xfId="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46" fillId="39" borderId="11" xfId="82" applyFont="1" applyFill="1" applyBorder="1" applyAlignment="1" applyProtection="1">
      <alignment wrapText="1"/>
      <protection locked="0"/>
    </xf>
    <xf numFmtId="166" fontId="46" fillId="39" borderId="11" xfId="82" applyNumberFormat="1" applyFont="1" applyFill="1" applyBorder="1" applyProtection="1">
      <protection locked="0"/>
    </xf>
    <xf numFmtId="1" fontId="46" fillId="39" borderId="11" xfId="82" applyNumberFormat="1" applyFont="1" applyFill="1" applyBorder="1" applyProtection="1">
      <protection locked="0"/>
    </xf>
    <xf numFmtId="10" fontId="0" fillId="0" borderId="11" xfId="0" applyNumberFormat="1" applyBorder="1" applyAlignment="1">
      <alignment horizontal="right"/>
    </xf>
    <xf numFmtId="0" fontId="0" fillId="39" borderId="52" xfId="0" applyFill="1" applyBorder="1" applyProtection="1">
      <protection locked="0"/>
    </xf>
    <xf numFmtId="0" fontId="0" fillId="39" borderId="53" xfId="0" applyFill="1" applyBorder="1" applyProtection="1">
      <protection locked="0"/>
    </xf>
    <xf numFmtId="0" fontId="0" fillId="39" borderId="54" xfId="0" applyFill="1" applyBorder="1" applyProtection="1">
      <protection locked="0"/>
    </xf>
    <xf numFmtId="165" fontId="27" fillId="0" borderId="10" xfId="0" applyNumberFormat="1" applyFont="1" applyBorder="1"/>
    <xf numFmtId="165" fontId="46" fillId="39" borderId="55" xfId="82" applyNumberFormat="1" applyFont="1" applyFill="1" applyBorder="1" applyProtection="1">
      <protection locked="0"/>
    </xf>
    <xf numFmtId="0" fontId="46" fillId="39" borderId="24" xfId="82" applyFont="1" applyFill="1" applyBorder="1" applyAlignment="1" applyProtection="1">
      <alignment horizontal="center" wrapText="1"/>
      <protection locked="0"/>
    </xf>
    <xf numFmtId="10" fontId="0" fillId="0" borderId="0" xfId="92" applyNumberFormat="1" applyFont="1"/>
    <xf numFmtId="165" fontId="48" fillId="0" borderId="51" xfId="82" applyNumberFormat="1" applyFont="1" applyBorder="1"/>
    <xf numFmtId="0" fontId="46" fillId="0" borderId="0" xfId="72" applyFont="1" applyFill="1" applyAlignment="1" applyProtection="1"/>
    <xf numFmtId="166" fontId="46" fillId="0" borderId="0" xfId="82" applyNumberFormat="1" applyFont="1"/>
    <xf numFmtId="43" fontId="46" fillId="0" borderId="0" xfId="82" applyNumberFormat="1" applyFont="1"/>
    <xf numFmtId="0" fontId="0" fillId="0" borderId="20" xfId="0" applyBorder="1" applyAlignment="1">
      <alignment horizontal="left" vertic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164" fontId="44" fillId="0" borderId="0" xfId="0" applyNumberFormat="1" applyFont="1"/>
    <xf numFmtId="0" fontId="59" fillId="0" borderId="0" xfId="0" applyFont="1"/>
    <xf numFmtId="0" fontId="46" fillId="0" borderId="0" xfId="82" applyFont="1" applyProtection="1">
      <protection locked="0"/>
    </xf>
    <xf numFmtId="168" fontId="46" fillId="0" borderId="12" xfId="82" applyNumberFormat="1" applyFont="1" applyBorder="1"/>
    <xf numFmtId="0" fontId="48" fillId="24" borderId="17" xfId="82" applyFont="1" applyFill="1" applyBorder="1" applyAlignment="1">
      <alignment horizontal="center" wrapText="1"/>
    </xf>
    <xf numFmtId="0" fontId="46" fillId="0" borderId="17" xfId="82" applyFont="1" applyBorder="1" applyProtection="1">
      <protection locked="0"/>
    </xf>
    <xf numFmtId="0" fontId="46" fillId="0" borderId="12" xfId="82" applyFont="1" applyBorder="1" applyProtection="1">
      <protection locked="0"/>
    </xf>
    <xf numFmtId="10" fontId="0" fillId="0" borderId="17" xfId="92" applyNumberFormat="1" applyFont="1" applyBorder="1"/>
    <xf numFmtId="0" fontId="0" fillId="39" borderId="56" xfId="0" applyFill="1" applyBorder="1" applyProtection="1">
      <protection locked="0"/>
    </xf>
    <xf numFmtId="0" fontId="0" fillId="39" borderId="16" xfId="0" applyFill="1" applyBorder="1" applyProtection="1">
      <protection locked="0"/>
    </xf>
    <xf numFmtId="0" fontId="45" fillId="0" borderId="14" xfId="82" applyFont="1" applyBorder="1"/>
    <xf numFmtId="0" fontId="44" fillId="0" borderId="11" xfId="0" applyFont="1" applyBorder="1"/>
    <xf numFmtId="0" fontId="48" fillId="0" borderId="11" xfId="82" applyFont="1" applyBorder="1" applyAlignment="1">
      <alignment horizontal="left" wrapText="1"/>
    </xf>
    <xf numFmtId="0" fontId="28" fillId="0" borderId="12" xfId="72" applyBorder="1" applyAlignment="1" applyProtection="1">
      <alignment horizontal="left"/>
    </xf>
    <xf numFmtId="0" fontId="28" fillId="0" borderId="12" xfId="72" applyFill="1" applyBorder="1" applyAlignment="1" applyProtection="1">
      <alignment horizontal="left"/>
    </xf>
    <xf numFmtId="3" fontId="0" fillId="39" borderId="32" xfId="0" applyNumberFormat="1" applyFill="1" applyBorder="1" applyAlignment="1" applyProtection="1">
      <alignment horizontal="right"/>
      <protection locked="0"/>
    </xf>
    <xf numFmtId="166" fontId="0" fillId="0" borderId="0" xfId="56" applyNumberFormat="1" applyFont="1"/>
    <xf numFmtId="164" fontId="46" fillId="0" borderId="0" xfId="0" applyNumberFormat="1" applyFont="1" applyAlignment="1">
      <alignment horizontal="left" vertical="center"/>
    </xf>
    <xf numFmtId="170" fontId="46" fillId="39" borderId="37" xfId="57" applyNumberFormat="1" applyFont="1" applyFill="1" applyBorder="1" applyAlignment="1" applyProtection="1">
      <alignment horizontal="right"/>
      <protection locked="0"/>
    </xf>
    <xf numFmtId="170" fontId="46" fillId="39" borderId="37" xfId="57" applyNumberFormat="1" applyFont="1" applyFill="1" applyBorder="1" applyProtection="1">
      <protection locked="0"/>
    </xf>
    <xf numFmtId="10" fontId="46" fillId="39" borderId="37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58" fillId="0" borderId="11" xfId="72" applyFont="1" applyBorder="1" applyAlignment="1" applyProtection="1"/>
    <xf numFmtId="0" fontId="77" fillId="0" borderId="11" xfId="72" applyFont="1" applyBorder="1" applyAlignment="1" applyProtection="1"/>
    <xf numFmtId="10" fontId="0" fillId="0" borderId="35" xfId="92" applyNumberFormat="1" applyFont="1" applyFill="1" applyBorder="1" applyAlignment="1">
      <alignment wrapText="1"/>
    </xf>
    <xf numFmtId="0" fontId="0" fillId="39" borderId="57" xfId="0" applyFill="1" applyBorder="1" applyProtection="1">
      <protection locked="0"/>
    </xf>
    <xf numFmtId="10" fontId="0" fillId="0" borderId="11" xfId="92" applyNumberFormat="1" applyFont="1" applyFill="1" applyBorder="1" applyAlignment="1">
      <alignment wrapText="1"/>
    </xf>
    <xf numFmtId="0" fontId="46" fillId="39" borderId="12" xfId="82" applyFont="1" applyFill="1" applyBorder="1" applyAlignment="1" applyProtection="1">
      <alignment wrapText="1"/>
      <protection locked="0"/>
    </xf>
    <xf numFmtId="0" fontId="76" fillId="0" borderId="20" xfId="72" applyFont="1" applyBorder="1" applyAlignment="1" applyProtection="1">
      <alignment horizontal="left" wrapText="1"/>
    </xf>
    <xf numFmtId="166" fontId="0" fillId="0" borderId="0" xfId="0" applyNumberFormat="1"/>
    <xf numFmtId="166" fontId="0" fillId="0" borderId="0" xfId="0" applyNumberFormat="1" applyAlignment="1">
      <alignment horizontal="center" wrapText="1"/>
    </xf>
    <xf numFmtId="43" fontId="0" fillId="0" borderId="0" xfId="0" applyNumberFormat="1" applyAlignment="1">
      <alignment horizontal="left"/>
    </xf>
    <xf numFmtId="3" fontId="44" fillId="39" borderId="11" xfId="0" applyNumberFormat="1" applyFont="1" applyFill="1" applyBorder="1" applyProtection="1">
      <protection locked="0"/>
    </xf>
    <xf numFmtId="0" fontId="58" fillId="0" borderId="12" xfId="72" applyFont="1" applyBorder="1" applyAlignment="1" applyProtection="1">
      <alignment horizontal="left"/>
    </xf>
    <xf numFmtId="0" fontId="58" fillId="0" borderId="20" xfId="72" applyFont="1" applyBorder="1" applyAlignment="1" applyProtection="1">
      <alignment horizontal="left"/>
    </xf>
    <xf numFmtId="0" fontId="28" fillId="0" borderId="20" xfId="72" applyBorder="1" applyAlignment="1" applyProtection="1">
      <alignment horizontal="left"/>
    </xf>
    <xf numFmtId="10" fontId="27" fillId="0" borderId="11" xfId="92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12" xfId="72" applyBorder="1" applyAlignment="1" applyProtection="1">
      <alignment wrapText="1"/>
    </xf>
    <xf numFmtId="0" fontId="28" fillId="0" borderId="20" xfId="72" applyBorder="1" applyAlignment="1" applyProtection="1">
      <alignment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58" fillId="0" borderId="12" xfId="72" applyFont="1" applyBorder="1" applyAlignment="1" applyProtection="1">
      <alignment horizontal="left" wrapText="1"/>
    </xf>
    <xf numFmtId="0" fontId="0" fillId="0" borderId="20" xfId="0" applyBorder="1" applyAlignment="1">
      <alignment horizontal="left" wrapText="1"/>
    </xf>
    <xf numFmtId="0" fontId="28" fillId="0" borderId="12" xfId="72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mc.ncbi.nlm.nih.gov/articles/PMC2812484/" TargetMode="External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digital.nhs.uk/data-and-information/publications/statistical/health-survey-for-england/2021/health-survey-for-england-2021-data-tables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mssociety.org.uk/sites/default/files/2023-08/My%20MS%20My%20Needs%202022%20report.pdf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mstrust.org.uk/information-support/about-ms/how-common-multiple-sclerosis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hyperlink" Target="https://www.mssociety.org.uk/about-ms/types-of-ms/relapsing-remitting-m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4"/>
  <sheetViews>
    <sheetView showGridLines="0" tabSelected="1" zoomScale="80" zoomScaleNormal="80" zoomScaleSheetLayoutView="80" workbookViewId="0">
      <selection activeCell="G34" sqref="G34"/>
    </sheetView>
  </sheetViews>
  <sheetFormatPr defaultRowHeight="14.5" x14ac:dyDescent="0.35"/>
  <cols>
    <col min="1" max="1" width="1.453125" customWidth="1"/>
    <col min="2" max="2" width="1.81640625" customWidth="1"/>
    <col min="5" max="5" width="12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15" x14ac:dyDescent="0.35">
      <c r="B2" s="171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156"/>
    </row>
    <row r="3" spans="2:15" x14ac:dyDescent="0.35">
      <c r="B3" s="159"/>
      <c r="O3" s="158"/>
    </row>
    <row r="4" spans="2:15" x14ac:dyDescent="0.35">
      <c r="B4" s="159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58"/>
    </row>
    <row r="5" spans="2:15" ht="31" x14ac:dyDescent="0.7">
      <c r="B5" s="159"/>
      <c r="C5" s="173" t="s">
        <v>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58"/>
    </row>
    <row r="6" spans="2:15" x14ac:dyDescent="0.35">
      <c r="B6" s="159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58"/>
    </row>
    <row r="7" spans="2:15" x14ac:dyDescent="0.35">
      <c r="B7" s="159"/>
      <c r="O7" s="158"/>
    </row>
    <row r="8" spans="2:15" ht="31" x14ac:dyDescent="0.7">
      <c r="B8" s="159"/>
      <c r="C8" s="688" t="s">
        <v>1</v>
      </c>
      <c r="O8" s="158"/>
    </row>
    <row r="9" spans="2:15" ht="31" x14ac:dyDescent="0.7">
      <c r="B9" s="159"/>
      <c r="C9" s="688" t="s">
        <v>1124</v>
      </c>
      <c r="O9" s="158"/>
    </row>
    <row r="10" spans="2:15" ht="31" x14ac:dyDescent="0.35">
      <c r="B10" s="159"/>
      <c r="C10" s="345"/>
      <c r="O10" s="158"/>
    </row>
    <row r="11" spans="2:15" ht="31" x14ac:dyDescent="0.7">
      <c r="B11" s="159"/>
      <c r="C11" s="345" t="s">
        <v>1120</v>
      </c>
      <c r="D11" s="175"/>
      <c r="O11" s="158"/>
    </row>
    <row r="12" spans="2:15" ht="19.5" customHeight="1" x14ac:dyDescent="0.35">
      <c r="B12" s="159"/>
      <c r="C12" s="345"/>
      <c r="O12" s="158"/>
    </row>
    <row r="13" spans="2:15" ht="31" x14ac:dyDescent="0.7">
      <c r="B13" s="159"/>
      <c r="C13" s="174" t="s">
        <v>1109</v>
      </c>
      <c r="D13" s="175"/>
      <c r="O13" s="158"/>
    </row>
    <row r="14" spans="2:15" x14ac:dyDescent="0.35">
      <c r="B14" s="159"/>
      <c r="O14" s="158"/>
    </row>
    <row r="15" spans="2:15" x14ac:dyDescent="0.35">
      <c r="B15" s="159"/>
      <c r="O15" s="158"/>
    </row>
    <row r="16" spans="2:15" x14ac:dyDescent="0.35">
      <c r="B16" s="159"/>
      <c r="C16" s="149" t="s">
        <v>2</v>
      </c>
      <c r="D16" s="194"/>
      <c r="E16" s="167"/>
      <c r="F16" s="235" t="s">
        <v>3</v>
      </c>
      <c r="G16" s="194"/>
      <c r="H16" s="194"/>
      <c r="I16" s="194"/>
      <c r="J16" s="194"/>
      <c r="K16" s="194"/>
      <c r="L16" s="194"/>
      <c r="M16" s="167"/>
      <c r="O16" s="158"/>
    </row>
    <row r="17" spans="2:15" x14ac:dyDescent="0.35">
      <c r="B17" s="159"/>
      <c r="C17" s="149" t="s">
        <v>4</v>
      </c>
      <c r="D17" s="194"/>
      <c r="E17" s="167"/>
      <c r="F17" s="235" t="s">
        <v>5</v>
      </c>
      <c r="G17" s="194"/>
      <c r="H17" s="194"/>
      <c r="I17" s="194"/>
      <c r="J17" s="194"/>
      <c r="K17" s="194"/>
      <c r="L17" s="194"/>
      <c r="M17" s="167"/>
      <c r="O17" s="158"/>
    </row>
    <row r="18" spans="2:15" x14ac:dyDescent="0.35">
      <c r="B18" s="159"/>
      <c r="C18" s="149" t="s">
        <v>6</v>
      </c>
      <c r="D18" s="194"/>
      <c r="E18" s="167"/>
      <c r="F18" s="235" t="s">
        <v>1123</v>
      </c>
      <c r="G18" s="194"/>
      <c r="H18" s="194"/>
      <c r="I18" s="194"/>
      <c r="J18" s="194"/>
      <c r="K18" s="194"/>
      <c r="L18" s="194"/>
      <c r="M18" s="167"/>
      <c r="O18" s="158"/>
    </row>
    <row r="19" spans="2:15" x14ac:dyDescent="0.35">
      <c r="B19" s="159"/>
      <c r="C19" s="149" t="s">
        <v>7</v>
      </c>
      <c r="D19" s="194"/>
      <c r="E19" s="167"/>
      <c r="F19" s="235" t="s">
        <v>846</v>
      </c>
      <c r="G19" s="194"/>
      <c r="H19" s="194"/>
      <c r="I19" s="194"/>
      <c r="J19" s="194"/>
      <c r="K19" s="194"/>
      <c r="L19" s="194"/>
      <c r="M19" s="167"/>
      <c r="O19" s="158"/>
    </row>
    <row r="20" spans="2:15" x14ac:dyDescent="0.35">
      <c r="B20" s="159"/>
      <c r="C20" s="235" t="s">
        <v>9</v>
      </c>
      <c r="D20" s="194"/>
      <c r="E20" s="167"/>
      <c r="F20" s="235" t="s">
        <v>10</v>
      </c>
      <c r="G20" s="194"/>
      <c r="H20" s="194"/>
      <c r="I20" s="194"/>
      <c r="J20" s="194"/>
      <c r="K20" s="194"/>
      <c r="L20" s="194"/>
      <c r="M20" s="167"/>
      <c r="O20" s="158"/>
    </row>
    <row r="21" spans="2:15" x14ac:dyDescent="0.35">
      <c r="B21" s="159"/>
      <c r="C21" s="149" t="s">
        <v>11</v>
      </c>
      <c r="D21" s="194"/>
      <c r="E21" s="167"/>
      <c r="F21" s="235" t="s">
        <v>12</v>
      </c>
      <c r="G21" s="194"/>
      <c r="H21" s="194"/>
      <c r="I21" s="194"/>
      <c r="J21" s="194"/>
      <c r="K21" s="194"/>
      <c r="L21" s="194"/>
      <c r="M21" s="167"/>
      <c r="O21" s="158"/>
    </row>
    <row r="22" spans="2:15" x14ac:dyDescent="0.35">
      <c r="B22" s="159"/>
      <c r="C22" s="149" t="s">
        <v>13</v>
      </c>
      <c r="D22" s="194"/>
      <c r="E22" s="167"/>
      <c r="F22" s="235" t="s">
        <v>14</v>
      </c>
      <c r="G22" s="194"/>
      <c r="H22" s="194"/>
      <c r="I22" s="194"/>
      <c r="J22" s="194"/>
      <c r="K22" s="194"/>
      <c r="L22" s="194"/>
      <c r="M22" s="167"/>
      <c r="O22" s="158"/>
    </row>
    <row r="23" spans="2:15" x14ac:dyDescent="0.35">
      <c r="B23" s="159"/>
      <c r="C23" s="149" t="s">
        <v>15</v>
      </c>
      <c r="D23" s="194"/>
      <c r="E23" s="167"/>
      <c r="F23" s="235" t="s">
        <v>1110</v>
      </c>
      <c r="G23" s="194"/>
      <c r="H23" s="194"/>
      <c r="I23" s="194"/>
      <c r="J23" s="194"/>
      <c r="K23" s="194"/>
      <c r="L23" s="194"/>
      <c r="M23" s="167"/>
      <c r="O23" s="158"/>
    </row>
    <row r="24" spans="2:15" x14ac:dyDescent="0.35">
      <c r="B24" s="160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2"/>
    </row>
  </sheetData>
  <sheetProtection algorithmName="SHA-512" hashValue="A30hmlQXzUfuXz7CUiQJuVFbjt94Gqj78WR3j3n2lfx7nVcDgtpzU6xxQ9YayD3mq4hJyB2MvOM2sm+jpXrV/g==" saltValue="CQ70jrGYedNYXutkL7VlBQ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V13" sqref="V13"/>
    </sheetView>
  </sheetViews>
  <sheetFormatPr defaultColWidth="8.54296875" defaultRowHeight="14.5" x14ac:dyDescent="0.35"/>
  <cols>
    <col min="1" max="1" width="13.54296875" customWidth="1"/>
    <col min="2" max="2" width="32.54296875" customWidth="1"/>
    <col min="3" max="4" width="12.7265625" customWidth="1"/>
    <col min="5" max="6" width="11.81640625" customWidth="1"/>
    <col min="7" max="7" width="10.453125" style="483" customWidth="1"/>
    <col min="8" max="8" width="11.81640625" customWidth="1"/>
    <col min="9" max="9" width="12.54296875" customWidth="1"/>
    <col min="10" max="10" width="10.1796875" customWidth="1"/>
    <col min="11" max="13" width="9" customWidth="1"/>
    <col min="14" max="14" width="8.453125" customWidth="1"/>
    <col min="15" max="15" width="15.453125" hidden="1" customWidth="1"/>
    <col min="16" max="16" width="13.453125" hidden="1" customWidth="1"/>
    <col min="17" max="17" width="14.453125" hidden="1" customWidth="1"/>
    <col min="18" max="18" width="10.453125" hidden="1" customWidth="1"/>
    <col min="19" max="21" width="8.54296875" hidden="1" customWidth="1"/>
    <col min="22" max="22" width="47.26953125" bestFit="1" customWidth="1"/>
    <col min="23" max="23" width="10" customWidth="1"/>
  </cols>
  <sheetData>
    <row r="1" spans="1:24" ht="21" customHeight="1" x14ac:dyDescent="0.35">
      <c r="A1" s="701" t="s">
        <v>1022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24" ht="14.5" customHeight="1" thickBot="1" x14ac:dyDescent="0.4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24" ht="14.5" customHeight="1" x14ac:dyDescent="0.35">
      <c r="A3" s="129"/>
      <c r="B3" s="709" t="s">
        <v>46</v>
      </c>
      <c r="C3" s="710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4" ht="14.5" customHeight="1" x14ac:dyDescent="0.35">
      <c r="A4" s="129"/>
      <c r="B4" s="711" t="s">
        <v>1023</v>
      </c>
      <c r="C4" s="774" t="s">
        <v>1024</v>
      </c>
      <c r="D4" s="712" t="s">
        <v>1025</v>
      </c>
      <c r="E4" s="129"/>
      <c r="F4" s="129"/>
      <c r="G4" s="129"/>
      <c r="H4" s="129"/>
      <c r="I4" s="129"/>
      <c r="J4" s="129"/>
      <c r="K4" s="129"/>
      <c r="L4" s="129"/>
      <c r="M4" s="129"/>
    </row>
    <row r="5" spans="1:24" ht="14.5" customHeight="1" x14ac:dyDescent="0.35">
      <c r="A5" s="129"/>
      <c r="B5" s="711" t="s">
        <v>1026</v>
      </c>
      <c r="C5" s="775">
        <v>5000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24" ht="14.5" customHeight="1" x14ac:dyDescent="0.35">
      <c r="A6" s="129"/>
      <c r="B6" s="711" t="s">
        <v>1027</v>
      </c>
      <c r="C6" s="776">
        <v>0.15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24" ht="14.5" customHeight="1" x14ac:dyDescent="0.35">
      <c r="A7" s="129"/>
      <c r="B7" s="711" t="s">
        <v>1028</v>
      </c>
      <c r="C7" s="776">
        <v>0.23780000000000001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24" ht="14.5" customHeight="1" x14ac:dyDescent="0.35">
      <c r="A8" s="129"/>
      <c r="B8" s="711" t="s">
        <v>1029</v>
      </c>
      <c r="C8" s="776">
        <v>5.0000000000000001E-3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24" ht="14.5" customHeight="1" thickBot="1" x14ac:dyDescent="0.4">
      <c r="A9" s="129"/>
      <c r="B9" s="713" t="s">
        <v>1030</v>
      </c>
      <c r="C9" s="777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R9" s="714"/>
    </row>
    <row r="10" spans="1:24" ht="15" thickBot="1" x14ac:dyDescent="0.4">
      <c r="P10" s="715"/>
      <c r="R10" s="715"/>
    </row>
    <row r="11" spans="1:24" ht="109.5" customHeight="1" thickBot="1" x14ac:dyDescent="0.4">
      <c r="A11" s="716" t="s">
        <v>1031</v>
      </c>
      <c r="B11" s="717" t="s">
        <v>1032</v>
      </c>
      <c r="C11" s="718" t="s">
        <v>1033</v>
      </c>
      <c r="D11" s="718" t="s">
        <v>1034</v>
      </c>
      <c r="E11" s="718" t="s">
        <v>1035</v>
      </c>
      <c r="F11" s="718" t="s">
        <v>1036</v>
      </c>
      <c r="G11" s="719" t="s">
        <v>1037</v>
      </c>
      <c r="H11" s="718" t="s">
        <v>1038</v>
      </c>
      <c r="I11" s="720" t="s">
        <v>1039</v>
      </c>
      <c r="J11" s="721" t="s">
        <v>1040</v>
      </c>
      <c r="K11" s="722" t="s">
        <v>969</v>
      </c>
      <c r="L11" s="723" t="s">
        <v>1041</v>
      </c>
      <c r="M11" s="724" t="s">
        <v>1042</v>
      </c>
      <c r="O11" t="s">
        <v>1024</v>
      </c>
      <c r="P11" t="s">
        <v>1043</v>
      </c>
      <c r="Q11" t="s">
        <v>1044</v>
      </c>
      <c r="R11" t="s">
        <v>1045</v>
      </c>
    </row>
    <row r="12" spans="1:24" x14ac:dyDescent="0.35">
      <c r="A12" s="725">
        <v>2</v>
      </c>
      <c r="B12" s="726" t="s">
        <v>1046</v>
      </c>
      <c r="C12" s="727">
        <f>HLOOKUP($C$4,$O$11:$R$41,2,FALSE)</f>
        <v>23615</v>
      </c>
      <c r="D12" s="727">
        <f>C12*$C$9</f>
        <v>0</v>
      </c>
      <c r="E12" s="727">
        <f>C12*(100%+$C$9)</f>
        <v>23615</v>
      </c>
      <c r="F12" s="727">
        <f>(E12-$C$5)*$C$6</f>
        <v>2792.25</v>
      </c>
      <c r="G12" s="728">
        <f>E12*$C$8</f>
        <v>118.075</v>
      </c>
      <c r="H12" s="727">
        <f>E12*$C$7</f>
        <v>5615.6469999999999</v>
      </c>
      <c r="I12" s="729">
        <f>SUM(E12:H12)</f>
        <v>32140.972000000002</v>
      </c>
      <c r="J12" s="736">
        <v>1560</v>
      </c>
      <c r="K12" s="730">
        <f>ROUND(I12/J12,2)</f>
        <v>20.6</v>
      </c>
      <c r="L12" s="731">
        <v>0.41</v>
      </c>
      <c r="M12" s="732">
        <v>0.83</v>
      </c>
      <c r="O12" s="714">
        <v>23615</v>
      </c>
      <c r="P12" s="285">
        <v>29029</v>
      </c>
      <c r="Q12">
        <v>28166</v>
      </c>
      <c r="R12">
        <v>24873</v>
      </c>
      <c r="V12" s="171"/>
      <c r="W12" s="328"/>
      <c r="X12" s="156"/>
    </row>
    <row r="13" spans="1:24" x14ac:dyDescent="0.35">
      <c r="A13" s="496">
        <v>2</v>
      </c>
      <c r="B13" s="487" t="s">
        <v>1047</v>
      </c>
      <c r="C13" s="484">
        <f>HLOOKUP($C$4,$O$11:$R$41,3,FALSE)</f>
        <v>23615</v>
      </c>
      <c r="D13" s="484">
        <f t="shared" ref="D13:D47" si="0">C13*$C$9</f>
        <v>0</v>
      </c>
      <c r="E13" s="484">
        <f t="shared" ref="E13:E47" si="1">C13*(100%+$C$9)</f>
        <v>23615</v>
      </c>
      <c r="F13" s="484">
        <f t="shared" ref="F13:F47" si="2">(E13-$C$5)*$C$6</f>
        <v>2792.25</v>
      </c>
      <c r="G13" s="488">
        <f t="shared" ref="G13:G47" si="3">E13*$C$8</f>
        <v>118.075</v>
      </c>
      <c r="H13" s="484">
        <f t="shared" ref="H13:H47" si="4">E13*$C$7</f>
        <v>5615.6469999999999</v>
      </c>
      <c r="I13" s="729">
        <f t="shared" ref="I13:I47" si="5">SUM(E13:H13)</f>
        <v>32140.972000000002</v>
      </c>
      <c r="J13" s="128">
        <v>1560</v>
      </c>
      <c r="K13" s="730">
        <f t="shared" ref="K13:K47" si="6">ROUND(I13/J13,2)</f>
        <v>20.6</v>
      </c>
      <c r="L13" s="485">
        <v>0.41</v>
      </c>
      <c r="M13" s="696">
        <v>0.83</v>
      </c>
      <c r="O13" s="714">
        <v>23615</v>
      </c>
      <c r="P13" s="285">
        <v>29029</v>
      </c>
      <c r="Q13">
        <v>28166</v>
      </c>
      <c r="R13">
        <v>24873</v>
      </c>
      <c r="V13" s="549" t="s">
        <v>1048</v>
      </c>
      <c r="X13" s="158"/>
    </row>
    <row r="14" spans="1:24" x14ac:dyDescent="0.35">
      <c r="A14" s="496">
        <v>3</v>
      </c>
      <c r="B14" s="487" t="s">
        <v>1049</v>
      </c>
      <c r="C14" s="484">
        <f>HLOOKUP($C$4,$O$11:$R$41,4,FALSE)</f>
        <v>24071</v>
      </c>
      <c r="D14" s="484">
        <f t="shared" si="0"/>
        <v>0</v>
      </c>
      <c r="E14" s="484">
        <f t="shared" si="1"/>
        <v>24071</v>
      </c>
      <c r="F14" s="484">
        <f t="shared" si="2"/>
        <v>2860.65</v>
      </c>
      <c r="G14" s="488">
        <f t="shared" si="3"/>
        <v>120.355</v>
      </c>
      <c r="H14" s="484">
        <f t="shared" si="4"/>
        <v>5724.0838000000003</v>
      </c>
      <c r="I14" s="729">
        <f t="shared" si="5"/>
        <v>32776.088799999998</v>
      </c>
      <c r="J14" s="128">
        <v>1560</v>
      </c>
      <c r="K14" s="730">
        <f t="shared" si="6"/>
        <v>21.01</v>
      </c>
      <c r="L14" s="485">
        <v>0.35</v>
      </c>
      <c r="M14" s="696">
        <v>0.69</v>
      </c>
      <c r="O14" s="714">
        <v>24071</v>
      </c>
      <c r="P14" s="285">
        <v>29485</v>
      </c>
      <c r="Q14">
        <v>28622</v>
      </c>
      <c r="R14">
        <v>25329</v>
      </c>
      <c r="S14" t="s">
        <v>1024</v>
      </c>
      <c r="V14" s="550" t="s">
        <v>1050</v>
      </c>
      <c r="W14">
        <v>260</v>
      </c>
      <c r="X14" s="158"/>
    </row>
    <row r="15" spans="1:24" x14ac:dyDescent="0.35">
      <c r="A15" s="496">
        <v>3</v>
      </c>
      <c r="B15" s="487" t="s">
        <v>1051</v>
      </c>
      <c r="C15" s="484">
        <f>HLOOKUP($C$4,$O$11:$R$41,5,FALSE)</f>
        <v>25674</v>
      </c>
      <c r="D15" s="484">
        <f t="shared" si="0"/>
        <v>0</v>
      </c>
      <c r="E15" s="484">
        <f t="shared" si="1"/>
        <v>25674</v>
      </c>
      <c r="F15" s="484">
        <f t="shared" si="2"/>
        <v>3101.1</v>
      </c>
      <c r="G15" s="488">
        <f t="shared" si="3"/>
        <v>128.37</v>
      </c>
      <c r="H15" s="484">
        <f t="shared" si="4"/>
        <v>6105.2772000000004</v>
      </c>
      <c r="I15" s="729">
        <f t="shared" si="5"/>
        <v>35008.747199999998</v>
      </c>
      <c r="J15" s="128">
        <v>1560</v>
      </c>
      <c r="K15" s="730">
        <f t="shared" si="6"/>
        <v>22.44</v>
      </c>
      <c r="L15" s="485">
        <v>0.35</v>
      </c>
      <c r="M15" s="696">
        <v>0.69</v>
      </c>
      <c r="O15" s="714">
        <v>25674</v>
      </c>
      <c r="P15" s="285">
        <v>31088</v>
      </c>
      <c r="Q15">
        <v>30225</v>
      </c>
      <c r="R15">
        <v>26958</v>
      </c>
      <c r="S15" t="s">
        <v>1052</v>
      </c>
      <c r="V15" s="550" t="s">
        <v>1053</v>
      </c>
      <c r="W15">
        <v>-40</v>
      </c>
      <c r="X15" s="158"/>
    </row>
    <row r="16" spans="1:24" x14ac:dyDescent="0.35">
      <c r="A16" s="496">
        <v>4</v>
      </c>
      <c r="B16" s="487" t="s">
        <v>1054</v>
      </c>
      <c r="C16" s="484">
        <f>HLOOKUP($C$4,$O$11:$R$41,6,FALSE)</f>
        <v>26530</v>
      </c>
      <c r="D16" s="484">
        <f t="shared" si="0"/>
        <v>0</v>
      </c>
      <c r="E16" s="484">
        <f t="shared" si="1"/>
        <v>26530</v>
      </c>
      <c r="F16" s="484">
        <f t="shared" si="2"/>
        <v>3229.5</v>
      </c>
      <c r="G16" s="488">
        <f t="shared" si="3"/>
        <v>132.65</v>
      </c>
      <c r="H16" s="484">
        <f t="shared" si="4"/>
        <v>6308.8340000000007</v>
      </c>
      <c r="I16" s="729">
        <f t="shared" si="5"/>
        <v>36200.984000000004</v>
      </c>
      <c r="J16" s="128">
        <v>1560</v>
      </c>
      <c r="K16" s="730">
        <f t="shared" si="6"/>
        <v>23.21</v>
      </c>
      <c r="L16" s="485">
        <v>0.3</v>
      </c>
      <c r="M16" s="696">
        <v>0.6</v>
      </c>
      <c r="O16" s="714">
        <v>26530</v>
      </c>
      <c r="P16" s="285">
        <v>31944</v>
      </c>
      <c r="Q16">
        <v>31081</v>
      </c>
      <c r="R16">
        <v>27857</v>
      </c>
      <c r="S16" t="s">
        <v>1055</v>
      </c>
      <c r="V16" s="550" t="s">
        <v>1056</v>
      </c>
      <c r="W16">
        <v>-2</v>
      </c>
      <c r="X16" s="158"/>
    </row>
    <row r="17" spans="1:24" x14ac:dyDescent="0.35">
      <c r="A17" s="496">
        <v>4</v>
      </c>
      <c r="B17" s="487" t="s">
        <v>1057</v>
      </c>
      <c r="C17" s="484">
        <f>HLOOKUP($C$4,$O$11:$R$41,7,FALSE)</f>
        <v>29114</v>
      </c>
      <c r="D17" s="484">
        <f t="shared" si="0"/>
        <v>0</v>
      </c>
      <c r="E17" s="484">
        <f t="shared" si="1"/>
        <v>29114</v>
      </c>
      <c r="F17" s="484">
        <f t="shared" si="2"/>
        <v>3617.1</v>
      </c>
      <c r="G17" s="488">
        <f t="shared" si="3"/>
        <v>145.57</v>
      </c>
      <c r="H17" s="484">
        <f t="shared" si="4"/>
        <v>6923.3092000000006</v>
      </c>
      <c r="I17" s="729">
        <f t="shared" si="5"/>
        <v>39799.979200000002</v>
      </c>
      <c r="J17" s="128">
        <v>1560</v>
      </c>
      <c r="K17" s="730">
        <f t="shared" si="6"/>
        <v>25.51</v>
      </c>
      <c r="L17" s="485">
        <v>0.3</v>
      </c>
      <c r="M17" s="696">
        <v>0.6</v>
      </c>
      <c r="O17" s="714">
        <v>29114</v>
      </c>
      <c r="P17" s="285">
        <v>34937</v>
      </c>
      <c r="Q17">
        <v>33665</v>
      </c>
      <c r="R17">
        <v>30570</v>
      </c>
      <c r="S17" t="s">
        <v>1058</v>
      </c>
      <c r="V17" s="550" t="s">
        <v>1059</v>
      </c>
      <c r="W17">
        <v>-10</v>
      </c>
      <c r="X17" s="158"/>
    </row>
    <row r="18" spans="1:24" x14ac:dyDescent="0.35">
      <c r="A18" s="496">
        <v>5</v>
      </c>
      <c r="B18" s="487" t="s">
        <v>1060</v>
      </c>
      <c r="C18" s="484">
        <f>HLOOKUP($C$4,$O$11:$R$41,8,FALSE)</f>
        <v>29970</v>
      </c>
      <c r="D18" s="484">
        <f t="shared" si="0"/>
        <v>0</v>
      </c>
      <c r="E18" s="484">
        <f t="shared" si="1"/>
        <v>29970</v>
      </c>
      <c r="F18" s="484">
        <f t="shared" si="2"/>
        <v>3745.5</v>
      </c>
      <c r="G18" s="488">
        <f t="shared" si="3"/>
        <v>149.85</v>
      </c>
      <c r="H18" s="484">
        <f t="shared" si="4"/>
        <v>7126.866</v>
      </c>
      <c r="I18" s="729">
        <f t="shared" si="5"/>
        <v>40992.216</v>
      </c>
      <c r="J18" s="128">
        <v>1560</v>
      </c>
      <c r="K18" s="730">
        <f t="shared" si="6"/>
        <v>26.28</v>
      </c>
      <c r="L18" s="485">
        <v>0.3</v>
      </c>
      <c r="M18" s="696">
        <v>0.6</v>
      </c>
      <c r="O18" s="714">
        <v>29970</v>
      </c>
      <c r="P18" s="285">
        <v>35964</v>
      </c>
      <c r="Q18">
        <v>34521</v>
      </c>
      <c r="R18">
        <v>31469</v>
      </c>
      <c r="V18" s="550"/>
      <c r="W18" s="328">
        <v>208</v>
      </c>
      <c r="X18" s="158"/>
    </row>
    <row r="19" spans="1:24" x14ac:dyDescent="0.35">
      <c r="A19" s="496">
        <v>5</v>
      </c>
      <c r="B19" s="487" t="s">
        <v>1061</v>
      </c>
      <c r="C19" s="484">
        <f>HLOOKUP($C$4,$O$11:$R$41,9,FALSE)</f>
        <v>32324</v>
      </c>
      <c r="D19" s="484">
        <f t="shared" si="0"/>
        <v>0</v>
      </c>
      <c r="E19" s="484">
        <f t="shared" si="1"/>
        <v>32324</v>
      </c>
      <c r="F19" s="484">
        <f t="shared" si="2"/>
        <v>4098.5999999999995</v>
      </c>
      <c r="G19" s="488">
        <f t="shared" si="3"/>
        <v>161.62</v>
      </c>
      <c r="H19" s="484">
        <f t="shared" si="4"/>
        <v>7686.6472000000003</v>
      </c>
      <c r="I19" s="729">
        <f t="shared" si="5"/>
        <v>44270.867200000001</v>
      </c>
      <c r="J19" s="128">
        <v>1560</v>
      </c>
      <c r="K19" s="730">
        <f t="shared" si="6"/>
        <v>28.38</v>
      </c>
      <c r="L19" s="485">
        <v>0.3</v>
      </c>
      <c r="M19" s="696">
        <v>0.6</v>
      </c>
      <c r="O19" s="714">
        <v>32324</v>
      </c>
      <c r="P19" s="285">
        <v>38789</v>
      </c>
      <c r="Q19">
        <v>37173</v>
      </c>
      <c r="R19">
        <v>33941</v>
      </c>
      <c r="V19" s="550" t="s">
        <v>1062</v>
      </c>
      <c r="W19" s="360">
        <f>7.5*W18</f>
        <v>1560</v>
      </c>
      <c r="X19" s="158"/>
    </row>
    <row r="20" spans="1:24" x14ac:dyDescent="0.35">
      <c r="A20" s="496">
        <v>5</v>
      </c>
      <c r="B20" s="487" t="s">
        <v>1063</v>
      </c>
      <c r="C20" s="484">
        <f>HLOOKUP($C$4,$O$11:$R$41,10,FALSE)</f>
        <v>36483</v>
      </c>
      <c r="D20" s="484">
        <f t="shared" si="0"/>
        <v>0</v>
      </c>
      <c r="E20" s="484">
        <f t="shared" si="1"/>
        <v>36483</v>
      </c>
      <c r="F20" s="484">
        <f t="shared" si="2"/>
        <v>4722.45</v>
      </c>
      <c r="G20" s="488">
        <f t="shared" si="3"/>
        <v>182.41499999999999</v>
      </c>
      <c r="H20" s="484">
        <f t="shared" si="4"/>
        <v>8675.6574000000001</v>
      </c>
      <c r="I20" s="729">
        <f t="shared" si="5"/>
        <v>50063.522400000002</v>
      </c>
      <c r="J20" s="128">
        <v>1560</v>
      </c>
      <c r="K20" s="730">
        <f t="shared" si="6"/>
        <v>32.090000000000003</v>
      </c>
      <c r="L20" s="485">
        <v>0.3</v>
      </c>
      <c r="M20" s="696">
        <v>0.6</v>
      </c>
      <c r="O20" s="714">
        <v>36483</v>
      </c>
      <c r="P20" s="285">
        <v>43780</v>
      </c>
      <c r="Q20">
        <v>41956</v>
      </c>
      <c r="R20">
        <v>38308</v>
      </c>
      <c r="V20" s="159"/>
      <c r="X20" s="158"/>
    </row>
    <row r="21" spans="1:24" x14ac:dyDescent="0.35">
      <c r="A21" s="496">
        <v>6</v>
      </c>
      <c r="B21" s="487" t="s">
        <v>1064</v>
      </c>
      <c r="C21" s="484">
        <f>HLOOKUP($C$4,$O$11:$R$41,11,FALSE)</f>
        <v>37338</v>
      </c>
      <c r="D21" s="484">
        <f t="shared" si="0"/>
        <v>0</v>
      </c>
      <c r="E21" s="484">
        <f t="shared" si="1"/>
        <v>37338</v>
      </c>
      <c r="F21" s="484">
        <f t="shared" si="2"/>
        <v>4850.7</v>
      </c>
      <c r="G21" s="488">
        <f t="shared" si="3"/>
        <v>186.69</v>
      </c>
      <c r="H21" s="484">
        <f t="shared" si="4"/>
        <v>8878.9763999999996</v>
      </c>
      <c r="I21" s="729">
        <f t="shared" si="5"/>
        <v>51254.366399999999</v>
      </c>
      <c r="J21" s="128">
        <v>1560</v>
      </c>
      <c r="K21" s="730">
        <f t="shared" si="6"/>
        <v>32.86</v>
      </c>
      <c r="L21" s="485">
        <v>0.3</v>
      </c>
      <c r="M21" s="696">
        <v>0.6</v>
      </c>
      <c r="O21" s="714">
        <v>37338</v>
      </c>
      <c r="P21" s="285">
        <v>44806</v>
      </c>
      <c r="Q21">
        <v>42939</v>
      </c>
      <c r="R21">
        <v>39205</v>
      </c>
      <c r="V21" s="550"/>
      <c r="X21" s="158"/>
    </row>
    <row r="22" spans="1:24" x14ac:dyDescent="0.35">
      <c r="A22" s="496">
        <v>6</v>
      </c>
      <c r="B22" s="487" t="s">
        <v>787</v>
      </c>
      <c r="C22" s="484">
        <f>HLOOKUP($C$4,$O$11:$R$41,12,FALSE)</f>
        <v>39405</v>
      </c>
      <c r="D22" s="484">
        <f t="shared" si="0"/>
        <v>0</v>
      </c>
      <c r="E22" s="484">
        <f t="shared" si="1"/>
        <v>39405</v>
      </c>
      <c r="F22" s="484">
        <f t="shared" si="2"/>
        <v>5160.75</v>
      </c>
      <c r="G22" s="488">
        <f t="shared" si="3"/>
        <v>197.02500000000001</v>
      </c>
      <c r="H22" s="484">
        <f t="shared" si="4"/>
        <v>9370.509</v>
      </c>
      <c r="I22" s="729">
        <f t="shared" si="5"/>
        <v>54133.284</v>
      </c>
      <c r="J22" s="128">
        <v>1560</v>
      </c>
      <c r="K22" s="730">
        <f t="shared" si="6"/>
        <v>34.700000000000003</v>
      </c>
      <c r="L22" s="485">
        <v>0.3</v>
      </c>
      <c r="M22" s="696">
        <v>0.6</v>
      </c>
      <c r="O22" s="714">
        <v>39405</v>
      </c>
      <c r="P22" s="285">
        <v>47286</v>
      </c>
      <c r="Q22">
        <v>45140</v>
      </c>
      <c r="R22">
        <v>41376</v>
      </c>
      <c r="V22" s="549" t="s">
        <v>1065</v>
      </c>
      <c r="X22" s="158"/>
    </row>
    <row r="23" spans="1:24" x14ac:dyDescent="0.35">
      <c r="A23" s="496">
        <v>6</v>
      </c>
      <c r="B23" s="487" t="s">
        <v>1066</v>
      </c>
      <c r="C23" s="484">
        <f>HLOOKUP($C$4,$O$11:$R$41,13,FALSE)</f>
        <v>44962</v>
      </c>
      <c r="D23" s="484">
        <f t="shared" si="0"/>
        <v>0</v>
      </c>
      <c r="E23" s="484">
        <f t="shared" si="1"/>
        <v>44962</v>
      </c>
      <c r="F23" s="484">
        <f t="shared" si="2"/>
        <v>5994.3</v>
      </c>
      <c r="G23" s="488">
        <f t="shared" si="3"/>
        <v>224.81</v>
      </c>
      <c r="H23" s="484">
        <f t="shared" si="4"/>
        <v>10691.963600000001</v>
      </c>
      <c r="I23" s="729">
        <f t="shared" si="5"/>
        <v>61873.073600000003</v>
      </c>
      <c r="J23" s="128">
        <v>1560</v>
      </c>
      <c r="K23" s="730">
        <f t="shared" si="6"/>
        <v>39.659999999999997</v>
      </c>
      <c r="L23" s="485">
        <v>0.3</v>
      </c>
      <c r="M23" s="696">
        <v>0.6</v>
      </c>
      <c r="O23" s="714">
        <v>44962</v>
      </c>
      <c r="P23" s="285">
        <v>53134</v>
      </c>
      <c r="Q23">
        <v>50697</v>
      </c>
      <c r="R23">
        <v>47084</v>
      </c>
      <c r="V23" s="550" t="s">
        <v>1067</v>
      </c>
      <c r="W23">
        <v>43</v>
      </c>
      <c r="X23" s="158"/>
    </row>
    <row r="24" spans="1:24" x14ac:dyDescent="0.35">
      <c r="A24" s="496">
        <v>7</v>
      </c>
      <c r="B24" s="487" t="s">
        <v>1068</v>
      </c>
      <c r="C24" s="484">
        <f>HLOOKUP($C$4,$O$11:$R$41,14,FALSE)</f>
        <v>46148</v>
      </c>
      <c r="D24" s="484">
        <f t="shared" si="0"/>
        <v>0</v>
      </c>
      <c r="E24" s="484">
        <f t="shared" si="1"/>
        <v>46148</v>
      </c>
      <c r="F24" s="484">
        <f t="shared" si="2"/>
        <v>6172.2</v>
      </c>
      <c r="G24" s="488">
        <f t="shared" si="3"/>
        <v>230.74</v>
      </c>
      <c r="H24" s="484">
        <f t="shared" si="4"/>
        <v>10973.994400000001</v>
      </c>
      <c r="I24" s="729">
        <f t="shared" si="5"/>
        <v>63524.934399999998</v>
      </c>
      <c r="J24" s="128">
        <v>1560</v>
      </c>
      <c r="K24" s="730">
        <f t="shared" si="6"/>
        <v>40.72</v>
      </c>
      <c r="L24" s="485">
        <v>0.3</v>
      </c>
      <c r="M24" s="696">
        <v>0.6</v>
      </c>
      <c r="O24" s="714">
        <v>46148</v>
      </c>
      <c r="P24" s="285">
        <v>54320</v>
      </c>
      <c r="Q24">
        <v>51883</v>
      </c>
      <c r="R24">
        <v>48270</v>
      </c>
      <c r="V24" s="550"/>
      <c r="X24" s="158"/>
    </row>
    <row r="25" spans="1:24" x14ac:dyDescent="0.35">
      <c r="A25" s="496">
        <v>7</v>
      </c>
      <c r="B25" s="487" t="s">
        <v>774</v>
      </c>
      <c r="C25" s="484">
        <f>HLOOKUP($C$4,$O$11:$R$41,15,FALSE)</f>
        <v>48526</v>
      </c>
      <c r="D25" s="484">
        <f t="shared" si="0"/>
        <v>0</v>
      </c>
      <c r="E25" s="484">
        <f t="shared" si="1"/>
        <v>48526</v>
      </c>
      <c r="F25" s="484">
        <f t="shared" si="2"/>
        <v>6528.9</v>
      </c>
      <c r="G25" s="488">
        <f t="shared" si="3"/>
        <v>242.63</v>
      </c>
      <c r="H25" s="484">
        <f t="shared" si="4"/>
        <v>11539.4828</v>
      </c>
      <c r="I25" s="729">
        <f t="shared" si="5"/>
        <v>66837.012799999997</v>
      </c>
      <c r="J25" s="128">
        <v>1560</v>
      </c>
      <c r="K25" s="730">
        <f t="shared" si="6"/>
        <v>42.84</v>
      </c>
      <c r="L25" s="485">
        <v>0.3</v>
      </c>
      <c r="M25" s="696">
        <v>0.6</v>
      </c>
      <c r="O25" s="714">
        <v>48526</v>
      </c>
      <c r="P25" s="285">
        <v>56698</v>
      </c>
      <c r="Q25">
        <v>54261</v>
      </c>
      <c r="R25">
        <v>50648</v>
      </c>
      <c r="V25" s="550" t="s">
        <v>1069</v>
      </c>
      <c r="W25">
        <v>10</v>
      </c>
      <c r="X25" s="158"/>
    </row>
    <row r="26" spans="1:24" x14ac:dyDescent="0.35">
      <c r="A26" s="496">
        <v>7</v>
      </c>
      <c r="B26" s="487" t="s">
        <v>1070</v>
      </c>
      <c r="C26" s="484">
        <f>HLOOKUP($C$4,$O$11:$R$41,16,FALSE)</f>
        <v>52809</v>
      </c>
      <c r="D26" s="484">
        <f t="shared" si="0"/>
        <v>0</v>
      </c>
      <c r="E26" s="484">
        <f t="shared" si="1"/>
        <v>52809</v>
      </c>
      <c r="F26" s="484">
        <f t="shared" si="2"/>
        <v>7171.3499999999995</v>
      </c>
      <c r="G26" s="488">
        <f t="shared" si="3"/>
        <v>264.04500000000002</v>
      </c>
      <c r="H26" s="484">
        <f t="shared" si="4"/>
        <v>12557.9802</v>
      </c>
      <c r="I26" s="729">
        <f t="shared" si="5"/>
        <v>72802.375199999995</v>
      </c>
      <c r="J26" s="128">
        <v>1560</v>
      </c>
      <c r="K26" s="730">
        <f t="shared" si="6"/>
        <v>46.67</v>
      </c>
      <c r="L26" s="485">
        <v>0.3</v>
      </c>
      <c r="M26" s="696">
        <v>0.6</v>
      </c>
      <c r="O26" s="714">
        <v>52809</v>
      </c>
      <c r="P26" s="285">
        <v>60981</v>
      </c>
      <c r="Q26">
        <v>58544</v>
      </c>
      <c r="R26">
        <v>54931</v>
      </c>
      <c r="V26" s="550" t="s">
        <v>1071</v>
      </c>
      <c r="W26">
        <v>-2</v>
      </c>
      <c r="X26" s="158"/>
    </row>
    <row r="27" spans="1:24" x14ac:dyDescent="0.35">
      <c r="A27" s="496" t="s">
        <v>1072</v>
      </c>
      <c r="B27" s="487" t="s">
        <v>779</v>
      </c>
      <c r="C27" s="484">
        <f>HLOOKUP($C$4,$O$11:$R$41,17,FALSE)</f>
        <v>53754.676500000001</v>
      </c>
      <c r="D27" s="484">
        <f t="shared" si="0"/>
        <v>0</v>
      </c>
      <c r="E27" s="484">
        <f t="shared" si="1"/>
        <v>53754.676500000001</v>
      </c>
      <c r="F27" s="484">
        <f t="shared" si="2"/>
        <v>7313.2014749999998</v>
      </c>
      <c r="G27" s="488">
        <f t="shared" si="3"/>
        <v>268.77338250000003</v>
      </c>
      <c r="H27" s="484">
        <f t="shared" si="4"/>
        <v>12782.862071700001</v>
      </c>
      <c r="I27" s="729">
        <f t="shared" si="5"/>
        <v>74119.513429200015</v>
      </c>
      <c r="J27" s="128">
        <v>1560</v>
      </c>
      <c r="K27" s="730">
        <f t="shared" si="6"/>
        <v>47.51</v>
      </c>
      <c r="L27" s="485">
        <v>0.3</v>
      </c>
      <c r="M27" s="696">
        <v>0.6</v>
      </c>
      <c r="O27" s="714">
        <v>53754.676500000001</v>
      </c>
      <c r="P27" s="285">
        <v>61927</v>
      </c>
      <c r="Q27">
        <v>59490</v>
      </c>
      <c r="R27">
        <v>55877</v>
      </c>
      <c r="V27" s="550"/>
      <c r="W27" s="328">
        <v>8</v>
      </c>
      <c r="X27" s="158"/>
    </row>
    <row r="28" spans="1:24" x14ac:dyDescent="0.35">
      <c r="A28" s="496" t="s">
        <v>1072</v>
      </c>
      <c r="B28" s="487" t="s">
        <v>1073</v>
      </c>
      <c r="C28" s="484">
        <f>HLOOKUP($C$4,$O$11:$R$41,18,FALSE)</f>
        <v>56454</v>
      </c>
      <c r="D28" s="484">
        <f t="shared" si="0"/>
        <v>0</v>
      </c>
      <c r="E28" s="484">
        <f t="shared" si="1"/>
        <v>56454</v>
      </c>
      <c r="F28" s="484">
        <f t="shared" si="2"/>
        <v>7718.0999999999995</v>
      </c>
      <c r="G28" s="488">
        <f t="shared" si="3"/>
        <v>282.27</v>
      </c>
      <c r="H28" s="484">
        <f t="shared" si="4"/>
        <v>13424.761200000001</v>
      </c>
      <c r="I28" s="729">
        <f t="shared" si="5"/>
        <v>77879.131200000003</v>
      </c>
      <c r="J28" s="128">
        <v>1560</v>
      </c>
      <c r="K28" s="730">
        <f t="shared" si="6"/>
        <v>49.92</v>
      </c>
      <c r="L28" s="485">
        <v>0.3</v>
      </c>
      <c r="M28" s="696">
        <v>0.6</v>
      </c>
      <c r="O28" s="714">
        <v>56454</v>
      </c>
      <c r="P28" s="285">
        <v>64626</v>
      </c>
      <c r="Q28">
        <v>62189</v>
      </c>
      <c r="R28">
        <v>58576</v>
      </c>
      <c r="V28" s="550" t="s">
        <v>1074</v>
      </c>
      <c r="W28" s="360">
        <f>W27*4*W23</f>
        <v>1376</v>
      </c>
      <c r="X28" s="158"/>
    </row>
    <row r="29" spans="1:24" x14ac:dyDescent="0.35">
      <c r="A29" s="496" t="s">
        <v>1072</v>
      </c>
      <c r="B29" s="487" t="s">
        <v>1075</v>
      </c>
      <c r="C29" s="484">
        <f>HLOOKUP($C$4,$O$11:$R$41,19,FALSE)</f>
        <v>60504</v>
      </c>
      <c r="D29" s="484">
        <f t="shared" si="0"/>
        <v>0</v>
      </c>
      <c r="E29" s="484">
        <f t="shared" si="1"/>
        <v>60504</v>
      </c>
      <c r="F29" s="484">
        <f t="shared" si="2"/>
        <v>8325.6</v>
      </c>
      <c r="G29" s="488">
        <f t="shared" si="3"/>
        <v>302.52</v>
      </c>
      <c r="H29" s="484">
        <f t="shared" si="4"/>
        <v>14387.851200000001</v>
      </c>
      <c r="I29" s="729">
        <f t="shared" si="5"/>
        <v>83519.971200000015</v>
      </c>
      <c r="J29" s="128">
        <v>1560</v>
      </c>
      <c r="K29" s="730">
        <f t="shared" si="6"/>
        <v>53.54</v>
      </c>
      <c r="L29" s="485">
        <v>0.3</v>
      </c>
      <c r="M29" s="696">
        <v>0.6</v>
      </c>
      <c r="O29" s="714">
        <v>60504</v>
      </c>
      <c r="P29" s="285">
        <v>68676</v>
      </c>
      <c r="Q29">
        <v>66239</v>
      </c>
      <c r="R29">
        <v>62626</v>
      </c>
      <c r="V29" s="159"/>
      <c r="X29" s="158"/>
    </row>
    <row r="30" spans="1:24" x14ac:dyDescent="0.35">
      <c r="A30" s="496" t="s">
        <v>1076</v>
      </c>
      <c r="B30" s="487" t="s">
        <v>1077</v>
      </c>
      <c r="C30" s="484">
        <f>HLOOKUP($C$4,$O$11:$R$41,20,FALSE)</f>
        <v>62215</v>
      </c>
      <c r="D30" s="484">
        <f t="shared" si="0"/>
        <v>0</v>
      </c>
      <c r="E30" s="484">
        <f t="shared" si="1"/>
        <v>62215</v>
      </c>
      <c r="F30" s="484">
        <f t="shared" si="2"/>
        <v>8582.25</v>
      </c>
      <c r="G30" s="488">
        <f t="shared" si="3"/>
        <v>311.07499999999999</v>
      </c>
      <c r="H30" s="484">
        <f t="shared" si="4"/>
        <v>14794.727000000001</v>
      </c>
      <c r="I30" s="729">
        <f t="shared" si="5"/>
        <v>85903.051999999996</v>
      </c>
      <c r="J30" s="128">
        <v>1560</v>
      </c>
      <c r="K30" s="730">
        <f t="shared" si="6"/>
        <v>55.07</v>
      </c>
      <c r="L30" s="485">
        <v>0.3</v>
      </c>
      <c r="M30" s="696">
        <v>0.6</v>
      </c>
      <c r="O30" s="714">
        <v>62215</v>
      </c>
      <c r="P30" s="285">
        <v>70387</v>
      </c>
      <c r="Q30">
        <v>67950</v>
      </c>
      <c r="R30">
        <v>64337</v>
      </c>
      <c r="V30" s="550"/>
      <c r="X30" s="158"/>
    </row>
    <row r="31" spans="1:24" x14ac:dyDescent="0.35">
      <c r="A31" s="496" t="s">
        <v>1076</v>
      </c>
      <c r="B31" s="487" t="s">
        <v>1078</v>
      </c>
      <c r="C31" s="484">
        <f>HLOOKUP($C$4,$O$11:$R$41,21,FALSE)</f>
        <v>66246</v>
      </c>
      <c r="D31" s="484">
        <f t="shared" si="0"/>
        <v>0</v>
      </c>
      <c r="E31" s="484">
        <f t="shared" si="1"/>
        <v>66246</v>
      </c>
      <c r="F31" s="484">
        <f t="shared" si="2"/>
        <v>9186.9</v>
      </c>
      <c r="G31" s="488">
        <f t="shared" si="3"/>
        <v>331.23</v>
      </c>
      <c r="H31" s="484">
        <f t="shared" si="4"/>
        <v>15753.2988</v>
      </c>
      <c r="I31" s="729">
        <f t="shared" si="5"/>
        <v>91517.428799999994</v>
      </c>
      <c r="J31" s="128">
        <v>1560</v>
      </c>
      <c r="K31" s="730">
        <f t="shared" si="6"/>
        <v>58.67</v>
      </c>
      <c r="L31" s="485">
        <v>0.3</v>
      </c>
      <c r="M31" s="696">
        <v>0.6</v>
      </c>
      <c r="O31" s="714">
        <v>66246</v>
      </c>
      <c r="P31" s="285">
        <v>74418</v>
      </c>
      <c r="Q31">
        <v>71981</v>
      </c>
      <c r="R31">
        <v>68368</v>
      </c>
      <c r="V31" s="549" t="s">
        <v>1079</v>
      </c>
      <c r="X31" s="158"/>
    </row>
    <row r="32" spans="1:24" x14ac:dyDescent="0.35">
      <c r="A32" s="496" t="s">
        <v>1076</v>
      </c>
      <c r="B32" s="487" t="s">
        <v>1080</v>
      </c>
      <c r="C32" s="484">
        <f>HLOOKUP($C$4,$O$11:$R$41,22,FALSE)</f>
        <v>72293</v>
      </c>
      <c r="D32" s="484">
        <f t="shared" si="0"/>
        <v>0</v>
      </c>
      <c r="E32" s="484">
        <f t="shared" si="1"/>
        <v>72293</v>
      </c>
      <c r="F32" s="484">
        <f t="shared" si="2"/>
        <v>10093.949999999999</v>
      </c>
      <c r="G32" s="488">
        <f t="shared" si="3"/>
        <v>361.46500000000003</v>
      </c>
      <c r="H32" s="484">
        <f t="shared" si="4"/>
        <v>17191.275400000002</v>
      </c>
      <c r="I32" s="729">
        <f t="shared" si="5"/>
        <v>99939.690399999992</v>
      </c>
      <c r="J32" s="128">
        <v>1560</v>
      </c>
      <c r="K32" s="730">
        <f t="shared" si="6"/>
        <v>64.06</v>
      </c>
      <c r="L32" s="485">
        <v>0.3</v>
      </c>
      <c r="M32" s="696">
        <v>0.6</v>
      </c>
      <c r="O32" s="714">
        <v>72293</v>
      </c>
      <c r="P32" s="285">
        <v>80465</v>
      </c>
      <c r="Q32">
        <v>78028</v>
      </c>
      <c r="R32">
        <v>74415</v>
      </c>
      <c r="V32" s="550" t="s">
        <v>1081</v>
      </c>
      <c r="W32">
        <v>44.7</v>
      </c>
      <c r="X32" s="158"/>
    </row>
    <row r="33" spans="1:24" x14ac:dyDescent="0.35">
      <c r="A33" s="496" t="s">
        <v>1082</v>
      </c>
      <c r="B33" s="487" t="s">
        <v>1083</v>
      </c>
      <c r="C33" s="484">
        <f>HLOOKUP($C$4,$O$11:$R$41,23,FALSE)</f>
        <v>74290</v>
      </c>
      <c r="D33" s="484">
        <f t="shared" si="0"/>
        <v>0</v>
      </c>
      <c r="E33" s="484">
        <f t="shared" si="1"/>
        <v>74290</v>
      </c>
      <c r="F33" s="484">
        <f t="shared" si="2"/>
        <v>10393.5</v>
      </c>
      <c r="G33" s="488">
        <f t="shared" si="3"/>
        <v>371.45</v>
      </c>
      <c r="H33" s="484">
        <f t="shared" si="4"/>
        <v>17666.162</v>
      </c>
      <c r="I33" s="729">
        <f t="shared" si="5"/>
        <v>102721.11199999999</v>
      </c>
      <c r="J33" s="128">
        <v>1560</v>
      </c>
      <c r="K33" s="730">
        <f t="shared" si="6"/>
        <v>65.849999999999994</v>
      </c>
      <c r="L33" s="485">
        <v>0.3</v>
      </c>
      <c r="M33" s="696">
        <v>0.6</v>
      </c>
      <c r="O33" s="714">
        <v>74290</v>
      </c>
      <c r="P33" s="285">
        <v>82462</v>
      </c>
      <c r="Q33">
        <v>80025</v>
      </c>
      <c r="R33">
        <v>76412</v>
      </c>
      <c r="V33" s="550" t="s">
        <v>1084</v>
      </c>
      <c r="W33">
        <v>48</v>
      </c>
      <c r="X33" s="158"/>
    </row>
    <row r="34" spans="1:24" x14ac:dyDescent="0.35">
      <c r="A34" s="496" t="s">
        <v>1082</v>
      </c>
      <c r="B34" s="487" t="s">
        <v>1085</v>
      </c>
      <c r="C34" s="484">
        <f>HLOOKUP($C$4,$O$11:$R$41,24,FALSE)</f>
        <v>78814</v>
      </c>
      <c r="D34" s="484">
        <f t="shared" si="0"/>
        <v>0</v>
      </c>
      <c r="E34" s="484">
        <f t="shared" si="1"/>
        <v>78814</v>
      </c>
      <c r="F34" s="484">
        <f t="shared" si="2"/>
        <v>11072.1</v>
      </c>
      <c r="G34" s="488">
        <f t="shared" si="3"/>
        <v>394.07</v>
      </c>
      <c r="H34" s="484">
        <f t="shared" si="4"/>
        <v>18741.9692</v>
      </c>
      <c r="I34" s="729">
        <f t="shared" si="5"/>
        <v>109022.13920000001</v>
      </c>
      <c r="J34" s="128">
        <v>1560</v>
      </c>
      <c r="K34" s="730">
        <f t="shared" si="6"/>
        <v>69.89</v>
      </c>
      <c r="L34" s="485">
        <v>0.3</v>
      </c>
      <c r="M34" s="696">
        <v>0.6</v>
      </c>
      <c r="O34" s="714">
        <v>78814</v>
      </c>
      <c r="P34" s="285">
        <v>86986</v>
      </c>
      <c r="Q34">
        <v>84549</v>
      </c>
      <c r="R34">
        <v>80936</v>
      </c>
      <c r="V34" s="550" t="s">
        <v>1086</v>
      </c>
      <c r="W34">
        <v>2145.6</v>
      </c>
      <c r="X34" s="158"/>
    </row>
    <row r="35" spans="1:24" x14ac:dyDescent="0.35">
      <c r="A35" s="496" t="s">
        <v>1082</v>
      </c>
      <c r="B35" s="487" t="s">
        <v>1087</v>
      </c>
      <c r="C35" s="484">
        <f>HLOOKUP($C$4,$O$11:$R$41,25,FALSE)</f>
        <v>85601</v>
      </c>
      <c r="D35" s="484">
        <f t="shared" si="0"/>
        <v>0</v>
      </c>
      <c r="E35" s="484">
        <f t="shared" si="1"/>
        <v>85601</v>
      </c>
      <c r="F35" s="484">
        <f t="shared" si="2"/>
        <v>12090.15</v>
      </c>
      <c r="G35" s="488">
        <f t="shared" si="3"/>
        <v>428.005</v>
      </c>
      <c r="H35" s="484">
        <f t="shared" si="4"/>
        <v>20355.917799999999</v>
      </c>
      <c r="I35" s="729">
        <f t="shared" si="5"/>
        <v>118475.07279999999</v>
      </c>
      <c r="J35" s="128">
        <v>1560</v>
      </c>
      <c r="K35" s="730">
        <f t="shared" si="6"/>
        <v>75.95</v>
      </c>
      <c r="L35" s="485">
        <v>0.3</v>
      </c>
      <c r="M35" s="696">
        <v>0.6</v>
      </c>
      <c r="O35" s="714">
        <v>85601</v>
      </c>
      <c r="P35" s="285">
        <v>93773</v>
      </c>
      <c r="Q35">
        <v>91336</v>
      </c>
      <c r="R35">
        <v>87723</v>
      </c>
      <c r="V35" s="550" t="s">
        <v>1088</v>
      </c>
      <c r="W35" s="551">
        <v>0.6</v>
      </c>
      <c r="X35" s="158"/>
    </row>
    <row r="36" spans="1:24" x14ac:dyDescent="0.35">
      <c r="A36" s="496" t="s">
        <v>1089</v>
      </c>
      <c r="B36" s="487" t="s">
        <v>1090</v>
      </c>
      <c r="C36" s="484">
        <f>HLOOKUP($C$4,$O$11:$R$41,26,FALSE)</f>
        <v>88168</v>
      </c>
      <c r="D36" s="484">
        <f t="shared" si="0"/>
        <v>0</v>
      </c>
      <c r="E36" s="484">
        <f t="shared" si="1"/>
        <v>88168</v>
      </c>
      <c r="F36" s="484">
        <f t="shared" si="2"/>
        <v>12475.199999999999</v>
      </c>
      <c r="G36" s="488">
        <f t="shared" si="3"/>
        <v>440.84000000000003</v>
      </c>
      <c r="H36" s="484">
        <f t="shared" si="4"/>
        <v>20966.350399999999</v>
      </c>
      <c r="I36" s="729">
        <f t="shared" si="5"/>
        <v>122050.39039999999</v>
      </c>
      <c r="J36" s="128">
        <v>1560</v>
      </c>
      <c r="K36" s="730">
        <f t="shared" si="6"/>
        <v>78.239999999999995</v>
      </c>
      <c r="L36" s="485">
        <v>0.3</v>
      </c>
      <c r="M36" s="696">
        <v>0.6</v>
      </c>
      <c r="O36" s="714">
        <v>88168</v>
      </c>
      <c r="P36" s="285">
        <v>96340</v>
      </c>
      <c r="Q36">
        <v>93903</v>
      </c>
      <c r="R36">
        <v>90290</v>
      </c>
      <c r="V36" s="550" t="s">
        <v>1091</v>
      </c>
      <c r="W36" s="548">
        <f>ROUND(W35*W34,0)</f>
        <v>1287</v>
      </c>
      <c r="X36" s="158"/>
    </row>
    <row r="37" spans="1:24" x14ac:dyDescent="0.35">
      <c r="A37" s="496" t="s">
        <v>1089</v>
      </c>
      <c r="B37" s="487" t="s">
        <v>1092</v>
      </c>
      <c r="C37" s="484">
        <f>HLOOKUP($C$4,$O$11:$R$41,27,FALSE)</f>
        <v>93572</v>
      </c>
      <c r="D37" s="484">
        <f t="shared" si="0"/>
        <v>0</v>
      </c>
      <c r="E37" s="484">
        <f t="shared" si="1"/>
        <v>93572</v>
      </c>
      <c r="F37" s="484">
        <f t="shared" si="2"/>
        <v>13285.8</v>
      </c>
      <c r="G37" s="488">
        <f t="shared" si="3"/>
        <v>467.86</v>
      </c>
      <c r="H37" s="484">
        <f t="shared" si="4"/>
        <v>22251.421600000001</v>
      </c>
      <c r="I37" s="729">
        <f t="shared" si="5"/>
        <v>129577.0816</v>
      </c>
      <c r="J37" s="128">
        <v>1560</v>
      </c>
      <c r="K37" s="730">
        <f t="shared" si="6"/>
        <v>83.06</v>
      </c>
      <c r="L37" s="485">
        <v>0.3</v>
      </c>
      <c r="M37" s="696">
        <v>0.6</v>
      </c>
      <c r="O37" s="714">
        <v>93572</v>
      </c>
      <c r="P37" s="285">
        <v>101744</v>
      </c>
      <c r="Q37">
        <v>99307</v>
      </c>
      <c r="R37">
        <v>95694</v>
      </c>
      <c r="V37" s="160"/>
      <c r="W37" s="161"/>
      <c r="X37" s="162"/>
    </row>
    <row r="38" spans="1:24" x14ac:dyDescent="0.35">
      <c r="A38" s="496" t="s">
        <v>1089</v>
      </c>
      <c r="B38" s="487" t="s">
        <v>1093</v>
      </c>
      <c r="C38" s="484">
        <f>HLOOKUP($C$4,$O$11:$R$41,28,FALSE)</f>
        <v>101677</v>
      </c>
      <c r="D38" s="484">
        <f t="shared" si="0"/>
        <v>0</v>
      </c>
      <c r="E38" s="484">
        <f t="shared" si="1"/>
        <v>101677</v>
      </c>
      <c r="F38" s="484">
        <f t="shared" si="2"/>
        <v>14501.55</v>
      </c>
      <c r="G38" s="488">
        <f t="shared" si="3"/>
        <v>508.38499999999999</v>
      </c>
      <c r="H38" s="484">
        <f t="shared" si="4"/>
        <v>24178.7906</v>
      </c>
      <c r="I38" s="729">
        <f t="shared" si="5"/>
        <v>140865.72560000001</v>
      </c>
      <c r="J38" s="128">
        <v>1560</v>
      </c>
      <c r="K38" s="730">
        <f t="shared" si="6"/>
        <v>90.3</v>
      </c>
      <c r="L38" s="485">
        <v>0.3</v>
      </c>
      <c r="M38" s="696">
        <v>0.6</v>
      </c>
      <c r="O38" s="714">
        <v>101677</v>
      </c>
      <c r="P38" s="285">
        <v>109849</v>
      </c>
      <c r="Q38">
        <v>107412</v>
      </c>
      <c r="R38">
        <v>103799</v>
      </c>
    </row>
    <row r="39" spans="1:24" x14ac:dyDescent="0.35">
      <c r="A39" s="496">
        <v>9</v>
      </c>
      <c r="B39" s="487" t="s">
        <v>1094</v>
      </c>
      <c r="C39" s="484">
        <f>HLOOKUP($C$4,$O$11:$R$41,29,FALSE)</f>
        <v>105385</v>
      </c>
      <c r="D39" s="484">
        <f t="shared" si="0"/>
        <v>0</v>
      </c>
      <c r="E39" s="484">
        <f t="shared" si="1"/>
        <v>105385</v>
      </c>
      <c r="F39" s="484">
        <f t="shared" si="2"/>
        <v>15057.75</v>
      </c>
      <c r="G39" s="488">
        <f t="shared" si="3"/>
        <v>526.92499999999995</v>
      </c>
      <c r="H39" s="484">
        <f t="shared" si="4"/>
        <v>25060.553</v>
      </c>
      <c r="I39" s="729">
        <f t="shared" si="5"/>
        <v>146030.228</v>
      </c>
      <c r="J39" s="128">
        <v>1560</v>
      </c>
      <c r="K39" s="730">
        <f t="shared" si="6"/>
        <v>93.61</v>
      </c>
      <c r="L39" s="485">
        <v>0.3</v>
      </c>
      <c r="M39" s="696">
        <v>0.6</v>
      </c>
      <c r="O39" s="714">
        <v>105385</v>
      </c>
      <c r="P39" s="285">
        <v>113557</v>
      </c>
      <c r="Q39">
        <v>111120</v>
      </c>
      <c r="R39">
        <v>107507</v>
      </c>
    </row>
    <row r="40" spans="1:24" x14ac:dyDescent="0.35">
      <c r="A40" s="496">
        <v>9</v>
      </c>
      <c r="B40" s="487" t="s">
        <v>1095</v>
      </c>
      <c r="C40" s="484">
        <f>HLOOKUP($C$4,$O$11:$R$41,30,FALSE)</f>
        <v>111740</v>
      </c>
      <c r="D40" s="484">
        <f t="shared" si="0"/>
        <v>0</v>
      </c>
      <c r="E40" s="484">
        <f t="shared" si="1"/>
        <v>111740</v>
      </c>
      <c r="F40" s="484">
        <f t="shared" si="2"/>
        <v>16011</v>
      </c>
      <c r="G40" s="488">
        <f t="shared" si="3"/>
        <v>558.70000000000005</v>
      </c>
      <c r="H40" s="484">
        <f t="shared" si="4"/>
        <v>26571.772000000001</v>
      </c>
      <c r="I40" s="729">
        <f t="shared" si="5"/>
        <v>154881.47200000001</v>
      </c>
      <c r="J40" s="128">
        <v>1560</v>
      </c>
      <c r="K40" s="730">
        <f t="shared" si="6"/>
        <v>99.28</v>
      </c>
      <c r="L40" s="485">
        <v>0.3</v>
      </c>
      <c r="M40" s="696">
        <v>0.6</v>
      </c>
      <c r="O40" s="714">
        <v>111740</v>
      </c>
      <c r="P40" s="285">
        <v>119912</v>
      </c>
      <c r="Q40">
        <v>117475</v>
      </c>
      <c r="R40">
        <v>113862</v>
      </c>
    </row>
    <row r="41" spans="1:24" x14ac:dyDescent="0.35">
      <c r="A41" s="496">
        <v>9</v>
      </c>
      <c r="B41" s="487" t="s">
        <v>1096</v>
      </c>
      <c r="C41" s="484">
        <f>HLOOKUP($C$4,$O$11:$R$41,31,FALSE)</f>
        <v>121271</v>
      </c>
      <c r="D41" s="484">
        <f t="shared" si="0"/>
        <v>0</v>
      </c>
      <c r="E41" s="484">
        <f t="shared" si="1"/>
        <v>121271</v>
      </c>
      <c r="F41" s="484">
        <f t="shared" si="2"/>
        <v>17440.649999999998</v>
      </c>
      <c r="G41" s="488">
        <f t="shared" si="3"/>
        <v>606.35500000000002</v>
      </c>
      <c r="H41" s="484">
        <f t="shared" si="4"/>
        <v>28838.2438</v>
      </c>
      <c r="I41" s="729">
        <f t="shared" si="5"/>
        <v>168156.2488</v>
      </c>
      <c r="J41" s="128">
        <v>1560</v>
      </c>
      <c r="K41" s="730">
        <f t="shared" si="6"/>
        <v>107.79</v>
      </c>
      <c r="L41" s="485">
        <v>0.3</v>
      </c>
      <c r="M41" s="696">
        <v>0.6</v>
      </c>
      <c r="O41" s="714">
        <v>121271</v>
      </c>
      <c r="P41" s="285">
        <v>129443</v>
      </c>
      <c r="Q41">
        <v>127006</v>
      </c>
      <c r="R41">
        <v>123393</v>
      </c>
    </row>
    <row r="42" spans="1:24" x14ac:dyDescent="0.35">
      <c r="A42" s="496" t="s">
        <v>1079</v>
      </c>
      <c r="B42" s="149" t="s">
        <v>1097</v>
      </c>
      <c r="C42" s="484">
        <v>73113</v>
      </c>
      <c r="D42" s="484">
        <f t="shared" si="0"/>
        <v>0</v>
      </c>
      <c r="E42" s="484">
        <f t="shared" si="1"/>
        <v>73113</v>
      </c>
      <c r="F42" s="484">
        <f t="shared" si="2"/>
        <v>10216.949999999999</v>
      </c>
      <c r="G42" s="488">
        <f t="shared" si="3"/>
        <v>365.565</v>
      </c>
      <c r="H42" s="484">
        <f>C42*0.2068</f>
        <v>15119.768400000001</v>
      </c>
      <c r="I42" s="729">
        <f t="shared" si="5"/>
        <v>98815.2834</v>
      </c>
      <c r="J42" s="128">
        <f>W36</f>
        <v>1287</v>
      </c>
      <c r="K42" s="730">
        <f t="shared" si="6"/>
        <v>76.78</v>
      </c>
      <c r="L42" s="486">
        <v>0</v>
      </c>
      <c r="M42" s="697">
        <v>0</v>
      </c>
    </row>
    <row r="43" spans="1:24" x14ac:dyDescent="0.35">
      <c r="A43" s="496" t="s">
        <v>1079</v>
      </c>
      <c r="B43" s="149" t="s">
        <v>1098</v>
      </c>
      <c r="C43" s="484">
        <f>(C42+C44)/2</f>
        <v>91721.5</v>
      </c>
      <c r="D43" s="484">
        <f t="shared" si="0"/>
        <v>0</v>
      </c>
      <c r="E43" s="484">
        <f t="shared" si="1"/>
        <v>91721.5</v>
      </c>
      <c r="F43" s="484">
        <f t="shared" si="2"/>
        <v>13008.225</v>
      </c>
      <c r="G43" s="488">
        <f t="shared" si="3"/>
        <v>458.60750000000002</v>
      </c>
      <c r="H43" s="484">
        <f>C43*0.2068</f>
        <v>18968.0062</v>
      </c>
      <c r="I43" s="729">
        <f t="shared" si="5"/>
        <v>124156.33870000001</v>
      </c>
      <c r="J43" s="128">
        <f>W36</f>
        <v>1287</v>
      </c>
      <c r="K43" s="730">
        <f t="shared" si="6"/>
        <v>96.47</v>
      </c>
      <c r="L43" s="486">
        <v>0</v>
      </c>
      <c r="M43" s="697">
        <v>0</v>
      </c>
    </row>
    <row r="44" spans="1:24" x14ac:dyDescent="0.35">
      <c r="A44" s="733" t="s">
        <v>1079</v>
      </c>
      <c r="B44" s="734" t="s">
        <v>1098</v>
      </c>
      <c r="C44" s="555">
        <v>110330</v>
      </c>
      <c r="D44" s="555">
        <f t="shared" si="0"/>
        <v>0</v>
      </c>
      <c r="E44" s="484">
        <f t="shared" si="1"/>
        <v>110330</v>
      </c>
      <c r="F44" s="484">
        <f t="shared" si="2"/>
        <v>15799.5</v>
      </c>
      <c r="G44" s="488">
        <f t="shared" si="3"/>
        <v>551.65</v>
      </c>
      <c r="H44" s="555">
        <f>C44*0.2068</f>
        <v>22816.244000000002</v>
      </c>
      <c r="I44" s="729">
        <f t="shared" si="5"/>
        <v>149497.394</v>
      </c>
      <c r="J44" s="128">
        <f>W36</f>
        <v>1287</v>
      </c>
      <c r="K44" s="730">
        <f t="shared" si="6"/>
        <v>116.16</v>
      </c>
      <c r="L44" s="486">
        <v>0</v>
      </c>
      <c r="M44" s="697">
        <v>0</v>
      </c>
    </row>
    <row r="45" spans="1:24" x14ac:dyDescent="0.35">
      <c r="A45" s="496" t="s">
        <v>1065</v>
      </c>
      <c r="B45" s="149" t="s">
        <v>1099</v>
      </c>
      <c r="C45" s="484">
        <v>105504</v>
      </c>
      <c r="D45" s="484">
        <f t="shared" si="0"/>
        <v>0</v>
      </c>
      <c r="E45" s="484">
        <f t="shared" si="1"/>
        <v>105504</v>
      </c>
      <c r="F45" s="484">
        <f t="shared" si="2"/>
        <v>15075.599999999999</v>
      </c>
      <c r="G45" s="488">
        <f t="shared" si="3"/>
        <v>527.52</v>
      </c>
      <c r="H45" s="484">
        <f t="shared" si="4"/>
        <v>25088.851200000001</v>
      </c>
      <c r="I45" s="729">
        <f t="shared" si="5"/>
        <v>146195.9712</v>
      </c>
      <c r="J45" s="128">
        <v>1376</v>
      </c>
      <c r="K45" s="730">
        <f t="shared" si="6"/>
        <v>106.25</v>
      </c>
      <c r="L45" s="486">
        <v>0</v>
      </c>
      <c r="M45" s="697">
        <v>0</v>
      </c>
    </row>
    <row r="46" spans="1:24" x14ac:dyDescent="0.35">
      <c r="A46" s="496" t="s">
        <v>1065</v>
      </c>
      <c r="B46" s="149" t="s">
        <v>768</v>
      </c>
      <c r="C46" s="484">
        <f>(4*114894+6*126018)/10</f>
        <v>121568.4</v>
      </c>
      <c r="D46" s="484">
        <f t="shared" si="0"/>
        <v>0</v>
      </c>
      <c r="E46" s="484">
        <f t="shared" si="1"/>
        <v>121568.4</v>
      </c>
      <c r="F46" s="484">
        <f t="shared" si="2"/>
        <v>17485.259999999998</v>
      </c>
      <c r="G46" s="488">
        <f t="shared" si="3"/>
        <v>607.84199999999998</v>
      </c>
      <c r="H46" s="484">
        <f t="shared" si="4"/>
        <v>28908.965520000002</v>
      </c>
      <c r="I46" s="729">
        <f t="shared" si="5"/>
        <v>168570.46752000001</v>
      </c>
      <c r="J46" s="128">
        <v>1376</v>
      </c>
      <c r="K46" s="730">
        <f t="shared" si="6"/>
        <v>122.51</v>
      </c>
      <c r="L46" s="486">
        <v>0</v>
      </c>
      <c r="M46" s="697">
        <v>0</v>
      </c>
    </row>
    <row r="47" spans="1:24" ht="15" thickBot="1" x14ac:dyDescent="0.4">
      <c r="A47" s="497" t="s">
        <v>1065</v>
      </c>
      <c r="B47" s="489" t="s">
        <v>1100</v>
      </c>
      <c r="C47" s="490">
        <v>139882</v>
      </c>
      <c r="D47" s="490">
        <f t="shared" si="0"/>
        <v>0</v>
      </c>
      <c r="E47" s="490">
        <f t="shared" si="1"/>
        <v>139882</v>
      </c>
      <c r="F47" s="490">
        <f t="shared" si="2"/>
        <v>20232.3</v>
      </c>
      <c r="G47" s="735">
        <f t="shared" si="3"/>
        <v>699.41</v>
      </c>
      <c r="H47" s="490">
        <f t="shared" si="4"/>
        <v>33263.939600000005</v>
      </c>
      <c r="I47" s="491">
        <f t="shared" si="5"/>
        <v>194077.6496</v>
      </c>
      <c r="J47" s="737">
        <v>1376</v>
      </c>
      <c r="K47" s="698">
        <f t="shared" si="6"/>
        <v>141.04</v>
      </c>
      <c r="L47" s="699">
        <v>0</v>
      </c>
      <c r="M47" s="700">
        <v>0</v>
      </c>
    </row>
    <row r="96" ht="23.5" customHeight="1" x14ac:dyDescent="0.35"/>
    <row r="97" ht="55.5" customHeight="1" x14ac:dyDescent="0.35"/>
    <row r="98" ht="23.5" customHeight="1" x14ac:dyDescent="0.35"/>
    <row r="99" ht="23.5" customHeight="1" x14ac:dyDescent="0.35"/>
    <row r="100" ht="23.5" customHeight="1" x14ac:dyDescent="0.35"/>
    <row r="101" ht="23.5" customHeight="1" x14ac:dyDescent="0.35"/>
    <row r="102" ht="23.5" customHeight="1" x14ac:dyDescent="0.35"/>
  </sheetData>
  <sheetProtection algorithmName="SHA-512" hashValue="PULaWbRfZENb2bzXILA/cE5vE+NqzZ24UHXNOTzGtp5DpQWFXudm9UHzjNORs/Itw41QL3tvIBHGRrpeZzo++w==" saltValue="dx5OB4IymmFD6BBRszMPJg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E11" sqref="E11"/>
    </sheetView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82" t="s">
        <v>16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1"/>
    </row>
    <row r="5" spans="2:17" x14ac:dyDescent="0.35">
      <c r="B5" s="225" t="s">
        <v>17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226"/>
    </row>
    <row r="6" spans="2:17" x14ac:dyDescent="0.35">
      <c r="B6" s="230" t="s">
        <v>18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31"/>
    </row>
    <row r="7" spans="2:17" x14ac:dyDescent="0.35">
      <c r="B7" s="228" t="s">
        <v>19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9"/>
    </row>
    <row r="9" spans="2:17" x14ac:dyDescent="0.35">
      <c r="N9" s="469"/>
      <c r="O9" s="469"/>
      <c r="P9" s="469"/>
    </row>
    <row r="10" spans="2:17" x14ac:dyDescent="0.35">
      <c r="B10" s="225"/>
      <c r="C10" s="403"/>
      <c r="D10" s="403"/>
      <c r="E10" s="403"/>
      <c r="F10" s="403"/>
      <c r="G10" s="403"/>
      <c r="H10" s="226"/>
      <c r="J10" s="225"/>
      <c r="K10" s="403"/>
      <c r="L10" s="403"/>
      <c r="M10" s="403"/>
      <c r="N10" s="223"/>
      <c r="O10" s="223"/>
      <c r="P10" s="223"/>
      <c r="Q10" s="159"/>
    </row>
    <row r="11" spans="2:17" ht="46.5" x14ac:dyDescent="0.35">
      <c r="B11" s="230"/>
      <c r="C11" s="367" t="s">
        <v>20</v>
      </c>
      <c r="D11" s="472"/>
      <c r="E11" s="367" t="s">
        <v>21</v>
      </c>
      <c r="F11" s="472"/>
      <c r="G11" s="468" t="s">
        <v>22</v>
      </c>
      <c r="H11" s="473"/>
      <c r="I11" s="368"/>
      <c r="J11" s="476"/>
      <c r="K11" s="369" t="s">
        <v>23</v>
      </c>
      <c r="L11" s="476"/>
      <c r="M11" s="369" t="s">
        <v>24</v>
      </c>
      <c r="N11" s="472"/>
      <c r="O11" s="369" t="s">
        <v>25</v>
      </c>
      <c r="P11" s="472"/>
      <c r="Q11" s="159"/>
    </row>
    <row r="12" spans="2:17" x14ac:dyDescent="0.35">
      <c r="B12" s="230"/>
      <c r="C12" s="223"/>
      <c r="D12" s="223"/>
      <c r="E12" s="223"/>
      <c r="F12" s="223"/>
      <c r="G12" s="223"/>
      <c r="H12" s="231"/>
      <c r="J12" s="230"/>
      <c r="K12" s="223"/>
      <c r="L12" s="223"/>
      <c r="M12" s="223"/>
      <c r="N12" s="223"/>
      <c r="O12" s="223"/>
      <c r="P12" s="223"/>
      <c r="Q12" s="159"/>
    </row>
    <row r="13" spans="2:17" ht="40" customHeight="1" x14ac:dyDescent="0.35">
      <c r="B13" s="230"/>
      <c r="C13" s="470"/>
      <c r="D13" s="194"/>
      <c r="E13" s="525" t="s">
        <v>26</v>
      </c>
      <c r="F13" s="194"/>
      <c r="G13" s="471"/>
      <c r="H13" s="231"/>
      <c r="J13" s="230"/>
      <c r="K13" s="470"/>
      <c r="L13" s="194"/>
      <c r="M13" s="526" t="s">
        <v>27</v>
      </c>
      <c r="N13" s="194"/>
      <c r="O13" s="471"/>
      <c r="P13" s="223"/>
      <c r="Q13" s="159"/>
    </row>
    <row r="14" spans="2:17" x14ac:dyDescent="0.35">
      <c r="B14" s="230"/>
      <c r="C14" s="223"/>
      <c r="D14" s="223"/>
      <c r="E14" s="223"/>
      <c r="F14" s="223"/>
      <c r="G14" s="223"/>
      <c r="H14" s="231"/>
      <c r="J14" s="230"/>
      <c r="K14" s="223"/>
      <c r="L14" s="223"/>
      <c r="M14" s="223"/>
      <c r="N14" s="223"/>
      <c r="O14" s="223"/>
      <c r="P14" s="223"/>
      <c r="Q14" s="159"/>
    </row>
    <row r="15" spans="2:17" ht="213.75" customHeight="1" x14ac:dyDescent="0.35">
      <c r="B15" s="230"/>
      <c r="C15" s="364" t="s">
        <v>28</v>
      </c>
      <c r="D15" s="474"/>
      <c r="E15" s="365" t="s">
        <v>29</v>
      </c>
      <c r="F15" s="474"/>
      <c r="G15" s="363" t="s">
        <v>30</v>
      </c>
      <c r="H15" s="475"/>
      <c r="I15" s="241"/>
      <c r="J15" s="477"/>
      <c r="K15" s="366" t="s">
        <v>31</v>
      </c>
      <c r="L15" s="477"/>
      <c r="M15" s="407" t="s">
        <v>32</v>
      </c>
      <c r="N15" s="474"/>
      <c r="O15" s="407" t="s">
        <v>33</v>
      </c>
      <c r="P15" s="474"/>
      <c r="Q15" s="159"/>
    </row>
    <row r="16" spans="2:17" x14ac:dyDescent="0.35">
      <c r="B16" s="228"/>
      <c r="C16" s="227"/>
      <c r="D16" s="227"/>
      <c r="E16" s="227"/>
      <c r="F16" s="227"/>
      <c r="G16" s="227"/>
      <c r="H16" s="229"/>
      <c r="J16" s="228"/>
      <c r="K16" s="227"/>
      <c r="L16" s="478"/>
      <c r="M16" s="478"/>
      <c r="N16" s="478"/>
      <c r="O16" s="478"/>
      <c r="P16" s="478"/>
      <c r="Q16" s="159"/>
    </row>
    <row r="19" spans="2:16" x14ac:dyDescent="0.35">
      <c r="B19" s="225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226"/>
    </row>
    <row r="20" spans="2:16" x14ac:dyDescent="0.35">
      <c r="B20" s="230" t="s">
        <v>34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31"/>
    </row>
    <row r="21" spans="2:16" x14ac:dyDescent="0.35">
      <c r="B21" s="479" t="s">
        <v>35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31"/>
    </row>
    <row r="22" spans="2:16" x14ac:dyDescent="0.35">
      <c r="B22" s="480" t="s">
        <v>36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31"/>
    </row>
    <row r="23" spans="2:16" x14ac:dyDescent="0.35">
      <c r="B23" s="481" t="s">
        <v>37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31"/>
    </row>
    <row r="24" spans="2:16" x14ac:dyDescent="0.35">
      <c r="B24" s="480" t="s">
        <v>38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31"/>
    </row>
    <row r="25" spans="2:16" x14ac:dyDescent="0.35">
      <c r="B25" s="480" t="s">
        <v>39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31"/>
    </row>
    <row r="26" spans="2:16" x14ac:dyDescent="0.35">
      <c r="B26" s="230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31"/>
    </row>
    <row r="27" spans="2:16" x14ac:dyDescent="0.35">
      <c r="B27" s="482" t="s">
        <v>1112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31"/>
    </row>
    <row r="28" spans="2:16" x14ac:dyDescent="0.35">
      <c r="B28" s="228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9"/>
    </row>
  </sheetData>
  <sheetProtection algorithmName="SHA-512" hashValue="6C5Kw7ha1NIv3VwPG3M63j56qEuu5VwrhV4gnaDGPLgqCkebioPuaTUXkS+MDFoYfd8RuDCMX8CXoi+UrDd80Q==" saltValue="lJHlyJJA6wx/QTX0xUT/vA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DP13" zoomScale="40" zoomScaleNormal="40" workbookViewId="0">
      <selection activeCell="EB33" sqref="EB33"/>
    </sheetView>
  </sheetViews>
  <sheetFormatPr defaultColWidth="9.1796875" defaultRowHeight="14" x14ac:dyDescent="0.3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5.1796875" style="12" customWidth="1"/>
    <col min="18" max="18" width="20.1796875" style="12" customWidth="1"/>
    <col min="19" max="23" width="10.81640625" style="12" customWidth="1"/>
    <col min="24" max="42" width="10.81640625" style="12" hidden="1" customWidth="1"/>
    <col min="43" max="50" width="10.81640625" style="13" hidden="1" customWidth="1"/>
    <col min="51" max="100" width="10.81640625" style="1" hidden="1" customWidth="1"/>
    <col min="10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 x14ac:dyDescent="0.3">
      <c r="B1" s="9" t="s">
        <v>40</v>
      </c>
      <c r="C1" s="102"/>
      <c r="D1" s="22"/>
      <c r="E1" s="10" t="s">
        <v>41</v>
      </c>
      <c r="F1" s="7"/>
      <c r="G1" s="7"/>
    </row>
    <row r="3" spans="2:106" x14ac:dyDescent="0.3">
      <c r="B3" s="92" t="s">
        <v>42</v>
      </c>
      <c r="C3" s="531"/>
      <c r="D3" s="532"/>
      <c r="E3" s="532"/>
      <c r="F3" s="532"/>
      <c r="G3" s="93"/>
    </row>
    <row r="4" spans="2:106" x14ac:dyDescent="0.3">
      <c r="B4" s="94"/>
      <c r="C4" s="95"/>
      <c r="D4" s="7"/>
      <c r="E4" s="7"/>
      <c r="F4" s="7"/>
      <c r="G4" s="96"/>
      <c r="L4" s="9" t="s">
        <v>43</v>
      </c>
      <c r="M4" s="9" t="s">
        <v>43</v>
      </c>
      <c r="N4" s="9" t="s">
        <v>44</v>
      </c>
      <c r="O4" s="9" t="s">
        <v>44</v>
      </c>
      <c r="P4" s="9" t="s">
        <v>45</v>
      </c>
      <c r="R4" s="168" t="s">
        <v>46</v>
      </c>
      <c r="S4" s="168" t="s">
        <v>47</v>
      </c>
      <c r="T4" s="168" t="s">
        <v>48</v>
      </c>
      <c r="V4" s="168" t="s">
        <v>49</v>
      </c>
    </row>
    <row r="5" spans="2:106" ht="28" x14ac:dyDescent="0.3">
      <c r="B5" s="97" t="s">
        <v>50</v>
      </c>
      <c r="C5" s="95"/>
      <c r="D5" s="7"/>
      <c r="E5" s="7"/>
      <c r="F5" s="7"/>
      <c r="G5" s="96"/>
      <c r="L5" s="16" t="s">
        <v>51</v>
      </c>
      <c r="M5" s="16" t="s">
        <v>52</v>
      </c>
      <c r="N5" s="16" t="s">
        <v>53</v>
      </c>
      <c r="O5" s="16" t="s">
        <v>54</v>
      </c>
      <c r="P5" s="19"/>
      <c r="Q5" s="17"/>
      <c r="R5" s="16" t="s">
        <v>54</v>
      </c>
      <c r="S5" s="138" t="s">
        <v>55</v>
      </c>
      <c r="V5" s="139">
        <v>4</v>
      </c>
    </row>
    <row r="6" spans="2:106" x14ac:dyDescent="0.3">
      <c r="B6" s="97" t="s">
        <v>56</v>
      </c>
      <c r="C6" s="95"/>
      <c r="D6" s="7"/>
      <c r="E6" s="7"/>
      <c r="F6" s="7"/>
      <c r="G6" s="96"/>
      <c r="J6" s="134"/>
      <c r="L6" s="21" t="s">
        <v>57</v>
      </c>
      <c r="M6" s="21" t="s">
        <v>58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89" t="s">
        <v>59</v>
      </c>
      <c r="S6" s="138" t="s">
        <v>60</v>
      </c>
      <c r="V6" s="139">
        <v>5</v>
      </c>
    </row>
    <row r="7" spans="2:106" x14ac:dyDescent="0.3">
      <c r="B7" s="94"/>
      <c r="C7" s="95"/>
      <c r="D7" s="7"/>
      <c r="E7" s="7"/>
      <c r="F7" s="7"/>
      <c r="G7" s="96"/>
      <c r="L7" s="21" t="s">
        <v>61</v>
      </c>
      <c r="M7" s="21" t="s">
        <v>62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89" t="s">
        <v>63</v>
      </c>
      <c r="S7" s="402"/>
      <c r="V7" s="139">
        <v>6</v>
      </c>
    </row>
    <row r="8" spans="2:106" ht="19.5" customHeight="1" x14ac:dyDescent="0.3">
      <c r="B8" s="98" t="s">
        <v>64</v>
      </c>
      <c r="C8" s="99"/>
      <c r="D8" s="100"/>
      <c r="E8" s="100"/>
      <c r="F8" s="100"/>
      <c r="G8" s="101"/>
      <c r="L8" s="21" t="s">
        <v>65</v>
      </c>
      <c r="M8" s="21" t="s">
        <v>66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35">
      <c r="B9" s="14"/>
      <c r="L9" s="21" t="s">
        <v>67</v>
      </c>
      <c r="M9" s="21" t="s">
        <v>68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69</v>
      </c>
    </row>
    <row r="10" spans="2:106" ht="14.5" x14ac:dyDescent="0.35">
      <c r="B10" s="14"/>
      <c r="K10" s="24"/>
      <c r="L10" s="21" t="s">
        <v>70</v>
      </c>
      <c r="M10" s="21" t="s">
        <v>71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72</v>
      </c>
    </row>
    <row r="11" spans="2:106" x14ac:dyDescent="0.3">
      <c r="B11" s="9" t="s">
        <v>73</v>
      </c>
      <c r="C11" s="24"/>
      <c r="D11" s="24"/>
      <c r="E11" s="24"/>
      <c r="K11" s="24"/>
      <c r="L11" s="111" t="s">
        <v>74</v>
      </c>
      <c r="M11" s="21" t="s">
        <v>75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76</v>
      </c>
    </row>
    <row r="12" spans="2:106" ht="43.5" customHeight="1" x14ac:dyDescent="0.3">
      <c r="B12" s="15"/>
      <c r="D12" s="199" t="s">
        <v>77</v>
      </c>
      <c r="E12" s="199" t="s">
        <v>77</v>
      </c>
      <c r="L12" s="21" t="s">
        <v>78</v>
      </c>
      <c r="M12" s="21" t="s">
        <v>79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80</v>
      </c>
    </row>
    <row r="13" spans="2:106" s="19" customFormat="1" ht="46" customHeight="1" x14ac:dyDescent="0.3">
      <c r="B13" s="200" t="s">
        <v>81</v>
      </c>
      <c r="C13" s="200" t="s">
        <v>82</v>
      </c>
      <c r="D13" s="26" t="s">
        <v>83</v>
      </c>
      <c r="E13" s="26" t="s">
        <v>84</v>
      </c>
      <c r="F13" s="200" t="s">
        <v>85</v>
      </c>
      <c r="G13" s="11"/>
      <c r="H13" s="11"/>
      <c r="I13" s="11"/>
      <c r="K13" s="11"/>
      <c r="L13" s="21" t="s">
        <v>86</v>
      </c>
      <c r="M13" s="21" t="s">
        <v>87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4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201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88</v>
      </c>
      <c r="M14" s="21" t="s">
        <v>89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90</v>
      </c>
    </row>
    <row r="15" spans="2:106" x14ac:dyDescent="0.3">
      <c r="B15" s="201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91</v>
      </c>
    </row>
    <row r="16" spans="2:106" x14ac:dyDescent="0.3">
      <c r="B16" s="202" t="s">
        <v>92</v>
      </c>
      <c r="C16" s="203">
        <f>IF(C15&gt;0,C14,C15)</f>
        <v>57106398</v>
      </c>
      <c r="D16" s="203">
        <f>IF(D15&gt;0,D14,D15)</f>
        <v>21895402</v>
      </c>
      <c r="E16" s="203">
        <f>IF(E15&gt;0,E14,E15)</f>
        <v>23324090</v>
      </c>
      <c r="F16" s="203">
        <f>SUM(F15)</f>
        <v>45219492</v>
      </c>
      <c r="L16" s="22"/>
      <c r="M16" s="22"/>
      <c r="P16" s="400">
        <f>COUNTIF(P6:P14, TRUE)</f>
        <v>9</v>
      </c>
    </row>
    <row r="17" spans="1:194" x14ac:dyDescent="0.3">
      <c r="Q17" s="23"/>
      <c r="R17" s="23"/>
    </row>
    <row r="18" spans="1:194" ht="45.65" customHeight="1" x14ac:dyDescent="0.3">
      <c r="B18" s="90"/>
      <c r="C18" s="143"/>
      <c r="D18" s="26" t="s">
        <v>77</v>
      </c>
      <c r="E18" s="26" t="s">
        <v>77</v>
      </c>
      <c r="F18" s="90"/>
      <c r="I18" s="90"/>
      <c r="J18" s="90"/>
      <c r="K18" s="24"/>
      <c r="N18" s="24"/>
    </row>
    <row r="19" spans="1:194" ht="23.15" customHeight="1" x14ac:dyDescent="0.3">
      <c r="D19" s="204">
        <v>2</v>
      </c>
      <c r="E19" s="204">
        <v>3</v>
      </c>
      <c r="F19" s="204">
        <v>4</v>
      </c>
      <c r="G19" s="204">
        <v>5</v>
      </c>
      <c r="H19" s="204">
        <v>6</v>
      </c>
      <c r="K19" s="24"/>
    </row>
    <row r="20" spans="1:194" s="1" customFormat="1" ht="48" customHeight="1" x14ac:dyDescent="0.3">
      <c r="A20" s="124" t="s">
        <v>53</v>
      </c>
      <c r="B20" s="123" t="s">
        <v>93</v>
      </c>
      <c r="C20" s="123" t="s">
        <v>94</v>
      </c>
      <c r="D20" s="82" t="s">
        <v>95</v>
      </c>
      <c r="E20" s="82" t="s">
        <v>95</v>
      </c>
      <c r="F20" s="82" t="s">
        <v>96</v>
      </c>
      <c r="G20" s="82" t="s">
        <v>96</v>
      </c>
      <c r="H20" s="82" t="s">
        <v>96</v>
      </c>
      <c r="I20" s="123" t="s">
        <v>95</v>
      </c>
      <c r="J20" s="123" t="s">
        <v>95</v>
      </c>
      <c r="K20" s="123" t="s">
        <v>97</v>
      </c>
      <c r="L20" s="123" t="s">
        <v>97</v>
      </c>
      <c r="M20" s="125" t="s">
        <v>98</v>
      </c>
      <c r="N20" s="533"/>
      <c r="O20" s="533"/>
      <c r="P20" s="533"/>
      <c r="Q20" s="533"/>
      <c r="R20" s="533"/>
      <c r="S20" s="533"/>
      <c r="T20" s="533"/>
      <c r="U20" s="533"/>
      <c r="V20" s="533"/>
      <c r="W20" s="533"/>
      <c r="X20" s="533"/>
      <c r="Y20" s="533"/>
      <c r="Z20" s="533"/>
      <c r="AA20" s="533"/>
      <c r="AB20" s="533"/>
      <c r="AC20" s="533"/>
      <c r="AD20" s="533"/>
      <c r="AE20" s="533"/>
      <c r="AF20" s="533"/>
      <c r="AG20" s="533"/>
      <c r="AH20" s="533"/>
      <c r="AI20" s="533"/>
      <c r="AJ20" s="533"/>
      <c r="AK20" s="533"/>
      <c r="AL20" s="533"/>
      <c r="AM20" s="533"/>
      <c r="AN20" s="533"/>
      <c r="AO20" s="533"/>
      <c r="AP20" s="533"/>
      <c r="AQ20" s="533"/>
      <c r="AR20" s="533"/>
      <c r="AS20" s="533"/>
      <c r="AT20" s="533"/>
      <c r="AU20" s="533"/>
      <c r="AV20" s="533"/>
      <c r="AW20" s="533"/>
      <c r="AX20" s="533"/>
      <c r="AY20" s="533"/>
      <c r="AZ20" s="533"/>
      <c r="BA20" s="533"/>
      <c r="BB20" s="533"/>
      <c r="BC20" s="533"/>
      <c r="BD20" s="533"/>
      <c r="BE20" s="533"/>
      <c r="BF20" s="533"/>
      <c r="BG20" s="533"/>
      <c r="BH20" s="533"/>
      <c r="BI20" s="533"/>
      <c r="BJ20" s="533"/>
      <c r="BK20" s="533"/>
      <c r="BL20" s="533"/>
      <c r="BM20" s="533"/>
      <c r="BN20" s="533"/>
      <c r="BO20" s="533"/>
      <c r="BP20" s="533"/>
      <c r="BQ20" s="533"/>
      <c r="BR20" s="533"/>
      <c r="BS20" s="533"/>
      <c r="BT20" s="533"/>
      <c r="BU20" s="533"/>
      <c r="BV20" s="533"/>
      <c r="BW20" s="533"/>
      <c r="BX20" s="533"/>
      <c r="BY20" s="533"/>
      <c r="BZ20" s="533"/>
      <c r="CA20" s="533"/>
      <c r="CB20" s="533"/>
      <c r="CC20" s="533"/>
      <c r="CD20" s="533"/>
      <c r="CE20" s="533"/>
      <c r="CF20" s="533"/>
      <c r="CG20" s="533"/>
      <c r="CH20" s="533"/>
      <c r="CI20" s="533"/>
      <c r="CJ20" s="533"/>
      <c r="CK20" s="533"/>
      <c r="CL20" s="533"/>
      <c r="CM20" s="533"/>
      <c r="CN20" s="533"/>
      <c r="CO20" s="533"/>
      <c r="CP20" s="533"/>
      <c r="CQ20" s="533"/>
      <c r="CR20" s="533"/>
      <c r="CS20" s="533"/>
      <c r="CT20" s="533"/>
      <c r="CU20" s="533"/>
      <c r="CV20" s="533"/>
      <c r="CW20" s="533"/>
      <c r="CX20" s="533"/>
      <c r="CY20" s="126"/>
      <c r="CZ20" s="534" t="s">
        <v>99</v>
      </c>
      <c r="DA20" s="534"/>
      <c r="DB20" s="534"/>
      <c r="DC20" s="534"/>
      <c r="DD20" s="534"/>
      <c r="DE20" s="534"/>
      <c r="DF20" s="534"/>
      <c r="DG20" s="534"/>
      <c r="DH20" s="534"/>
      <c r="DI20" s="534"/>
      <c r="DJ20" s="534"/>
      <c r="DK20" s="534"/>
      <c r="DL20" s="534"/>
      <c r="DM20" s="534"/>
      <c r="DN20" s="534"/>
      <c r="DO20" s="534"/>
      <c r="DP20" s="534"/>
      <c r="DQ20" s="534"/>
      <c r="DR20" s="534"/>
      <c r="DS20" s="534"/>
      <c r="DT20" s="534"/>
      <c r="DU20" s="534"/>
      <c r="DV20" s="534"/>
      <c r="DW20" s="534"/>
      <c r="DX20" s="534"/>
      <c r="DY20" s="534"/>
      <c r="DZ20" s="534"/>
      <c r="EA20" s="534"/>
      <c r="EB20" s="534"/>
      <c r="EC20" s="534"/>
      <c r="ED20" s="534"/>
      <c r="EE20" s="534"/>
      <c r="EF20" s="534"/>
      <c r="EG20" s="534"/>
      <c r="EH20" s="534"/>
      <c r="EI20" s="534"/>
      <c r="EJ20" s="534"/>
      <c r="EK20" s="534"/>
      <c r="EL20" s="534"/>
      <c r="EM20" s="534"/>
      <c r="EN20" s="534"/>
      <c r="EO20" s="534"/>
      <c r="EP20" s="534"/>
      <c r="EQ20" s="534"/>
      <c r="ER20" s="534"/>
      <c r="ES20" s="534"/>
      <c r="ET20" s="534"/>
      <c r="EU20" s="534"/>
      <c r="EV20" s="534"/>
      <c r="EW20" s="534"/>
      <c r="EX20" s="534"/>
      <c r="EY20" s="534"/>
      <c r="EZ20" s="534"/>
      <c r="FA20" s="534"/>
      <c r="FB20" s="534"/>
      <c r="FC20" s="534"/>
      <c r="FD20" s="534"/>
      <c r="FE20" s="534"/>
      <c r="FF20" s="534"/>
      <c r="FG20" s="534"/>
      <c r="FH20" s="534"/>
      <c r="FI20" s="534"/>
      <c r="FJ20" s="534"/>
      <c r="FK20" s="534"/>
      <c r="FL20" s="534"/>
      <c r="FM20" s="534"/>
      <c r="FN20" s="534"/>
      <c r="FO20" s="534"/>
      <c r="FP20" s="534"/>
      <c r="FQ20" s="534"/>
      <c r="FR20" s="534"/>
      <c r="FS20" s="534"/>
      <c r="FT20" s="534"/>
      <c r="FU20" s="534"/>
      <c r="FV20" s="534"/>
      <c r="FW20" s="534"/>
      <c r="FX20" s="534"/>
      <c r="FY20" s="534"/>
      <c r="FZ20" s="534"/>
      <c r="GA20" s="534"/>
      <c r="GB20" s="534"/>
      <c r="GC20" s="534"/>
      <c r="GD20" s="534"/>
      <c r="GE20" s="534"/>
      <c r="GF20" s="534"/>
      <c r="GG20" s="534"/>
      <c r="GH20" s="534"/>
      <c r="GI20" s="534"/>
      <c r="GJ20" s="534"/>
      <c r="GK20" s="534"/>
      <c r="GL20" s="122"/>
    </row>
    <row r="21" spans="1:194" s="8" customFormat="1" ht="28" x14ac:dyDescent="0.3">
      <c r="A21" s="124"/>
      <c r="B21" s="123"/>
      <c r="C21" s="123"/>
      <c r="D21" s="25" t="s">
        <v>83</v>
      </c>
      <c r="E21" s="26" t="s">
        <v>84</v>
      </c>
      <c r="F21" s="82" t="s">
        <v>100</v>
      </c>
      <c r="G21" s="81" t="s">
        <v>98</v>
      </c>
      <c r="H21" s="81" t="s">
        <v>99</v>
      </c>
      <c r="I21" s="82" t="s">
        <v>98</v>
      </c>
      <c r="J21" s="81" t="s">
        <v>99</v>
      </c>
      <c r="K21" s="82" t="s">
        <v>98</v>
      </c>
      <c r="L21" s="27" t="s">
        <v>99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101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101</v>
      </c>
    </row>
    <row r="22" spans="1:194" s="1" customFormat="1" x14ac:dyDescent="0.3">
      <c r="A22" s="30"/>
      <c r="B22" s="72"/>
      <c r="C22" s="60"/>
      <c r="D22" s="78"/>
      <c r="E22" s="78"/>
      <c r="F22" s="535"/>
      <c r="G22" s="535"/>
      <c r="H22" s="78"/>
      <c r="I22" s="78"/>
      <c r="J22" s="78"/>
      <c r="K22" s="535"/>
      <c r="L22" s="78"/>
      <c r="M22" s="535"/>
      <c r="N22" s="535"/>
      <c r="O22" s="535"/>
      <c r="P22" s="535"/>
      <c r="Q22" s="535"/>
      <c r="R22" s="535"/>
      <c r="S22" s="535"/>
      <c r="T22" s="535"/>
      <c r="U22" s="535"/>
      <c r="V22" s="535"/>
      <c r="W22" s="535"/>
      <c r="X22" s="535"/>
      <c r="Y22" s="535"/>
      <c r="Z22" s="535"/>
      <c r="AA22" s="535"/>
      <c r="AB22" s="535"/>
      <c r="AC22" s="535"/>
      <c r="AD22" s="535"/>
      <c r="AE22" s="535"/>
      <c r="AF22" s="535"/>
      <c r="AG22" s="535"/>
      <c r="AH22" s="535"/>
      <c r="AI22" s="535"/>
      <c r="AJ22" s="535"/>
      <c r="AK22" s="535"/>
      <c r="AL22" s="535"/>
      <c r="AM22" s="535"/>
      <c r="AN22" s="535"/>
      <c r="AO22" s="535"/>
      <c r="AP22" s="535"/>
      <c r="AQ22" s="535"/>
      <c r="AR22" s="535"/>
      <c r="AS22" s="535"/>
      <c r="AT22" s="535"/>
      <c r="AU22" s="535"/>
      <c r="AV22" s="535"/>
      <c r="AW22" s="535"/>
      <c r="AX22" s="535"/>
      <c r="AY22" s="535"/>
      <c r="AZ22" s="535"/>
      <c r="BA22" s="535"/>
      <c r="BB22" s="535"/>
      <c r="BC22" s="535"/>
      <c r="BD22" s="535"/>
      <c r="BE22" s="535"/>
      <c r="BF22" s="535"/>
      <c r="BG22" s="535"/>
      <c r="BH22" s="535"/>
      <c r="BI22" s="535"/>
      <c r="BJ22" s="535"/>
      <c r="BK22" s="535"/>
      <c r="BL22" s="535"/>
      <c r="BM22" s="535"/>
      <c r="BN22" s="535"/>
      <c r="BO22" s="535"/>
      <c r="BP22" s="535"/>
      <c r="BQ22" s="535"/>
      <c r="BR22" s="535"/>
      <c r="BS22" s="535"/>
      <c r="BT22" s="535"/>
      <c r="BU22" s="535"/>
      <c r="BV22" s="535"/>
      <c r="BW22" s="535"/>
      <c r="BX22" s="535"/>
      <c r="BY22" s="535"/>
      <c r="BZ22" s="535"/>
      <c r="CA22" s="535"/>
      <c r="CB22" s="535"/>
      <c r="CC22" s="535"/>
      <c r="CD22" s="535"/>
      <c r="CE22" s="535"/>
      <c r="CF22" s="535"/>
      <c r="CG22" s="535"/>
      <c r="CH22" s="535"/>
      <c r="CI22" s="535"/>
      <c r="CJ22" s="535"/>
      <c r="CK22" s="535"/>
      <c r="CL22" s="535"/>
      <c r="CM22" s="535"/>
      <c r="CN22" s="535"/>
      <c r="CO22" s="535"/>
      <c r="CP22" s="535"/>
      <c r="CQ22" s="535"/>
      <c r="CR22" s="535"/>
      <c r="CS22" s="535"/>
      <c r="CT22" s="535"/>
      <c r="CU22" s="535"/>
      <c r="CV22" s="535"/>
      <c r="CW22" s="535"/>
      <c r="CX22" s="535"/>
      <c r="CY22" s="78"/>
      <c r="CZ22" s="535"/>
      <c r="DA22" s="535"/>
      <c r="DB22" s="535"/>
      <c r="DC22" s="535"/>
      <c r="DD22" s="535"/>
      <c r="DE22" s="535"/>
      <c r="DF22" s="535"/>
      <c r="DG22" s="535"/>
      <c r="DH22" s="535"/>
      <c r="DI22" s="535"/>
      <c r="DJ22" s="535"/>
      <c r="DK22" s="535"/>
      <c r="DL22" s="535"/>
      <c r="DM22" s="535"/>
      <c r="DN22" s="535"/>
      <c r="DO22" s="535"/>
      <c r="DP22" s="535"/>
      <c r="DQ22" s="535"/>
      <c r="DR22" s="535"/>
      <c r="DS22" s="535"/>
      <c r="DT22" s="535"/>
      <c r="DU22" s="535"/>
      <c r="DV22" s="535"/>
      <c r="DW22" s="535"/>
      <c r="DX22" s="535"/>
      <c r="DY22" s="535"/>
      <c r="DZ22" s="535"/>
      <c r="EA22" s="535"/>
      <c r="EB22" s="535"/>
      <c r="EC22" s="535"/>
      <c r="ED22" s="535"/>
      <c r="EE22" s="535"/>
      <c r="EF22" s="535"/>
      <c r="EG22" s="535"/>
      <c r="EH22" s="535"/>
      <c r="EI22" s="535"/>
      <c r="EJ22" s="535"/>
      <c r="EK22" s="535"/>
      <c r="EL22" s="535"/>
      <c r="EM22" s="535"/>
      <c r="EN22" s="535"/>
      <c r="EO22" s="535"/>
      <c r="EP22" s="535"/>
      <c r="EQ22" s="535"/>
      <c r="ER22" s="535"/>
      <c r="ES22" s="535"/>
      <c r="ET22" s="535"/>
      <c r="EU22" s="535"/>
      <c r="EV22" s="535"/>
      <c r="EW22" s="535"/>
      <c r="EX22" s="535"/>
      <c r="EY22" s="535"/>
      <c r="EZ22" s="535"/>
      <c r="FA22" s="535"/>
      <c r="FB22" s="535"/>
      <c r="FC22" s="535"/>
      <c r="FD22" s="535"/>
      <c r="FE22" s="535"/>
      <c r="FF22" s="535"/>
      <c r="FG22" s="535"/>
      <c r="FH22" s="535"/>
      <c r="FI22" s="535"/>
      <c r="FJ22" s="535"/>
      <c r="FK22" s="535"/>
      <c r="FL22" s="535"/>
      <c r="FM22" s="535"/>
      <c r="FN22" s="535"/>
      <c r="FO22" s="535"/>
      <c r="FP22" s="535"/>
      <c r="FQ22" s="535"/>
      <c r="FR22" s="535"/>
      <c r="FS22" s="535"/>
      <c r="FT22" s="535"/>
      <c r="FU22" s="535"/>
      <c r="FV22" s="535"/>
      <c r="FW22" s="535"/>
      <c r="FX22" s="535"/>
      <c r="FY22" s="535"/>
      <c r="FZ22" s="535"/>
      <c r="GA22" s="535"/>
      <c r="GB22" s="535"/>
      <c r="GC22" s="535"/>
      <c r="GD22" s="535"/>
      <c r="GE22" s="535"/>
      <c r="GF22" s="535"/>
      <c r="GG22" s="535"/>
      <c r="GH22" s="535"/>
      <c r="GI22" s="535"/>
      <c r="GJ22" s="535"/>
      <c r="GK22" s="535"/>
      <c r="GL22" s="78"/>
    </row>
    <row r="23" spans="1:194" s="70" customFormat="1" ht="21.75" customHeight="1" x14ac:dyDescent="0.3">
      <c r="A23" s="65" t="s">
        <v>51</v>
      </c>
      <c r="B23" s="66" t="s">
        <v>51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3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3">
      <c r="A25" s="74" t="s">
        <v>61</v>
      </c>
      <c r="B25" s="580" t="s">
        <v>102</v>
      </c>
      <c r="C25" s="75" t="s">
        <v>103</v>
      </c>
      <c r="D25" s="77">
        <f t="shared" ref="D25:E27" si="3">I25</f>
        <v>21895402</v>
      </c>
      <c r="E25" s="77">
        <f t="shared" si="3"/>
        <v>23324090</v>
      </c>
      <c r="F25" s="536">
        <f>G25+H25</f>
        <v>57106398</v>
      </c>
      <c r="G25" s="536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37">
        <f>SUM(M25:AD25)</f>
        <v>6087888</v>
      </c>
      <c r="L25" s="77">
        <f>SUM(CZ25:DQ25)</f>
        <v>5799018</v>
      </c>
      <c r="M25" s="536">
        <v>305120</v>
      </c>
      <c r="N25" s="536">
        <v>303019</v>
      </c>
      <c r="O25" s="536">
        <v>314737</v>
      </c>
      <c r="P25" s="536">
        <v>321299</v>
      </c>
      <c r="Q25" s="536">
        <v>325230</v>
      </c>
      <c r="R25" s="536">
        <v>333023</v>
      </c>
      <c r="S25" s="536">
        <v>343154</v>
      </c>
      <c r="T25" s="536">
        <v>339729</v>
      </c>
      <c r="U25" s="536">
        <v>341966</v>
      </c>
      <c r="V25" s="536">
        <v>351482</v>
      </c>
      <c r="W25" s="536">
        <v>360539</v>
      </c>
      <c r="X25" s="536">
        <v>361688</v>
      </c>
      <c r="Y25" s="536">
        <v>356777</v>
      </c>
      <c r="Z25" s="536">
        <v>354079</v>
      </c>
      <c r="AA25" s="536">
        <v>357199</v>
      </c>
      <c r="AB25" s="536">
        <v>344190</v>
      </c>
      <c r="AC25" s="536">
        <v>336612</v>
      </c>
      <c r="AD25" s="536">
        <v>338045</v>
      </c>
      <c r="AE25" s="536">
        <v>339142</v>
      </c>
      <c r="AF25" s="536">
        <v>339234</v>
      </c>
      <c r="AG25" s="536">
        <v>338398</v>
      </c>
      <c r="AH25" s="536">
        <v>338465</v>
      </c>
      <c r="AI25" s="536">
        <v>345338</v>
      </c>
      <c r="AJ25" s="536">
        <v>358287</v>
      </c>
      <c r="AK25" s="536">
        <v>360304</v>
      </c>
      <c r="AL25" s="536">
        <v>365799</v>
      </c>
      <c r="AM25" s="536">
        <v>360324</v>
      </c>
      <c r="AN25" s="536">
        <v>364086</v>
      </c>
      <c r="AO25" s="536">
        <v>372653</v>
      </c>
      <c r="AP25" s="536">
        <v>372807</v>
      </c>
      <c r="AQ25" s="536">
        <v>383710</v>
      </c>
      <c r="AR25" s="536">
        <v>389563</v>
      </c>
      <c r="AS25" s="536">
        <v>387640</v>
      </c>
      <c r="AT25" s="536">
        <v>384620</v>
      </c>
      <c r="AU25" s="536">
        <v>387905</v>
      </c>
      <c r="AV25" s="536">
        <v>378829</v>
      </c>
      <c r="AW25" s="536">
        <v>378199</v>
      </c>
      <c r="AX25" s="536">
        <v>377186</v>
      </c>
      <c r="AY25" s="536">
        <v>365502</v>
      </c>
      <c r="AZ25" s="536">
        <v>366111</v>
      </c>
      <c r="BA25" s="536">
        <v>365728</v>
      </c>
      <c r="BB25" s="536">
        <v>369097</v>
      </c>
      <c r="BC25" s="536">
        <v>371802</v>
      </c>
      <c r="BD25" s="536">
        <v>357560</v>
      </c>
      <c r="BE25" s="536">
        <v>334069</v>
      </c>
      <c r="BF25" s="536">
        <v>328458</v>
      </c>
      <c r="BG25" s="536">
        <v>335746</v>
      </c>
      <c r="BH25" s="536">
        <v>342585</v>
      </c>
      <c r="BI25" s="536">
        <v>346685</v>
      </c>
      <c r="BJ25" s="536">
        <v>360442</v>
      </c>
      <c r="BK25" s="536">
        <v>373390</v>
      </c>
      <c r="BL25" s="536">
        <v>385375</v>
      </c>
      <c r="BM25" s="536">
        <v>375807</v>
      </c>
      <c r="BN25" s="536">
        <v>383988</v>
      </c>
      <c r="BO25" s="536">
        <v>382566</v>
      </c>
      <c r="BP25" s="536">
        <v>385629</v>
      </c>
      <c r="BQ25" s="536">
        <v>381742</v>
      </c>
      <c r="BR25" s="536">
        <v>381998</v>
      </c>
      <c r="BS25" s="536">
        <v>376164</v>
      </c>
      <c r="BT25" s="536">
        <v>367036</v>
      </c>
      <c r="BU25" s="536">
        <v>357672</v>
      </c>
      <c r="BV25" s="536">
        <v>344928</v>
      </c>
      <c r="BW25" s="536">
        <v>329857</v>
      </c>
      <c r="BX25" s="536">
        <v>319451</v>
      </c>
      <c r="BY25" s="536">
        <v>309724</v>
      </c>
      <c r="BZ25" s="536">
        <v>294558</v>
      </c>
      <c r="CA25" s="536">
        <v>282293</v>
      </c>
      <c r="CB25" s="536">
        <v>268536</v>
      </c>
      <c r="CC25" s="536">
        <v>266443</v>
      </c>
      <c r="CD25" s="536">
        <v>260410</v>
      </c>
      <c r="CE25" s="536">
        <v>249450</v>
      </c>
      <c r="CF25" s="536">
        <v>249080</v>
      </c>
      <c r="CG25" s="536">
        <v>249070</v>
      </c>
      <c r="CH25" s="536">
        <v>252982</v>
      </c>
      <c r="CI25" s="536">
        <v>263625</v>
      </c>
      <c r="CJ25" s="536">
        <v>283090</v>
      </c>
      <c r="CK25" s="536">
        <v>211587</v>
      </c>
      <c r="CL25" s="536">
        <v>200401</v>
      </c>
      <c r="CM25" s="536">
        <v>195036</v>
      </c>
      <c r="CN25" s="536">
        <v>174093</v>
      </c>
      <c r="CO25" s="536">
        <v>149572</v>
      </c>
      <c r="CP25" s="536">
        <v>127665</v>
      </c>
      <c r="CQ25" s="536">
        <v>127183</v>
      </c>
      <c r="CR25" s="536">
        <v>120061</v>
      </c>
      <c r="CS25" s="536">
        <v>109873</v>
      </c>
      <c r="CT25" s="536">
        <v>97456</v>
      </c>
      <c r="CU25" s="536">
        <v>84705</v>
      </c>
      <c r="CV25" s="536">
        <v>73428</v>
      </c>
      <c r="CW25" s="536">
        <v>60864</v>
      </c>
      <c r="CX25" s="536">
        <v>51376</v>
      </c>
      <c r="CY25" s="536">
        <v>170964</v>
      </c>
      <c r="CZ25" s="536">
        <v>291186</v>
      </c>
      <c r="DA25" s="536">
        <v>289546</v>
      </c>
      <c r="DB25" s="536">
        <v>300800</v>
      </c>
      <c r="DC25" s="536">
        <v>305906</v>
      </c>
      <c r="DD25" s="536">
        <v>310539</v>
      </c>
      <c r="DE25" s="536">
        <v>318263</v>
      </c>
      <c r="DF25" s="536">
        <v>326932</v>
      </c>
      <c r="DG25" s="536">
        <v>324633</v>
      </c>
      <c r="DH25" s="536">
        <v>326780</v>
      </c>
      <c r="DI25" s="536">
        <v>334543</v>
      </c>
      <c r="DJ25" s="536">
        <v>344341</v>
      </c>
      <c r="DK25" s="536">
        <v>343967</v>
      </c>
      <c r="DL25" s="536">
        <v>339949</v>
      </c>
      <c r="DM25" s="536">
        <v>337345</v>
      </c>
      <c r="DN25" s="536">
        <v>340474</v>
      </c>
      <c r="DO25" s="536">
        <v>326885</v>
      </c>
      <c r="DP25" s="536">
        <v>319023</v>
      </c>
      <c r="DQ25" s="536">
        <v>317906</v>
      </c>
      <c r="DR25" s="536">
        <v>318297</v>
      </c>
      <c r="DS25" s="536">
        <v>319325</v>
      </c>
      <c r="DT25" s="536">
        <v>325075</v>
      </c>
      <c r="DU25" s="536">
        <v>327194</v>
      </c>
      <c r="DV25" s="536">
        <v>333614</v>
      </c>
      <c r="DW25" s="536">
        <v>350669</v>
      </c>
      <c r="DX25" s="536">
        <v>358581</v>
      </c>
      <c r="DY25" s="536">
        <v>367839</v>
      </c>
      <c r="DZ25" s="536">
        <v>363988</v>
      </c>
      <c r="EA25" s="536">
        <v>374022</v>
      </c>
      <c r="EB25" s="536">
        <v>387522</v>
      </c>
      <c r="EC25" s="536">
        <v>390671</v>
      </c>
      <c r="ED25" s="536">
        <v>404331</v>
      </c>
      <c r="EE25" s="536">
        <v>410921</v>
      </c>
      <c r="EF25" s="536">
        <v>413176</v>
      </c>
      <c r="EG25" s="536">
        <v>411450</v>
      </c>
      <c r="EH25" s="536">
        <v>417983</v>
      </c>
      <c r="EI25" s="536">
        <v>409203</v>
      </c>
      <c r="EJ25" s="536">
        <v>404000</v>
      </c>
      <c r="EK25" s="536">
        <v>401928</v>
      </c>
      <c r="EL25" s="536">
        <v>389436</v>
      </c>
      <c r="EM25" s="536">
        <v>389518</v>
      </c>
      <c r="EN25" s="536">
        <v>386124</v>
      </c>
      <c r="EO25" s="536">
        <v>390735</v>
      </c>
      <c r="EP25" s="536">
        <v>390956</v>
      </c>
      <c r="EQ25" s="536">
        <v>373536</v>
      </c>
      <c r="ER25" s="536">
        <v>346385</v>
      </c>
      <c r="ES25" s="536">
        <v>339293</v>
      </c>
      <c r="ET25" s="536">
        <v>345871</v>
      </c>
      <c r="EU25" s="536">
        <v>353016</v>
      </c>
      <c r="EV25" s="536">
        <v>356906</v>
      </c>
      <c r="EW25" s="536">
        <v>370244</v>
      </c>
      <c r="EX25" s="536">
        <v>384214</v>
      </c>
      <c r="EY25" s="536">
        <v>399644</v>
      </c>
      <c r="EZ25" s="536">
        <v>389031</v>
      </c>
      <c r="FA25" s="536">
        <v>397139</v>
      </c>
      <c r="FB25" s="536">
        <v>395547</v>
      </c>
      <c r="FC25" s="536">
        <v>396676</v>
      </c>
      <c r="FD25" s="536">
        <v>396578</v>
      </c>
      <c r="FE25" s="536">
        <v>396708</v>
      </c>
      <c r="FF25" s="536">
        <v>390539</v>
      </c>
      <c r="FG25" s="536">
        <v>380695</v>
      </c>
      <c r="FH25" s="536">
        <v>371143</v>
      </c>
      <c r="FI25" s="536">
        <v>355407</v>
      </c>
      <c r="FJ25" s="536">
        <v>340408</v>
      </c>
      <c r="FK25" s="536">
        <v>331322</v>
      </c>
      <c r="FL25" s="536">
        <v>321164</v>
      </c>
      <c r="FM25" s="536">
        <v>308551</v>
      </c>
      <c r="FN25" s="536">
        <v>295719</v>
      </c>
      <c r="FO25" s="536">
        <v>284931</v>
      </c>
      <c r="FP25" s="536">
        <v>285437</v>
      </c>
      <c r="FQ25" s="536">
        <v>278929</v>
      </c>
      <c r="FR25" s="536">
        <v>271460</v>
      </c>
      <c r="FS25" s="536">
        <v>271487</v>
      </c>
      <c r="FT25" s="536">
        <v>275610</v>
      </c>
      <c r="FU25" s="536">
        <v>280129</v>
      </c>
      <c r="FV25" s="536">
        <v>294843</v>
      </c>
      <c r="FW25" s="536">
        <v>316380</v>
      </c>
      <c r="FX25" s="536">
        <v>240292</v>
      </c>
      <c r="FY25" s="536">
        <v>230370</v>
      </c>
      <c r="FZ25" s="536">
        <v>225985</v>
      </c>
      <c r="GA25" s="536">
        <v>206546</v>
      </c>
      <c r="GB25" s="536">
        <v>181398</v>
      </c>
      <c r="GC25" s="536">
        <v>159103</v>
      </c>
      <c r="GD25" s="536">
        <v>161482</v>
      </c>
      <c r="GE25" s="536">
        <v>155577</v>
      </c>
      <c r="GF25" s="536">
        <v>145759</v>
      </c>
      <c r="GG25" s="536">
        <v>132931</v>
      </c>
      <c r="GH25" s="536">
        <v>120255</v>
      </c>
      <c r="GI25" s="536">
        <v>107758</v>
      </c>
      <c r="GJ25" s="536">
        <v>93505</v>
      </c>
      <c r="GK25" s="536">
        <v>82264</v>
      </c>
      <c r="GL25" s="536">
        <v>349365</v>
      </c>
    </row>
    <row r="26" spans="1:194" s="8" customFormat="1" x14ac:dyDescent="0.3">
      <c r="A26" s="32" t="s">
        <v>61</v>
      </c>
      <c r="B26" s="581" t="s">
        <v>104</v>
      </c>
      <c r="C26" s="33" t="s">
        <v>105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x14ac:dyDescent="0.3">
      <c r="A27" s="38" t="s">
        <v>61</v>
      </c>
      <c r="B27" s="582" t="s">
        <v>106</v>
      </c>
      <c r="C27" s="39" t="s">
        <v>107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3">
      <c r="A28" s="44"/>
      <c r="B28" s="583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3">
      <c r="A29" s="83" t="s">
        <v>88</v>
      </c>
      <c r="B29" s="584" t="s">
        <v>108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38">
        <f>G29+H29</f>
        <v>246482</v>
      </c>
      <c r="G29" s="538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39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3">
      <c r="A30" s="87" t="s">
        <v>88</v>
      </c>
      <c r="B30" s="584" t="s">
        <v>109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3">
      <c r="A31" s="87" t="s">
        <v>88</v>
      </c>
      <c r="B31" s="584" t="s">
        <v>110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3">
      <c r="A32" s="87" t="s">
        <v>88</v>
      </c>
      <c r="B32" s="584" t="s">
        <v>111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3">
      <c r="A33" s="87" t="s">
        <v>88</v>
      </c>
      <c r="B33" s="584" t="s">
        <v>112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3">
      <c r="A34" s="87" t="s">
        <v>88</v>
      </c>
      <c r="B34" s="584" t="s">
        <v>113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3">
      <c r="A35" s="87" t="s">
        <v>88</v>
      </c>
      <c r="B35" s="584" t="s">
        <v>114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3">
      <c r="A36" s="87" t="s">
        <v>88</v>
      </c>
      <c r="B36" s="584" t="s">
        <v>115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3">
      <c r="A37" s="87" t="s">
        <v>88</v>
      </c>
      <c r="B37" s="584" t="s">
        <v>116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3">
      <c r="A38" s="87" t="s">
        <v>88</v>
      </c>
      <c r="B38" s="584" t="s">
        <v>117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3">
      <c r="A39" s="87" t="s">
        <v>88</v>
      </c>
      <c r="B39" s="584" t="s">
        <v>118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3">
      <c r="A40" s="87" t="s">
        <v>88</v>
      </c>
      <c r="B40" s="584" t="s">
        <v>119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3">
      <c r="A41" s="87" t="s">
        <v>88</v>
      </c>
      <c r="B41" s="584" t="s">
        <v>120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3">
      <c r="A42" s="87" t="s">
        <v>88</v>
      </c>
      <c r="B42" s="584" t="s">
        <v>121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3">
      <c r="A43" s="87" t="s">
        <v>88</v>
      </c>
      <c r="B43" s="584" t="s">
        <v>122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3">
      <c r="A44" s="87" t="s">
        <v>88</v>
      </c>
      <c r="B44" s="584" t="s">
        <v>123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3">
      <c r="A45" s="87" t="s">
        <v>88</v>
      </c>
      <c r="B45" s="584" t="s">
        <v>124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3">
      <c r="A46" s="87" t="s">
        <v>88</v>
      </c>
      <c r="B46" s="584" t="s">
        <v>125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3">
      <c r="A47" s="87" t="s">
        <v>88</v>
      </c>
      <c r="B47" s="584" t="s">
        <v>126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3">
      <c r="A48" s="87" t="s">
        <v>88</v>
      </c>
      <c r="B48" s="584" t="s">
        <v>127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3">
      <c r="A49" s="87" t="s">
        <v>88</v>
      </c>
      <c r="B49" s="584" t="s">
        <v>128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3">
      <c r="A50" s="87" t="s">
        <v>88</v>
      </c>
      <c r="B50" s="584" t="s">
        <v>129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3">
      <c r="A51" s="87" t="s">
        <v>88</v>
      </c>
      <c r="B51" s="584" t="s">
        <v>130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3">
      <c r="A52" s="87" t="s">
        <v>88</v>
      </c>
      <c r="B52" s="584" t="s">
        <v>131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3">
      <c r="A53" s="87" t="s">
        <v>88</v>
      </c>
      <c r="B53" s="584" t="s">
        <v>132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3">
      <c r="A54" s="87" t="s">
        <v>88</v>
      </c>
      <c r="B54" s="584" t="s">
        <v>133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3">
      <c r="A55" s="87" t="s">
        <v>88</v>
      </c>
      <c r="B55" s="584" t="s">
        <v>134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3">
      <c r="A56" s="87" t="s">
        <v>88</v>
      </c>
      <c r="B56" s="584" t="s">
        <v>135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3">
      <c r="A57" s="87" t="s">
        <v>88</v>
      </c>
      <c r="B57" s="584" t="s">
        <v>136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3">
      <c r="A58" s="87" t="s">
        <v>88</v>
      </c>
      <c r="B58" s="584" t="s">
        <v>137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3">
      <c r="A59" s="87" t="s">
        <v>88</v>
      </c>
      <c r="B59" s="584" t="s">
        <v>138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3">
      <c r="A60" s="87" t="s">
        <v>88</v>
      </c>
      <c r="B60" s="584" t="s">
        <v>139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3">
      <c r="A61" s="87" t="s">
        <v>88</v>
      </c>
      <c r="B61" s="584" t="s">
        <v>140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3">
      <c r="A62" s="87" t="s">
        <v>88</v>
      </c>
      <c r="B62" s="584" t="s">
        <v>141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3">
      <c r="A63" s="87" t="s">
        <v>88</v>
      </c>
      <c r="B63" s="584" t="s">
        <v>142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3">
      <c r="A64" s="87" t="s">
        <v>88</v>
      </c>
      <c r="B64" s="584" t="s">
        <v>143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3">
      <c r="A65" s="87" t="s">
        <v>88</v>
      </c>
      <c r="B65" s="584" t="s">
        <v>144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3">
      <c r="A66" s="87" t="s">
        <v>88</v>
      </c>
      <c r="B66" s="584" t="s">
        <v>145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3">
      <c r="A67" s="87" t="s">
        <v>88</v>
      </c>
      <c r="B67" s="584" t="s">
        <v>146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3">
      <c r="A68" s="87" t="s">
        <v>88</v>
      </c>
      <c r="B68" s="584" t="s">
        <v>147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3">
      <c r="A69" s="87" t="s">
        <v>88</v>
      </c>
      <c r="B69" s="584" t="s">
        <v>148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3">
      <c r="A70" s="87" t="s">
        <v>88</v>
      </c>
      <c r="B70" s="584" t="s">
        <v>149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3">
      <c r="A71" s="87" t="s">
        <v>88</v>
      </c>
      <c r="B71" s="584" t="s">
        <v>150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3">
      <c r="A72" s="87" t="s">
        <v>88</v>
      </c>
      <c r="B72" s="584" t="s">
        <v>151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3">
      <c r="A73" s="87" t="s">
        <v>88</v>
      </c>
      <c r="B73" s="584" t="s">
        <v>152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3">
      <c r="A74" s="87" t="s">
        <v>88</v>
      </c>
      <c r="B74" s="584" t="s">
        <v>153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3">
      <c r="A75" s="87" t="s">
        <v>88</v>
      </c>
      <c r="B75" s="584" t="s">
        <v>154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3">
      <c r="A76" s="87" t="s">
        <v>88</v>
      </c>
      <c r="B76" s="584" t="s">
        <v>155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3">
      <c r="A77" s="87" t="s">
        <v>88</v>
      </c>
      <c r="B77" s="584" t="s">
        <v>156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3">
      <c r="A78" s="87" t="s">
        <v>88</v>
      </c>
      <c r="B78" s="584" t="s">
        <v>157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3">
      <c r="A79" s="87" t="s">
        <v>88</v>
      </c>
      <c r="B79" s="584" t="s">
        <v>158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3">
      <c r="A80" s="87" t="s">
        <v>88</v>
      </c>
      <c r="B80" s="584" t="s">
        <v>159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3">
      <c r="A81" s="87" t="s">
        <v>88</v>
      </c>
      <c r="B81" s="584" t="s">
        <v>160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3">
      <c r="A82" s="87" t="s">
        <v>88</v>
      </c>
      <c r="B82" s="584" t="s">
        <v>161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3">
      <c r="A83" s="87" t="s">
        <v>88</v>
      </c>
      <c r="B83" s="584" t="s">
        <v>162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3">
      <c r="A84" s="87" t="s">
        <v>88</v>
      </c>
      <c r="B84" s="584" t="s">
        <v>163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3">
      <c r="A85" s="87" t="s">
        <v>88</v>
      </c>
      <c r="B85" s="584" t="s">
        <v>164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3">
      <c r="A86" s="87" t="s">
        <v>88</v>
      </c>
      <c r="B86" s="584" t="s">
        <v>165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3">
      <c r="A87" s="87" t="s">
        <v>88</v>
      </c>
      <c r="B87" s="584" t="s">
        <v>166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3">
      <c r="A88" s="87" t="s">
        <v>88</v>
      </c>
      <c r="B88" s="584" t="s">
        <v>167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3">
      <c r="A89" s="87" t="s">
        <v>88</v>
      </c>
      <c r="B89" s="584" t="s">
        <v>168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3">
      <c r="A90" s="87" t="s">
        <v>88</v>
      </c>
      <c r="B90" s="584" t="s">
        <v>169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3">
      <c r="A91" s="87" t="s">
        <v>88</v>
      </c>
      <c r="B91" s="584" t="s">
        <v>170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3">
      <c r="A92" s="87" t="s">
        <v>88</v>
      </c>
      <c r="B92" s="584" t="s">
        <v>171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3">
      <c r="A93" s="87" t="s">
        <v>88</v>
      </c>
      <c r="B93" s="584" t="s">
        <v>172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3">
      <c r="A94" s="87" t="s">
        <v>88</v>
      </c>
      <c r="B94" s="584" t="s">
        <v>173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3">
      <c r="A95" s="87" t="s">
        <v>88</v>
      </c>
      <c r="B95" s="584" t="s">
        <v>174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3">
      <c r="A96" s="87" t="s">
        <v>88</v>
      </c>
      <c r="B96" s="584" t="s">
        <v>175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3">
      <c r="A97" s="87" t="s">
        <v>88</v>
      </c>
      <c r="B97" s="584" t="s">
        <v>176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3">
      <c r="A98" s="87" t="s">
        <v>88</v>
      </c>
      <c r="B98" s="584" t="s">
        <v>177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3">
      <c r="A99" s="87" t="s">
        <v>88</v>
      </c>
      <c r="B99" s="584" t="s">
        <v>178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3">
      <c r="A100" s="87" t="s">
        <v>88</v>
      </c>
      <c r="B100" s="584" t="s">
        <v>179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3">
      <c r="A101" s="87" t="s">
        <v>88</v>
      </c>
      <c r="B101" s="584" t="s">
        <v>180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3">
      <c r="A102" s="87" t="s">
        <v>88</v>
      </c>
      <c r="B102" s="584" t="s">
        <v>181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3">
      <c r="A103" s="87" t="s">
        <v>88</v>
      </c>
      <c r="B103" s="584" t="s">
        <v>182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3">
      <c r="A104" s="87" t="s">
        <v>88</v>
      </c>
      <c r="B104" s="584" t="s">
        <v>183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3">
      <c r="A105" s="87" t="s">
        <v>88</v>
      </c>
      <c r="B105" s="584" t="s">
        <v>184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3">
      <c r="A106" s="87" t="s">
        <v>88</v>
      </c>
      <c r="B106" s="584" t="s">
        <v>185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3">
      <c r="A107" s="87" t="s">
        <v>88</v>
      </c>
      <c r="B107" s="584" t="s">
        <v>186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3">
      <c r="A108" s="87" t="s">
        <v>88</v>
      </c>
      <c r="B108" s="584" t="s">
        <v>187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3">
      <c r="A109" s="87" t="s">
        <v>88</v>
      </c>
      <c r="B109" s="584" t="s">
        <v>188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3">
      <c r="A110" s="87" t="s">
        <v>88</v>
      </c>
      <c r="B110" s="584" t="s">
        <v>189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3">
      <c r="A111" s="87" t="s">
        <v>88</v>
      </c>
      <c r="B111" s="584" t="s">
        <v>190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3">
      <c r="A112" s="87" t="s">
        <v>88</v>
      </c>
      <c r="B112" s="584" t="s">
        <v>191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3">
      <c r="A113" s="87" t="s">
        <v>88</v>
      </c>
      <c r="B113" s="584" t="s">
        <v>192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3">
      <c r="A114" s="87" t="s">
        <v>88</v>
      </c>
      <c r="B114" s="584" t="s">
        <v>193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3">
      <c r="A115" s="87" t="s">
        <v>88</v>
      </c>
      <c r="B115" s="584" t="s">
        <v>194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3">
      <c r="A116" s="87" t="s">
        <v>88</v>
      </c>
      <c r="B116" s="584" t="s">
        <v>195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3">
      <c r="A117" s="87" t="s">
        <v>88</v>
      </c>
      <c r="B117" s="584" t="s">
        <v>196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3">
      <c r="A118" s="87" t="s">
        <v>88</v>
      </c>
      <c r="B118" s="584" t="s">
        <v>197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3">
      <c r="A119" s="87" t="s">
        <v>88</v>
      </c>
      <c r="B119" s="584" t="s">
        <v>198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3">
      <c r="A120" s="87" t="s">
        <v>88</v>
      </c>
      <c r="B120" s="584" t="s">
        <v>199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3">
      <c r="A121" s="87" t="s">
        <v>88</v>
      </c>
      <c r="B121" s="584" t="s">
        <v>200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3">
      <c r="A122" s="87" t="s">
        <v>88</v>
      </c>
      <c r="B122" s="584" t="s">
        <v>201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3">
      <c r="A123" s="87" t="s">
        <v>88</v>
      </c>
      <c r="B123" s="584" t="s">
        <v>202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3">
      <c r="A124" s="87" t="s">
        <v>88</v>
      </c>
      <c r="B124" s="584" t="s">
        <v>203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3">
      <c r="A125" s="87" t="s">
        <v>88</v>
      </c>
      <c r="B125" s="584" t="s">
        <v>204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3">
      <c r="A126" s="87" t="s">
        <v>88</v>
      </c>
      <c r="B126" s="584" t="s">
        <v>205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3">
      <c r="A127" s="87" t="s">
        <v>88</v>
      </c>
      <c r="B127" s="584" t="s">
        <v>206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3">
      <c r="A128" s="87" t="s">
        <v>88</v>
      </c>
      <c r="B128" s="584" t="s">
        <v>207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3">
      <c r="A129" s="87" t="s">
        <v>88</v>
      </c>
      <c r="B129" s="584" t="s">
        <v>208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3">
      <c r="A130" s="87" t="s">
        <v>88</v>
      </c>
      <c r="B130" s="584" t="s">
        <v>209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3">
      <c r="A131" s="87" t="s">
        <v>88</v>
      </c>
      <c r="B131" s="584" t="s">
        <v>210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3">
      <c r="A132" s="87" t="s">
        <v>88</v>
      </c>
      <c r="B132" s="584" t="s">
        <v>211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3">
      <c r="A133" s="87" t="s">
        <v>88</v>
      </c>
      <c r="B133" s="584" t="s">
        <v>212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3">
      <c r="A134" s="87" t="s">
        <v>88</v>
      </c>
      <c r="B134" s="584" t="s">
        <v>213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x14ac:dyDescent="0.3">
      <c r="A135" s="113"/>
      <c r="B135" s="585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3">
      <c r="A136" s="54" t="s">
        <v>67</v>
      </c>
      <c r="B136" s="586" t="s">
        <v>214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3">
      <c r="A137" s="54" t="s">
        <v>67</v>
      </c>
      <c r="B137" s="587" t="s">
        <v>215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3">
      <c r="A138" s="54" t="s">
        <v>67</v>
      </c>
      <c r="B138" s="587" t="s">
        <v>216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3">
      <c r="A139" s="54" t="s">
        <v>67</v>
      </c>
      <c r="B139" s="587" t="s">
        <v>217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3">
      <c r="A140" s="54" t="s">
        <v>67</v>
      </c>
      <c r="B140" s="587" t="s">
        <v>218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3">
      <c r="A141" s="54" t="s">
        <v>67</v>
      </c>
      <c r="B141" s="587" t="s">
        <v>219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3">
      <c r="A142" s="55" t="s">
        <v>67</v>
      </c>
      <c r="B142" s="588" t="s">
        <v>220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x14ac:dyDescent="0.3">
      <c r="A143" s="117"/>
      <c r="B143" s="589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3">
      <c r="A144" s="59" t="s">
        <v>70</v>
      </c>
      <c r="B144" s="586" t="s">
        <v>221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38">
        <f>G144+H144</f>
        <v>364103.61922965694</v>
      </c>
      <c r="G144" s="538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39">
        <f>SUM(M144:AD144)</f>
        <v>38954.196552201036</v>
      </c>
      <c r="L144" s="61">
        <f>SUM(CZ144:DQ144)</f>
        <v>37048.788099800979</v>
      </c>
      <c r="M144" s="539">
        <v>2017.8952120383037</v>
      </c>
      <c r="N144" s="539">
        <v>2031.4154300095463</v>
      </c>
      <c r="O144" s="539">
        <v>2025.5722779004586</v>
      </c>
      <c r="P144" s="539">
        <v>2036.6363244919048</v>
      </c>
      <c r="Q144" s="539">
        <v>2174.8657606103957</v>
      </c>
      <c r="R144" s="539">
        <v>2139.1275684252282</v>
      </c>
      <c r="S144" s="539">
        <v>2269.8788621098379</v>
      </c>
      <c r="T144" s="539">
        <v>2199.8731034482757</v>
      </c>
      <c r="U144" s="539">
        <v>2214.1918960244648</v>
      </c>
      <c r="V144" s="539">
        <v>2323.0202012443356</v>
      </c>
      <c r="W144" s="539">
        <v>2319.2258355916892</v>
      </c>
      <c r="X144" s="539">
        <v>2302.9974595842955</v>
      </c>
      <c r="Y144" s="539">
        <v>2256.5049293083684</v>
      </c>
      <c r="Z144" s="539">
        <v>2212.0418107754977</v>
      </c>
      <c r="AA144" s="539">
        <v>2229.1199141767324</v>
      </c>
      <c r="AB144" s="539">
        <v>2134.8894582108355</v>
      </c>
      <c r="AC144" s="539">
        <v>2012.6591474539725</v>
      </c>
      <c r="AD144" s="539">
        <v>2054.2813607968933</v>
      </c>
      <c r="AE144" s="539">
        <v>2265.0450211864404</v>
      </c>
      <c r="AF144" s="539">
        <v>2804.7232134687529</v>
      </c>
      <c r="AG144" s="539">
        <v>2878.6458486407055</v>
      </c>
      <c r="AH144" s="539">
        <v>2648.2416475163518</v>
      </c>
      <c r="AI144" s="539">
        <v>2812.8031562871206</v>
      </c>
      <c r="AJ144" s="539">
        <v>2819.1729711141679</v>
      </c>
      <c r="AK144" s="539">
        <v>2731.7522704339053</v>
      </c>
      <c r="AL144" s="539">
        <v>2754.8174718956493</v>
      </c>
      <c r="AM144" s="539">
        <v>2792.2450211225105</v>
      </c>
      <c r="AN144" s="539">
        <v>2709.9772329246935</v>
      </c>
      <c r="AO144" s="539">
        <v>2693.0545391183132</v>
      </c>
      <c r="AP144" s="539">
        <v>2739.741847362131</v>
      </c>
      <c r="AQ144" s="539">
        <v>2738.9105892047796</v>
      </c>
      <c r="AR144" s="539">
        <v>2711.0666008067833</v>
      </c>
      <c r="AS144" s="539">
        <v>2782.8070289619263</v>
      </c>
      <c r="AT144" s="539">
        <v>2691.3420944220152</v>
      </c>
      <c r="AU144" s="539">
        <v>2575.2371291098634</v>
      </c>
      <c r="AV144" s="539">
        <v>2616.3572226656024</v>
      </c>
      <c r="AW144" s="539">
        <v>2585.9089460686691</v>
      </c>
      <c r="AX144" s="539">
        <v>2533.264568094025</v>
      </c>
      <c r="AY144" s="539">
        <v>2413.1614349775782</v>
      </c>
      <c r="AZ144" s="539">
        <v>2431.4496314496314</v>
      </c>
      <c r="BA144" s="539">
        <v>2293.8903732491299</v>
      </c>
      <c r="BB144" s="539">
        <v>2344.819097470061</v>
      </c>
      <c r="BC144" s="539">
        <v>2403.7633319021038</v>
      </c>
      <c r="BD144" s="539">
        <v>2239.8626248466794</v>
      </c>
      <c r="BE144" s="539">
        <v>2047.4737312365976</v>
      </c>
      <c r="BF144" s="539">
        <v>2052.8353243075835</v>
      </c>
      <c r="BG144" s="539">
        <v>1984.3233076189651</v>
      </c>
      <c r="BH144" s="539">
        <v>1967.3126347206103</v>
      </c>
      <c r="BI144" s="539">
        <v>1977.5348837209303</v>
      </c>
      <c r="BJ144" s="539">
        <v>2084.857469993683</v>
      </c>
      <c r="BK144" s="539">
        <v>2131.2999446158715</v>
      </c>
      <c r="BL144" s="539">
        <v>2143.6819436775263</v>
      </c>
      <c r="BM144" s="539">
        <v>2073.8563380281689</v>
      </c>
      <c r="BN144" s="539">
        <v>2300.7910402197972</v>
      </c>
      <c r="BO144" s="539">
        <v>2326.6164287385909</v>
      </c>
      <c r="BP144" s="539">
        <v>2307.9060786106033</v>
      </c>
      <c r="BQ144" s="539">
        <v>2344.6145362640732</v>
      </c>
      <c r="BR144" s="539">
        <v>2368.012116504854</v>
      </c>
      <c r="BS144" s="539">
        <v>2252.978437722139</v>
      </c>
      <c r="BT144" s="539">
        <v>2241.3179516972359</v>
      </c>
      <c r="BU144" s="539">
        <v>2297.6054466954502</v>
      </c>
      <c r="BV144" s="539">
        <v>2198.0522088353414</v>
      </c>
      <c r="BW144" s="539">
        <v>2021.5031326614003</v>
      </c>
      <c r="BX144" s="539">
        <v>2002.5265144540601</v>
      </c>
      <c r="BY144" s="539">
        <v>1890.3538506703198</v>
      </c>
      <c r="BZ144" s="539">
        <v>1822.7951142631994</v>
      </c>
      <c r="CA144" s="539">
        <v>1687.8206664564279</v>
      </c>
      <c r="CB144" s="539">
        <v>1588.8602704443015</v>
      </c>
      <c r="CC144" s="539">
        <v>1552.3684032476319</v>
      </c>
      <c r="CD144" s="539">
        <v>1527.1244533743056</v>
      </c>
      <c r="CE144" s="539">
        <v>1273.9034871433603</v>
      </c>
      <c r="CF144" s="539">
        <v>1290.2680573978055</v>
      </c>
      <c r="CG144" s="539">
        <v>1292.323121170439</v>
      </c>
      <c r="CH144" s="539">
        <v>1203.3575933400607</v>
      </c>
      <c r="CI144" s="539">
        <v>1137.5975561687032</v>
      </c>
      <c r="CJ144" s="539">
        <v>1181.2559576345984</v>
      </c>
      <c r="CK144" s="539">
        <v>1033.272138554217</v>
      </c>
      <c r="CL144" s="539">
        <v>966.99722735674675</v>
      </c>
      <c r="CM144" s="539">
        <v>986.02355350742448</v>
      </c>
      <c r="CN144" s="539">
        <v>974.00968523002427</v>
      </c>
      <c r="CO144" s="539">
        <v>796.9</v>
      </c>
      <c r="CP144" s="539">
        <v>696.19117288466236</v>
      </c>
      <c r="CQ144" s="539">
        <v>621.99595857539782</v>
      </c>
      <c r="CR144" s="539">
        <v>600.77992957746471</v>
      </c>
      <c r="CS144" s="539">
        <v>583.85111740635818</v>
      </c>
      <c r="CT144" s="539">
        <v>522.79582712369597</v>
      </c>
      <c r="CU144" s="539">
        <v>452.41860465116281</v>
      </c>
      <c r="CV144" s="539">
        <v>372.84571129707109</v>
      </c>
      <c r="CW144" s="539">
        <v>312.34061135371184</v>
      </c>
      <c r="CX144" s="539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3">
      <c r="A145" s="59" t="s">
        <v>70</v>
      </c>
      <c r="B145" s="587" t="s">
        <v>222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3">
      <c r="A146" s="59" t="s">
        <v>70</v>
      </c>
      <c r="B146" s="587" t="s">
        <v>223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3">
      <c r="A147" s="59" t="s">
        <v>70</v>
      </c>
      <c r="B147" s="587" t="s">
        <v>224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3">
      <c r="A148" s="63" t="s">
        <v>70</v>
      </c>
      <c r="B148" s="588" t="s">
        <v>225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x14ac:dyDescent="0.3">
      <c r="A149" s="117"/>
      <c r="B149" s="589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3">
      <c r="A150" s="73" t="s">
        <v>65</v>
      </c>
      <c r="B150" s="590" t="s">
        <v>226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38">
        <f t="shared" ref="F150:F156" si="36">G150+H150</f>
        <v>6398497</v>
      </c>
      <c r="G150" s="538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39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3">
      <c r="A151" s="64" t="s">
        <v>65</v>
      </c>
      <c r="B151" s="590" t="s">
        <v>227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3">
      <c r="A152" s="64" t="s">
        <v>65</v>
      </c>
      <c r="B152" s="590" t="s">
        <v>228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3">
      <c r="A153" s="64" t="s">
        <v>65</v>
      </c>
      <c r="B153" s="590" t="s">
        <v>229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3">
      <c r="A154" s="64" t="s">
        <v>65</v>
      </c>
      <c r="B154" s="590" t="s">
        <v>230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3">
      <c r="A155" s="64" t="s">
        <v>65</v>
      </c>
      <c r="B155" s="590" t="s">
        <v>231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3">
      <c r="A156" s="140" t="s">
        <v>65</v>
      </c>
      <c r="B156" s="590" t="s">
        <v>232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x14ac:dyDescent="0.3">
      <c r="A157" s="118"/>
      <c r="B157" s="591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37"/>
      <c r="O157" s="537"/>
      <c r="P157" s="537"/>
      <c r="Q157" s="537"/>
      <c r="R157" s="537"/>
      <c r="S157" s="537"/>
      <c r="T157" s="537"/>
      <c r="U157" s="537"/>
      <c r="V157" s="537"/>
      <c r="W157" s="537"/>
      <c r="X157" s="537"/>
      <c r="Y157" s="537"/>
      <c r="Z157" s="537"/>
      <c r="AA157" s="537"/>
      <c r="AB157" s="537"/>
      <c r="AC157" s="537"/>
      <c r="AD157" s="537"/>
      <c r="AE157" s="537"/>
      <c r="AF157" s="537"/>
      <c r="AG157" s="537"/>
      <c r="AH157" s="537"/>
      <c r="AI157" s="537"/>
      <c r="AJ157" s="537"/>
      <c r="AK157" s="537"/>
      <c r="AL157" s="537"/>
      <c r="AM157" s="537"/>
      <c r="AN157" s="537"/>
      <c r="AO157" s="537"/>
      <c r="AP157" s="537"/>
      <c r="AQ157" s="537"/>
      <c r="AR157" s="537"/>
      <c r="AS157" s="537"/>
      <c r="AT157" s="537"/>
      <c r="AU157" s="537"/>
      <c r="AV157" s="537"/>
      <c r="AW157" s="537"/>
      <c r="AX157" s="537"/>
      <c r="AY157" s="537"/>
      <c r="AZ157" s="537"/>
      <c r="BA157" s="537"/>
      <c r="BB157" s="537"/>
      <c r="BC157" s="537"/>
      <c r="BD157" s="537"/>
      <c r="BE157" s="537"/>
      <c r="BF157" s="537"/>
      <c r="BG157" s="537"/>
      <c r="BH157" s="537"/>
      <c r="BI157" s="537"/>
      <c r="BJ157" s="537"/>
      <c r="BK157" s="537"/>
      <c r="BL157" s="537"/>
      <c r="BM157" s="537"/>
      <c r="BN157" s="537"/>
      <c r="BO157" s="537"/>
      <c r="BP157" s="537"/>
      <c r="BQ157" s="537"/>
      <c r="BR157" s="537"/>
      <c r="BS157" s="537"/>
      <c r="BT157" s="537"/>
      <c r="BU157" s="537"/>
      <c r="BV157" s="537"/>
      <c r="BW157" s="537"/>
      <c r="BX157" s="537"/>
      <c r="BY157" s="537"/>
      <c r="BZ157" s="537"/>
      <c r="CA157" s="537"/>
      <c r="CB157" s="537"/>
      <c r="CC157" s="537"/>
      <c r="CD157" s="537"/>
      <c r="CE157" s="537"/>
      <c r="CF157" s="537"/>
      <c r="CG157" s="537"/>
      <c r="CH157" s="537"/>
      <c r="CI157" s="537"/>
      <c r="CJ157" s="537"/>
      <c r="CK157" s="537"/>
      <c r="CL157" s="537"/>
      <c r="CM157" s="537"/>
      <c r="CN157" s="537"/>
      <c r="CO157" s="537"/>
      <c r="CP157" s="537"/>
      <c r="CQ157" s="537"/>
      <c r="CR157" s="537"/>
      <c r="CS157" s="537"/>
      <c r="CT157" s="537"/>
      <c r="CU157" s="537"/>
      <c r="CV157" s="537"/>
      <c r="CW157" s="537"/>
      <c r="CX157" s="537"/>
      <c r="CY157" s="77"/>
      <c r="CZ157" s="119"/>
      <c r="DA157" s="537"/>
      <c r="DB157" s="537"/>
      <c r="DC157" s="537"/>
      <c r="DD157" s="537"/>
      <c r="DE157" s="537"/>
      <c r="DF157" s="537"/>
      <c r="DG157" s="537"/>
      <c r="DH157" s="537"/>
      <c r="DI157" s="537"/>
      <c r="DJ157" s="537"/>
      <c r="DK157" s="537"/>
      <c r="DL157" s="537"/>
      <c r="DM157" s="537"/>
      <c r="DN157" s="537"/>
      <c r="DO157" s="537"/>
      <c r="DP157" s="537"/>
      <c r="DQ157" s="537"/>
      <c r="DR157" s="537"/>
      <c r="DS157" s="537"/>
      <c r="DT157" s="537"/>
      <c r="DU157" s="537"/>
      <c r="DV157" s="537"/>
      <c r="DW157" s="537"/>
      <c r="DX157" s="537"/>
      <c r="DY157" s="537"/>
      <c r="DZ157" s="537"/>
      <c r="EA157" s="537"/>
      <c r="EB157" s="537"/>
      <c r="EC157" s="537"/>
      <c r="ED157" s="537"/>
      <c r="EE157" s="537"/>
      <c r="EF157" s="537"/>
      <c r="EG157" s="537"/>
      <c r="EH157" s="537"/>
      <c r="EI157" s="537"/>
      <c r="EJ157" s="537"/>
      <c r="EK157" s="537"/>
      <c r="EL157" s="537"/>
      <c r="EM157" s="537"/>
      <c r="EN157" s="537"/>
      <c r="EO157" s="537"/>
      <c r="EP157" s="537"/>
      <c r="EQ157" s="537"/>
      <c r="ER157" s="537"/>
      <c r="ES157" s="537"/>
      <c r="ET157" s="537"/>
      <c r="EU157" s="537"/>
      <c r="EV157" s="537"/>
      <c r="EW157" s="537"/>
      <c r="EX157" s="537"/>
      <c r="EY157" s="537"/>
      <c r="EZ157" s="537"/>
      <c r="FA157" s="537"/>
      <c r="FB157" s="537"/>
      <c r="FC157" s="537"/>
      <c r="FD157" s="537"/>
      <c r="FE157" s="537"/>
      <c r="FF157" s="537"/>
      <c r="FG157" s="537"/>
      <c r="FH157" s="537"/>
      <c r="FI157" s="537"/>
      <c r="FJ157" s="537"/>
      <c r="FK157" s="537"/>
      <c r="FL157" s="537"/>
      <c r="FM157" s="537"/>
      <c r="FN157" s="537"/>
      <c r="FO157" s="537"/>
      <c r="FP157" s="537"/>
      <c r="FQ157" s="537"/>
      <c r="FR157" s="537"/>
      <c r="FS157" s="537"/>
      <c r="FT157" s="537"/>
      <c r="FU157" s="537"/>
      <c r="FV157" s="537"/>
      <c r="FW157" s="537"/>
      <c r="FX157" s="537"/>
      <c r="FY157" s="537"/>
      <c r="FZ157" s="537"/>
      <c r="GA157" s="537"/>
      <c r="GB157" s="537"/>
      <c r="GC157" s="537"/>
      <c r="GD157" s="537"/>
      <c r="GE157" s="537"/>
      <c r="GF157" s="537"/>
      <c r="GG157" s="537"/>
      <c r="GH157" s="537"/>
      <c r="GI157" s="537"/>
      <c r="GJ157" s="537"/>
      <c r="GK157" s="537"/>
      <c r="GL157" s="77"/>
    </row>
    <row r="158" spans="1:194" s="1" customFormat="1" x14ac:dyDescent="0.3">
      <c r="A158" s="108" t="s">
        <v>57</v>
      </c>
      <c r="B158" s="592" t="s">
        <v>233</v>
      </c>
      <c r="C158" s="540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38">
        <f t="shared" ref="G158:G163" si="47">SUM(M158:CY158)</f>
        <v>470982</v>
      </c>
      <c r="H158" s="62">
        <f t="shared" ref="H158:H163" si="48">SUM(CZ158:GL158)</f>
        <v>482870</v>
      </c>
      <c r="I158" s="538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39">
        <v>4706</v>
      </c>
      <c r="O158" s="539">
        <v>4907</v>
      </c>
      <c r="P158" s="539">
        <v>5108</v>
      </c>
      <c r="Q158" s="539">
        <v>5293</v>
      </c>
      <c r="R158" s="539">
        <v>5287</v>
      </c>
      <c r="S158" s="539">
        <v>5628</v>
      </c>
      <c r="T158" s="539">
        <v>5623</v>
      </c>
      <c r="U158" s="539">
        <v>5617</v>
      </c>
      <c r="V158" s="539">
        <v>5799</v>
      </c>
      <c r="W158" s="539">
        <v>6160</v>
      </c>
      <c r="X158" s="539">
        <v>6033</v>
      </c>
      <c r="Y158" s="539">
        <v>5955</v>
      </c>
      <c r="Z158" s="539">
        <v>5803</v>
      </c>
      <c r="AA158" s="539">
        <v>5710</v>
      </c>
      <c r="AB158" s="539">
        <v>5605</v>
      </c>
      <c r="AC158" s="539">
        <v>5496</v>
      </c>
      <c r="AD158" s="539">
        <v>5413</v>
      </c>
      <c r="AE158" s="539">
        <v>5967</v>
      </c>
      <c r="AF158" s="539">
        <v>6678</v>
      </c>
      <c r="AG158" s="539">
        <v>6216</v>
      </c>
      <c r="AH158" s="539">
        <v>5569</v>
      </c>
      <c r="AI158" s="539">
        <v>5932</v>
      </c>
      <c r="AJ158" s="539">
        <v>5961</v>
      </c>
      <c r="AK158" s="539">
        <v>5644</v>
      </c>
      <c r="AL158" s="539">
        <v>5569</v>
      </c>
      <c r="AM158" s="539">
        <v>5603</v>
      </c>
      <c r="AN158" s="539">
        <v>5436</v>
      </c>
      <c r="AO158" s="539">
        <v>5723</v>
      </c>
      <c r="AP158" s="539">
        <v>5509</v>
      </c>
      <c r="AQ158" s="539">
        <v>5906</v>
      </c>
      <c r="AR158" s="539">
        <v>5926</v>
      </c>
      <c r="AS158" s="539">
        <v>5999</v>
      </c>
      <c r="AT158" s="539">
        <v>5968</v>
      </c>
      <c r="AU158" s="539">
        <v>6124</v>
      </c>
      <c r="AV158" s="539">
        <v>6089</v>
      </c>
      <c r="AW158" s="539">
        <v>6037</v>
      </c>
      <c r="AX158" s="539">
        <v>5950</v>
      </c>
      <c r="AY158" s="539">
        <v>6029</v>
      </c>
      <c r="AZ158" s="539">
        <v>5880</v>
      </c>
      <c r="BA158" s="539">
        <v>5821</v>
      </c>
      <c r="BB158" s="539">
        <v>5960</v>
      </c>
      <c r="BC158" s="539">
        <v>6033</v>
      </c>
      <c r="BD158" s="539">
        <v>5922</v>
      </c>
      <c r="BE158" s="539">
        <v>5375</v>
      </c>
      <c r="BF158" s="539">
        <v>5274</v>
      </c>
      <c r="BG158" s="539">
        <v>5437</v>
      </c>
      <c r="BH158" s="539">
        <v>5820</v>
      </c>
      <c r="BI158" s="539">
        <v>5866</v>
      </c>
      <c r="BJ158" s="539">
        <v>6432</v>
      </c>
      <c r="BK158" s="539">
        <v>6631</v>
      </c>
      <c r="BL158" s="539">
        <v>6700</v>
      </c>
      <c r="BM158" s="539">
        <v>6536</v>
      </c>
      <c r="BN158" s="539">
        <v>6527</v>
      </c>
      <c r="BO158" s="539">
        <v>6586</v>
      </c>
      <c r="BP158" s="539">
        <v>6746</v>
      </c>
      <c r="BQ158" s="539">
        <v>6723</v>
      </c>
      <c r="BR158" s="539">
        <v>6887</v>
      </c>
      <c r="BS158" s="539">
        <v>6661</v>
      </c>
      <c r="BT158" s="539">
        <v>6550</v>
      </c>
      <c r="BU158" s="539">
        <v>6440</v>
      </c>
      <c r="BV158" s="539">
        <v>6192</v>
      </c>
      <c r="BW158" s="539">
        <v>5977</v>
      </c>
      <c r="BX158" s="539">
        <v>5691</v>
      </c>
      <c r="BY158" s="539">
        <v>5371</v>
      </c>
      <c r="BZ158" s="539">
        <v>5135</v>
      </c>
      <c r="CA158" s="539">
        <v>4863</v>
      </c>
      <c r="CB158" s="539">
        <v>4730</v>
      </c>
      <c r="CC158" s="539">
        <v>4797</v>
      </c>
      <c r="CD158" s="539">
        <v>4544</v>
      </c>
      <c r="CE158" s="539">
        <v>4485</v>
      </c>
      <c r="CF158" s="539">
        <v>4422</v>
      </c>
      <c r="CG158" s="539">
        <v>4421</v>
      </c>
      <c r="CH158" s="539">
        <v>4529</v>
      </c>
      <c r="CI158" s="539">
        <v>4861</v>
      </c>
      <c r="CJ158" s="539">
        <v>5197</v>
      </c>
      <c r="CK158" s="539">
        <v>3865</v>
      </c>
      <c r="CL158" s="539">
        <v>3773</v>
      </c>
      <c r="CM158" s="539">
        <v>3497</v>
      </c>
      <c r="CN158" s="539">
        <v>3141</v>
      </c>
      <c r="CO158" s="539">
        <v>2804</v>
      </c>
      <c r="CP158" s="539">
        <v>2380</v>
      </c>
      <c r="CQ158" s="539">
        <v>2335</v>
      </c>
      <c r="CR158" s="539">
        <v>2209</v>
      </c>
      <c r="CS158" s="539">
        <v>2008</v>
      </c>
      <c r="CT158" s="539">
        <v>1804</v>
      </c>
      <c r="CU158" s="539">
        <v>1625</v>
      </c>
      <c r="CV158" s="539">
        <v>1368</v>
      </c>
      <c r="CW158" s="539">
        <v>1144</v>
      </c>
      <c r="CX158" s="539">
        <v>1023</v>
      </c>
      <c r="CY158" s="61">
        <v>3359</v>
      </c>
      <c r="CZ158" s="106">
        <v>4395</v>
      </c>
      <c r="DA158" s="539">
        <v>4569</v>
      </c>
      <c r="DB158" s="539">
        <v>4724</v>
      </c>
      <c r="DC158" s="539">
        <v>4830</v>
      </c>
      <c r="DD158" s="539">
        <v>5033</v>
      </c>
      <c r="DE158" s="539">
        <v>5193</v>
      </c>
      <c r="DF158" s="539">
        <v>5362</v>
      </c>
      <c r="DG158" s="539">
        <v>5295</v>
      </c>
      <c r="DH158" s="539">
        <v>5344</v>
      </c>
      <c r="DI158" s="539">
        <v>5565</v>
      </c>
      <c r="DJ158" s="539">
        <v>5551</v>
      </c>
      <c r="DK158" s="539">
        <v>5719</v>
      </c>
      <c r="DL158" s="539">
        <v>5546</v>
      </c>
      <c r="DM158" s="539">
        <v>5549</v>
      </c>
      <c r="DN158" s="539">
        <v>5624</v>
      </c>
      <c r="DO158" s="539">
        <v>5574</v>
      </c>
      <c r="DP158" s="539">
        <v>5184</v>
      </c>
      <c r="DQ158" s="539">
        <v>5221</v>
      </c>
      <c r="DR158" s="539">
        <v>5415</v>
      </c>
      <c r="DS158" s="539">
        <v>5600</v>
      </c>
      <c r="DT158" s="539">
        <v>5189</v>
      </c>
      <c r="DU158" s="539">
        <v>4912</v>
      </c>
      <c r="DV158" s="539">
        <v>5426</v>
      </c>
      <c r="DW158" s="539">
        <v>5137</v>
      </c>
      <c r="DX158" s="539">
        <v>5128</v>
      </c>
      <c r="DY158" s="539">
        <v>5294</v>
      </c>
      <c r="DZ158" s="539">
        <v>5013</v>
      </c>
      <c r="EA158" s="539">
        <v>5302</v>
      </c>
      <c r="EB158" s="539">
        <v>5698</v>
      </c>
      <c r="EC158" s="539">
        <v>5815</v>
      </c>
      <c r="ED158" s="539">
        <v>5939</v>
      </c>
      <c r="EE158" s="539">
        <v>6272</v>
      </c>
      <c r="EF158" s="539">
        <v>6263</v>
      </c>
      <c r="EG158" s="539">
        <v>6313</v>
      </c>
      <c r="EH158" s="539">
        <v>6318</v>
      </c>
      <c r="EI158" s="539">
        <v>6535</v>
      </c>
      <c r="EJ158" s="539">
        <v>6131</v>
      </c>
      <c r="EK158" s="539">
        <v>6244</v>
      </c>
      <c r="EL158" s="539">
        <v>6165</v>
      </c>
      <c r="EM158" s="539">
        <v>5942</v>
      </c>
      <c r="EN158" s="539">
        <v>6211</v>
      </c>
      <c r="EO158" s="539">
        <v>6218</v>
      </c>
      <c r="EP158" s="539">
        <v>6104</v>
      </c>
      <c r="EQ158" s="539">
        <v>5799</v>
      </c>
      <c r="ER158" s="539">
        <v>5574</v>
      </c>
      <c r="ES158" s="539">
        <v>5586</v>
      </c>
      <c r="ET158" s="539">
        <v>5770</v>
      </c>
      <c r="EU158" s="539">
        <v>5831</v>
      </c>
      <c r="EV158" s="539">
        <v>6251</v>
      </c>
      <c r="EW158" s="539">
        <v>6563</v>
      </c>
      <c r="EX158" s="539">
        <v>6923</v>
      </c>
      <c r="EY158" s="539">
        <v>6736</v>
      </c>
      <c r="EZ158" s="539">
        <v>6661</v>
      </c>
      <c r="FA158" s="539">
        <v>6860</v>
      </c>
      <c r="FB158" s="539">
        <v>6795</v>
      </c>
      <c r="FC158" s="539">
        <v>7093</v>
      </c>
      <c r="FD158" s="539">
        <v>7056</v>
      </c>
      <c r="FE158" s="539">
        <v>6890</v>
      </c>
      <c r="FF158" s="539">
        <v>6926</v>
      </c>
      <c r="FG158" s="539">
        <v>6551</v>
      </c>
      <c r="FH158" s="539">
        <v>6513</v>
      </c>
      <c r="FI158" s="539">
        <v>6413</v>
      </c>
      <c r="FJ158" s="539">
        <v>5897</v>
      </c>
      <c r="FK158" s="539">
        <v>5838</v>
      </c>
      <c r="FL158" s="539">
        <v>5643</v>
      </c>
      <c r="FM158" s="539">
        <v>5384</v>
      </c>
      <c r="FN158" s="539">
        <v>5189</v>
      </c>
      <c r="FO158" s="539">
        <v>5034</v>
      </c>
      <c r="FP158" s="539">
        <v>5088</v>
      </c>
      <c r="FQ158" s="539">
        <v>5112</v>
      </c>
      <c r="FR158" s="539">
        <v>4845</v>
      </c>
      <c r="FS158" s="539">
        <v>4831</v>
      </c>
      <c r="FT158" s="539">
        <v>4917</v>
      </c>
      <c r="FU158" s="539">
        <v>5074</v>
      </c>
      <c r="FV158" s="539">
        <v>5409</v>
      </c>
      <c r="FW158" s="539">
        <v>5546</v>
      </c>
      <c r="FX158" s="539">
        <v>4375</v>
      </c>
      <c r="FY158" s="539">
        <v>4296</v>
      </c>
      <c r="FZ158" s="539">
        <v>4189</v>
      </c>
      <c r="GA158" s="539">
        <v>3718</v>
      </c>
      <c r="GB158" s="539">
        <v>3306</v>
      </c>
      <c r="GC158" s="539">
        <v>2846</v>
      </c>
      <c r="GD158" s="539">
        <v>2931</v>
      </c>
      <c r="GE158" s="539">
        <v>2828</v>
      </c>
      <c r="GF158" s="539">
        <v>2632</v>
      </c>
      <c r="GG158" s="539">
        <v>2327</v>
      </c>
      <c r="GH158" s="539">
        <v>2137</v>
      </c>
      <c r="GI158" s="539">
        <v>1982</v>
      </c>
      <c r="GJ158" s="539">
        <v>1693</v>
      </c>
      <c r="GK158" s="539">
        <v>1476</v>
      </c>
      <c r="GL158" s="61">
        <v>6674</v>
      </c>
    </row>
    <row r="159" spans="1:194" s="1" customFormat="1" x14ac:dyDescent="0.3">
      <c r="A159" s="110" t="s">
        <v>57</v>
      </c>
      <c r="B159" s="593" t="s">
        <v>234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3">
      <c r="A160" s="110" t="s">
        <v>57</v>
      </c>
      <c r="B160" s="593" t="s">
        <v>235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3">
      <c r="A161" s="110" t="s">
        <v>57</v>
      </c>
      <c r="B161" s="593" t="s">
        <v>236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3">
      <c r="A162" s="110" t="s">
        <v>57</v>
      </c>
      <c r="B162" s="593" t="s">
        <v>237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3">
      <c r="A163" s="110" t="s">
        <v>57</v>
      </c>
      <c r="B163" s="593" t="s">
        <v>238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3">
      <c r="A164" s="110" t="s">
        <v>57</v>
      </c>
      <c r="B164" s="593" t="s">
        <v>239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3">
      <c r="A165" s="110" t="s">
        <v>57</v>
      </c>
      <c r="B165" s="593" t="s">
        <v>240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3">
      <c r="A166" s="110" t="s">
        <v>57</v>
      </c>
      <c r="B166" s="593" t="s">
        <v>241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3">
      <c r="A167" s="110" t="s">
        <v>57</v>
      </c>
      <c r="B167" s="593" t="s">
        <v>242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3">
      <c r="A168" s="110" t="s">
        <v>57</v>
      </c>
      <c r="B168" s="593" t="s">
        <v>243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3">
      <c r="A169" s="110" t="s">
        <v>57</v>
      </c>
      <c r="B169" s="593" t="s">
        <v>244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3">
      <c r="A170" s="110" t="s">
        <v>57</v>
      </c>
      <c r="B170" s="593" t="s">
        <v>245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3">
      <c r="A171" s="110" t="s">
        <v>57</v>
      </c>
      <c r="B171" s="593" t="s">
        <v>246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3">
      <c r="A172" s="110" t="s">
        <v>57</v>
      </c>
      <c r="B172" s="593" t="s">
        <v>247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3">
      <c r="A173" s="110" t="s">
        <v>57</v>
      </c>
      <c r="B173" s="593" t="s">
        <v>248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3">
      <c r="A174" s="110" t="s">
        <v>57</v>
      </c>
      <c r="B174" s="593" t="s">
        <v>249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3">
      <c r="A175" s="110" t="s">
        <v>57</v>
      </c>
      <c r="B175" s="593" t="s">
        <v>250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3">
      <c r="A176" s="110" t="s">
        <v>57</v>
      </c>
      <c r="B176" s="593" t="s">
        <v>251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3">
      <c r="A177" s="110" t="s">
        <v>57</v>
      </c>
      <c r="B177" s="593" t="s">
        <v>252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3">
      <c r="A178" s="110" t="s">
        <v>57</v>
      </c>
      <c r="B178" s="593" t="s">
        <v>253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3">
      <c r="A179" s="110" t="s">
        <v>57</v>
      </c>
      <c r="B179" s="593" t="s">
        <v>254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3">
      <c r="A180" s="110" t="s">
        <v>57</v>
      </c>
      <c r="B180" s="593" t="s">
        <v>255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3">
      <c r="A181" s="110" t="s">
        <v>57</v>
      </c>
      <c r="B181" s="593" t="s">
        <v>256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3">
      <c r="A182" s="110" t="s">
        <v>57</v>
      </c>
      <c r="B182" s="593" t="s">
        <v>257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3">
      <c r="A183" s="110" t="s">
        <v>57</v>
      </c>
      <c r="B183" s="593" t="s">
        <v>258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3">
      <c r="A184" s="110" t="s">
        <v>57</v>
      </c>
      <c r="B184" s="593" t="s">
        <v>259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3">
      <c r="A185" s="110" t="s">
        <v>57</v>
      </c>
      <c r="B185" s="593" t="s">
        <v>260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3">
      <c r="A186" s="110" t="s">
        <v>57</v>
      </c>
      <c r="B186" s="593" t="s">
        <v>261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3">
      <c r="A187" s="110" t="s">
        <v>57</v>
      </c>
      <c r="B187" s="593" t="s">
        <v>262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3">
      <c r="A188" s="110" t="s">
        <v>57</v>
      </c>
      <c r="B188" s="593" t="s">
        <v>263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3">
      <c r="A189" s="110" t="s">
        <v>57</v>
      </c>
      <c r="B189" s="593" t="s">
        <v>264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3">
      <c r="A190" s="110" t="s">
        <v>57</v>
      </c>
      <c r="B190" s="593" t="s">
        <v>265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3">
      <c r="A191" s="110" t="s">
        <v>57</v>
      </c>
      <c r="B191" s="593" t="s">
        <v>266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3">
      <c r="A192" s="110" t="s">
        <v>57</v>
      </c>
      <c r="B192" s="593" t="s">
        <v>267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3">
      <c r="A193" s="110" t="s">
        <v>57</v>
      </c>
      <c r="B193" s="593" t="s">
        <v>268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3">
      <c r="A194" s="110" t="s">
        <v>57</v>
      </c>
      <c r="B194" s="593" t="s">
        <v>269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3">
      <c r="A195" s="110" t="s">
        <v>57</v>
      </c>
      <c r="B195" s="593" t="s">
        <v>270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3">
      <c r="A196" s="110" t="s">
        <v>57</v>
      </c>
      <c r="B196" s="593" t="s">
        <v>271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3">
      <c r="A197" s="110" t="s">
        <v>57</v>
      </c>
      <c r="B197" s="593" t="s">
        <v>272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3">
      <c r="A198" s="110" t="s">
        <v>57</v>
      </c>
      <c r="B198" s="593" t="s">
        <v>273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3">
      <c r="A199" s="110" t="s">
        <v>57</v>
      </c>
      <c r="B199" s="593" t="s">
        <v>274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x14ac:dyDescent="0.3">
      <c r="A200" s="113"/>
      <c r="B200" s="594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3">
      <c r="A201" s="31" t="s">
        <v>86</v>
      </c>
      <c r="B201" s="1" t="s">
        <v>275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38">
        <f t="shared" ref="F201:F265" si="75">G201+H201</f>
        <v>64688</v>
      </c>
      <c r="G201" s="538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3">
      <c r="A202" s="31" t="s">
        <v>86</v>
      </c>
      <c r="B202" s="1" t="s">
        <v>276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3">
      <c r="A203" s="31" t="s">
        <v>86</v>
      </c>
      <c r="B203" s="1" t="s">
        <v>277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3">
      <c r="A204" s="31" t="s">
        <v>86</v>
      </c>
      <c r="B204" s="1" t="s">
        <v>278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3">
      <c r="A205" s="31" t="s">
        <v>86</v>
      </c>
      <c r="B205" s="1" t="s">
        <v>279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3">
      <c r="A206" s="31" t="s">
        <v>86</v>
      </c>
      <c r="B206" s="1" t="s">
        <v>280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3">
      <c r="A207" s="31" t="s">
        <v>86</v>
      </c>
      <c r="B207" s="1" t="s">
        <v>281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3">
      <c r="A208" s="31" t="s">
        <v>86</v>
      </c>
      <c r="B208" s="1" t="s">
        <v>282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3">
      <c r="A209" s="31" t="s">
        <v>86</v>
      </c>
      <c r="B209" s="1" t="s">
        <v>283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3">
      <c r="A210" s="31" t="s">
        <v>86</v>
      </c>
      <c r="B210" s="1" t="s">
        <v>284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3">
      <c r="A211" s="31" t="s">
        <v>86</v>
      </c>
      <c r="B211" s="1" t="s">
        <v>285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3">
      <c r="A212" s="31" t="s">
        <v>86</v>
      </c>
      <c r="B212" s="1" t="s">
        <v>286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3">
      <c r="A213" s="31" t="s">
        <v>86</v>
      </c>
      <c r="B213" s="1" t="s">
        <v>287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3">
      <c r="A214" s="31" t="s">
        <v>86</v>
      </c>
      <c r="B214" s="1" t="s">
        <v>288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3">
      <c r="A215" s="31" t="s">
        <v>86</v>
      </c>
      <c r="B215" s="1" t="s">
        <v>289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3">
      <c r="A216" s="31" t="s">
        <v>86</v>
      </c>
      <c r="B216" s="1" t="s">
        <v>290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3">
      <c r="A217" s="31" t="s">
        <v>86</v>
      </c>
      <c r="B217" s="1" t="s">
        <v>291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3">
      <c r="A218" s="31" t="s">
        <v>86</v>
      </c>
      <c r="B218" s="1" t="s">
        <v>292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3">
      <c r="A219" s="31" t="s">
        <v>86</v>
      </c>
      <c r="B219" s="1" t="s">
        <v>293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3">
      <c r="A220" s="31" t="s">
        <v>86</v>
      </c>
      <c r="B220" s="1" t="s">
        <v>294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3">
      <c r="A221" s="31" t="s">
        <v>86</v>
      </c>
      <c r="B221" s="1" t="s">
        <v>295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3">
      <c r="A222" s="31" t="s">
        <v>86</v>
      </c>
      <c r="B222" s="1" t="s">
        <v>296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3">
      <c r="A223" s="31" t="s">
        <v>86</v>
      </c>
      <c r="B223" s="1" t="s">
        <v>297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3">
      <c r="A224" s="31" t="s">
        <v>86</v>
      </c>
      <c r="B224" s="1" t="s">
        <v>298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3">
      <c r="A225" s="31" t="s">
        <v>86</v>
      </c>
      <c r="B225" s="1" t="s">
        <v>299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3">
      <c r="A226" s="31" t="s">
        <v>86</v>
      </c>
      <c r="B226" s="1" t="s">
        <v>300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3">
      <c r="A227" s="31" t="s">
        <v>86</v>
      </c>
      <c r="B227" s="1" t="s">
        <v>301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3">
      <c r="A228" s="31" t="s">
        <v>86</v>
      </c>
      <c r="B228" s="1" t="s">
        <v>302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3">
      <c r="A229" s="31" t="s">
        <v>86</v>
      </c>
      <c r="B229" s="1" t="s">
        <v>303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3">
      <c r="A230" s="31" t="s">
        <v>86</v>
      </c>
      <c r="B230" s="1" t="s">
        <v>304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3">
      <c r="A231" s="31" t="s">
        <v>86</v>
      </c>
      <c r="B231" s="1" t="s">
        <v>305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3">
      <c r="A232" s="31" t="s">
        <v>86</v>
      </c>
      <c r="B232" s="1" t="s">
        <v>306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3">
      <c r="A233" s="31" t="s">
        <v>86</v>
      </c>
      <c r="B233" s="1" t="s">
        <v>307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3">
      <c r="A234" s="31" t="s">
        <v>86</v>
      </c>
      <c r="B234" s="1" t="s">
        <v>308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3">
      <c r="A235" s="31" t="s">
        <v>86</v>
      </c>
      <c r="B235" s="1" t="s">
        <v>309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3">
      <c r="A236" s="31" t="s">
        <v>86</v>
      </c>
      <c r="B236" s="1" t="s">
        <v>310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3">
      <c r="A237" s="31" t="s">
        <v>86</v>
      </c>
      <c r="B237" s="1" t="s">
        <v>311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3">
      <c r="A238" s="31" t="s">
        <v>86</v>
      </c>
      <c r="B238" s="1" t="s">
        <v>312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3">
      <c r="A239" s="31" t="s">
        <v>86</v>
      </c>
      <c r="B239" s="1" t="s">
        <v>313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3">
      <c r="A240" s="31" t="s">
        <v>86</v>
      </c>
      <c r="B240" s="1" t="s">
        <v>314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3">
      <c r="A241" s="31" t="s">
        <v>86</v>
      </c>
      <c r="B241" s="1" t="s">
        <v>315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3">
      <c r="A242" s="31" t="s">
        <v>86</v>
      </c>
      <c r="B242" s="1" t="s">
        <v>316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3">
      <c r="A243" s="31" t="s">
        <v>86</v>
      </c>
      <c r="B243" s="1" t="s">
        <v>317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3">
      <c r="A244" s="31" t="s">
        <v>86</v>
      </c>
      <c r="B244" s="1" t="s">
        <v>318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3">
      <c r="A245" s="31" t="s">
        <v>86</v>
      </c>
      <c r="B245" s="1" t="s">
        <v>319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3">
      <c r="A246" s="31" t="s">
        <v>86</v>
      </c>
      <c r="B246" s="1" t="s">
        <v>320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3">
      <c r="A247" s="31" t="s">
        <v>86</v>
      </c>
      <c r="B247" s="1" t="s">
        <v>321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3">
      <c r="A248" s="31" t="s">
        <v>86</v>
      </c>
      <c r="B248" s="1" t="s">
        <v>322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3">
      <c r="A249" s="31" t="s">
        <v>86</v>
      </c>
      <c r="B249" s="1" t="s">
        <v>323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3">
      <c r="A250" s="31" t="s">
        <v>86</v>
      </c>
      <c r="B250" s="1" t="s">
        <v>324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3">
      <c r="A251" s="31" t="s">
        <v>86</v>
      </c>
      <c r="B251" s="1" t="s">
        <v>325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3">
      <c r="A252" s="31" t="s">
        <v>86</v>
      </c>
      <c r="B252" s="1" t="s">
        <v>326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3">
      <c r="A253" s="31" t="s">
        <v>86</v>
      </c>
      <c r="B253" s="1" t="s">
        <v>327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3">
      <c r="A254" s="31" t="s">
        <v>86</v>
      </c>
      <c r="B254" s="1" t="s">
        <v>328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3">
      <c r="A255" s="31" t="s">
        <v>86</v>
      </c>
      <c r="B255" s="1" t="s">
        <v>329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3">
      <c r="A256" s="31" t="s">
        <v>86</v>
      </c>
      <c r="B256" s="1" t="s">
        <v>330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3">
      <c r="A257" s="31" t="s">
        <v>86</v>
      </c>
      <c r="B257" s="1" t="s">
        <v>331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3">
      <c r="A258" s="31" t="s">
        <v>86</v>
      </c>
      <c r="B258" s="1" t="s">
        <v>332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3">
      <c r="A259" s="31" t="s">
        <v>86</v>
      </c>
      <c r="B259" s="1" t="s">
        <v>333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3">
      <c r="A260" s="31" t="s">
        <v>86</v>
      </c>
      <c r="B260" s="1" t="s">
        <v>334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3">
      <c r="A261" s="31" t="s">
        <v>86</v>
      </c>
      <c r="B261" s="1" t="s">
        <v>335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3">
      <c r="A262" s="31" t="s">
        <v>86</v>
      </c>
      <c r="B262" s="1" t="s">
        <v>336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3">
      <c r="A263" s="31" t="s">
        <v>86</v>
      </c>
      <c r="B263" s="1" t="s">
        <v>337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3">
      <c r="A264" s="31" t="s">
        <v>86</v>
      </c>
      <c r="B264" s="1" t="s">
        <v>338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3">
      <c r="A265" s="31" t="s">
        <v>86</v>
      </c>
      <c r="B265" s="1" t="s">
        <v>339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3">
      <c r="A266" s="31" t="s">
        <v>86</v>
      </c>
      <c r="B266" s="1" t="s">
        <v>340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3">
      <c r="A267" s="31" t="s">
        <v>86</v>
      </c>
      <c r="B267" s="1" t="s">
        <v>341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3">
      <c r="A268" s="31" t="s">
        <v>86</v>
      </c>
      <c r="B268" s="1" t="s">
        <v>342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3">
      <c r="A269" s="31" t="s">
        <v>86</v>
      </c>
      <c r="B269" s="1" t="s">
        <v>343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3">
      <c r="A270" s="31" t="s">
        <v>86</v>
      </c>
      <c r="B270" s="1" t="s">
        <v>344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3">
      <c r="A271" s="31" t="s">
        <v>86</v>
      </c>
      <c r="B271" s="1" t="s">
        <v>345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3">
      <c r="A272" s="31" t="s">
        <v>86</v>
      </c>
      <c r="B272" s="1" t="s">
        <v>346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3">
      <c r="A273" s="31" t="s">
        <v>86</v>
      </c>
      <c r="B273" s="1" t="s">
        <v>347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3">
      <c r="A274" s="31" t="s">
        <v>86</v>
      </c>
      <c r="B274" s="1" t="s">
        <v>348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3">
      <c r="A275" s="31" t="s">
        <v>86</v>
      </c>
      <c r="B275" s="1" t="s">
        <v>349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3">
      <c r="A276" s="31" t="s">
        <v>86</v>
      </c>
      <c r="B276" s="1" t="s">
        <v>350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3">
      <c r="A277" s="31" t="s">
        <v>86</v>
      </c>
      <c r="B277" s="1" t="s">
        <v>351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3">
      <c r="A278" s="31" t="s">
        <v>86</v>
      </c>
      <c r="B278" s="1" t="s">
        <v>352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3">
      <c r="A279" s="31" t="s">
        <v>86</v>
      </c>
      <c r="B279" s="1" t="s">
        <v>353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3">
      <c r="A280" s="31" t="s">
        <v>86</v>
      </c>
      <c r="B280" s="1" t="s">
        <v>354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3">
      <c r="A281" s="31" t="s">
        <v>86</v>
      </c>
      <c r="B281" s="1" t="s">
        <v>355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3">
      <c r="A282" s="31" t="s">
        <v>86</v>
      </c>
      <c r="B282" s="1" t="s">
        <v>356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3">
      <c r="A283" s="31" t="s">
        <v>86</v>
      </c>
      <c r="B283" s="1" t="s">
        <v>357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3">
      <c r="A284" s="31" t="s">
        <v>86</v>
      </c>
      <c r="B284" s="1" t="s">
        <v>358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3">
      <c r="A285" s="31" t="s">
        <v>86</v>
      </c>
      <c r="B285" s="1" t="s">
        <v>359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3">
      <c r="A286" s="31" t="s">
        <v>86</v>
      </c>
      <c r="B286" s="1" t="s">
        <v>360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3">
      <c r="A287" s="31" t="s">
        <v>86</v>
      </c>
      <c r="B287" s="1" t="s">
        <v>361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3">
      <c r="A288" s="31" t="s">
        <v>86</v>
      </c>
      <c r="B288" s="1" t="s">
        <v>362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3">
      <c r="A289" s="31" t="s">
        <v>86</v>
      </c>
      <c r="B289" s="1" t="s">
        <v>363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3">
      <c r="A290" s="31" t="s">
        <v>86</v>
      </c>
      <c r="B290" s="1" t="s">
        <v>364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3">
      <c r="A291" s="31" t="s">
        <v>86</v>
      </c>
      <c r="B291" s="1" t="s">
        <v>365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3">
      <c r="A292" s="31" t="s">
        <v>86</v>
      </c>
      <c r="B292" s="1" t="s">
        <v>366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3">
      <c r="A293" s="31" t="s">
        <v>86</v>
      </c>
      <c r="B293" s="1" t="s">
        <v>367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3">
      <c r="A294" s="31" t="s">
        <v>86</v>
      </c>
      <c r="B294" s="1" t="s">
        <v>368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3">
      <c r="A295" s="31" t="s">
        <v>86</v>
      </c>
      <c r="B295" s="1" t="s">
        <v>369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3">
      <c r="A296" s="31" t="s">
        <v>86</v>
      </c>
      <c r="B296" s="1" t="s">
        <v>370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3">
      <c r="A297" s="31" t="s">
        <v>86</v>
      </c>
      <c r="B297" s="1" t="s">
        <v>371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3">
      <c r="A298" s="31" t="s">
        <v>86</v>
      </c>
      <c r="B298" s="1" t="s">
        <v>372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3">
      <c r="A299" s="31" t="s">
        <v>86</v>
      </c>
      <c r="B299" s="1" t="s">
        <v>373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3">
      <c r="A300" s="31" t="s">
        <v>86</v>
      </c>
      <c r="B300" s="1" t="s">
        <v>374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3">
      <c r="A301" s="31" t="s">
        <v>86</v>
      </c>
      <c r="B301" s="1" t="s">
        <v>375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3">
      <c r="A302" s="31" t="s">
        <v>86</v>
      </c>
      <c r="B302" s="1" t="s">
        <v>376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3">
      <c r="A303" s="31" t="s">
        <v>86</v>
      </c>
      <c r="B303" s="1" t="s">
        <v>377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3">
      <c r="A304" s="31" t="s">
        <v>86</v>
      </c>
      <c r="B304" s="1" t="s">
        <v>378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3">
      <c r="A305" s="31" t="s">
        <v>86</v>
      </c>
      <c r="B305" s="1" t="s">
        <v>379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3">
      <c r="A306" s="31" t="s">
        <v>86</v>
      </c>
      <c r="B306" s="1" t="s">
        <v>380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3">
      <c r="A307" s="31" t="s">
        <v>86</v>
      </c>
      <c r="B307" s="1" t="s">
        <v>381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3">
      <c r="A308" s="31" t="s">
        <v>86</v>
      </c>
      <c r="B308" s="1" t="s">
        <v>382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3">
      <c r="A309" s="31" t="s">
        <v>86</v>
      </c>
      <c r="B309" s="1" t="s">
        <v>383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3">
      <c r="A310" s="31" t="s">
        <v>86</v>
      </c>
      <c r="B310" s="1" t="s">
        <v>384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3">
      <c r="A311" s="31" t="s">
        <v>86</v>
      </c>
      <c r="B311" s="1" t="s">
        <v>385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3">
      <c r="A312" s="31" t="s">
        <v>86</v>
      </c>
      <c r="B312" s="1" t="s">
        <v>386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3">
      <c r="A313" s="31" t="s">
        <v>86</v>
      </c>
      <c r="B313" s="1" t="s">
        <v>387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3">
      <c r="A314" s="31" t="s">
        <v>86</v>
      </c>
      <c r="B314" s="1" t="s">
        <v>388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3">
      <c r="A315" s="31" t="s">
        <v>86</v>
      </c>
      <c r="B315" s="1" t="s">
        <v>389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3">
      <c r="A316" s="31" t="s">
        <v>86</v>
      </c>
      <c r="B316" s="1" t="s">
        <v>390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3">
      <c r="A317" s="31" t="s">
        <v>86</v>
      </c>
      <c r="B317" s="1" t="s">
        <v>391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3">
      <c r="A318" s="31" t="s">
        <v>86</v>
      </c>
      <c r="B318" s="1" t="s">
        <v>392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3">
      <c r="A319" s="31" t="s">
        <v>86</v>
      </c>
      <c r="B319" s="1" t="s">
        <v>393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3">
      <c r="A320" s="31" t="s">
        <v>86</v>
      </c>
      <c r="B320" s="1" t="s">
        <v>394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3">
      <c r="A321" s="31" t="s">
        <v>86</v>
      </c>
      <c r="B321" s="1" t="s">
        <v>395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3">
      <c r="A322" s="31" t="s">
        <v>86</v>
      </c>
      <c r="B322" s="1" t="s">
        <v>396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3">
      <c r="A323" s="31" t="s">
        <v>86</v>
      </c>
      <c r="B323" s="1" t="s">
        <v>397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3">
      <c r="A324" s="31" t="s">
        <v>86</v>
      </c>
      <c r="B324" s="1" t="s">
        <v>398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3">
      <c r="A325" s="31" t="s">
        <v>86</v>
      </c>
      <c r="B325" s="1" t="s">
        <v>399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3">
      <c r="A326" s="31" t="s">
        <v>86</v>
      </c>
      <c r="B326" s="1" t="s">
        <v>400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3">
      <c r="A327" s="31" t="s">
        <v>86</v>
      </c>
      <c r="B327" s="1" t="s">
        <v>401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3">
      <c r="A328" s="31" t="s">
        <v>86</v>
      </c>
      <c r="B328" s="1" t="s">
        <v>402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3">
      <c r="A329" s="31" t="s">
        <v>86</v>
      </c>
      <c r="B329" s="1" t="s">
        <v>403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3">
      <c r="A330" s="31" t="s">
        <v>86</v>
      </c>
      <c r="B330" s="1" t="s">
        <v>404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3">
      <c r="A331" s="31" t="s">
        <v>86</v>
      </c>
      <c r="B331" s="1" t="s">
        <v>405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3">
      <c r="A332" s="31" t="s">
        <v>86</v>
      </c>
      <c r="B332" s="1" t="s">
        <v>406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3">
      <c r="A333" s="31" t="s">
        <v>86</v>
      </c>
      <c r="B333" s="1" t="s">
        <v>407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3">
      <c r="A334" s="31" t="s">
        <v>86</v>
      </c>
      <c r="B334" s="1" t="s">
        <v>408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3">
      <c r="A335" s="31" t="s">
        <v>86</v>
      </c>
      <c r="B335" s="1" t="s">
        <v>409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3">
      <c r="A336" s="31" t="s">
        <v>86</v>
      </c>
      <c r="B336" s="1" t="s">
        <v>410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3">
      <c r="A337" s="31" t="s">
        <v>86</v>
      </c>
      <c r="B337" s="1" t="s">
        <v>411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3">
      <c r="A338" s="31" t="s">
        <v>86</v>
      </c>
      <c r="B338" s="1" t="s">
        <v>412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3">
      <c r="A339" s="31" t="s">
        <v>86</v>
      </c>
      <c r="B339" s="1" t="s">
        <v>413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3">
      <c r="A340" s="31" t="s">
        <v>86</v>
      </c>
      <c r="B340" s="1" t="s">
        <v>414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3">
      <c r="A341" s="31" t="s">
        <v>86</v>
      </c>
      <c r="B341" s="1" t="s">
        <v>415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3">
      <c r="A342" s="31" t="s">
        <v>86</v>
      </c>
      <c r="B342" s="1" t="s">
        <v>416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3">
      <c r="A343" s="31" t="s">
        <v>86</v>
      </c>
      <c r="B343" s="1" t="s">
        <v>417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3">
      <c r="A344" s="31" t="s">
        <v>86</v>
      </c>
      <c r="B344" s="1" t="s">
        <v>418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3">
      <c r="A345" s="31" t="s">
        <v>86</v>
      </c>
      <c r="B345" s="1" t="s">
        <v>419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3">
      <c r="A346" s="31" t="s">
        <v>86</v>
      </c>
      <c r="B346" s="1" t="s">
        <v>420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3">
      <c r="A347" s="31" t="s">
        <v>86</v>
      </c>
      <c r="B347" s="1" t="s">
        <v>421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3">
      <c r="A348" s="31" t="s">
        <v>86</v>
      </c>
      <c r="B348" s="1" t="s">
        <v>422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3">
      <c r="A349" s="31" t="s">
        <v>86</v>
      </c>
      <c r="B349" s="1" t="s">
        <v>423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3">
      <c r="A350" s="31" t="s">
        <v>86</v>
      </c>
      <c r="B350" s="1" t="s">
        <v>424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3">
      <c r="A351" s="31" t="s">
        <v>86</v>
      </c>
      <c r="B351" s="1" t="s">
        <v>425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3">
      <c r="A352" s="31" t="s">
        <v>86</v>
      </c>
      <c r="B352" s="1" t="s">
        <v>426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3">
      <c r="A353" s="31" t="s">
        <v>86</v>
      </c>
      <c r="B353" s="1" t="s">
        <v>427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3">
      <c r="A354" s="31" t="s">
        <v>86</v>
      </c>
      <c r="B354" s="1" t="s">
        <v>428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3">
      <c r="A355" s="31" t="s">
        <v>86</v>
      </c>
      <c r="B355" s="1" t="s">
        <v>429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3">
      <c r="A356" s="31" t="s">
        <v>86</v>
      </c>
      <c r="B356" s="1" t="s">
        <v>430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3">
      <c r="A357" s="31" t="s">
        <v>86</v>
      </c>
      <c r="B357" s="1" t="s">
        <v>431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3">
      <c r="A358" s="31" t="s">
        <v>86</v>
      </c>
      <c r="B358" s="1" t="s">
        <v>432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3">
      <c r="A359" s="31" t="s">
        <v>86</v>
      </c>
      <c r="B359" s="1" t="s">
        <v>433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3">
      <c r="A360" s="31" t="s">
        <v>86</v>
      </c>
      <c r="B360" s="1" t="s">
        <v>434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3">
      <c r="A361" s="31" t="s">
        <v>86</v>
      </c>
      <c r="B361" s="1" t="s">
        <v>435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3">
      <c r="A362" s="31" t="s">
        <v>86</v>
      </c>
      <c r="B362" s="1" t="s">
        <v>436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3">
      <c r="A363" s="31" t="s">
        <v>86</v>
      </c>
      <c r="B363" s="1" t="s">
        <v>437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3">
      <c r="A364" s="31" t="s">
        <v>86</v>
      </c>
      <c r="B364" s="1" t="s">
        <v>438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3">
      <c r="A365" s="31" t="s">
        <v>86</v>
      </c>
      <c r="B365" s="1" t="s">
        <v>439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3">
      <c r="A366" s="31" t="s">
        <v>86</v>
      </c>
      <c r="B366" s="1" t="s">
        <v>440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3">
      <c r="A367" s="31" t="s">
        <v>86</v>
      </c>
      <c r="B367" s="1" t="s">
        <v>441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3">
      <c r="A368" s="31" t="s">
        <v>86</v>
      </c>
      <c r="B368" s="1" t="s">
        <v>442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3">
      <c r="A369" s="31" t="s">
        <v>86</v>
      </c>
      <c r="B369" s="1" t="s">
        <v>443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3">
      <c r="A370" s="31" t="s">
        <v>86</v>
      </c>
      <c r="B370" s="1" t="s">
        <v>444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3">
      <c r="A371" s="31" t="s">
        <v>86</v>
      </c>
      <c r="B371" s="1" t="s">
        <v>445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3">
      <c r="A372" s="31" t="s">
        <v>86</v>
      </c>
      <c r="B372" s="1" t="s">
        <v>446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3">
      <c r="A373" s="31" t="s">
        <v>86</v>
      </c>
      <c r="B373" s="1" t="s">
        <v>447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3">
      <c r="A374" s="31" t="s">
        <v>86</v>
      </c>
      <c r="B374" s="1" t="s">
        <v>448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3">
      <c r="A375" s="31" t="s">
        <v>86</v>
      </c>
      <c r="B375" s="1" t="s">
        <v>449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3">
      <c r="A376" s="31" t="s">
        <v>86</v>
      </c>
      <c r="B376" s="1" t="s">
        <v>450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3">
      <c r="A377" s="31" t="s">
        <v>86</v>
      </c>
      <c r="B377" s="1" t="s">
        <v>451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3">
      <c r="A378" s="31" t="s">
        <v>86</v>
      </c>
      <c r="B378" s="1" t="s">
        <v>452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3">
      <c r="A379" s="31" t="s">
        <v>86</v>
      </c>
      <c r="B379" s="1" t="s">
        <v>453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3">
      <c r="A380" s="31" t="s">
        <v>86</v>
      </c>
      <c r="B380" s="1" t="s">
        <v>454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3">
      <c r="A381" s="31" t="s">
        <v>86</v>
      </c>
      <c r="B381" s="1" t="s">
        <v>455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3">
      <c r="A382" s="31" t="s">
        <v>86</v>
      </c>
      <c r="B382" s="1" t="s">
        <v>456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3">
      <c r="A383" s="31" t="s">
        <v>86</v>
      </c>
      <c r="B383" s="1" t="s">
        <v>457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3">
      <c r="A384" s="31" t="s">
        <v>86</v>
      </c>
      <c r="B384" s="1" t="s">
        <v>458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3">
      <c r="A385" s="31" t="s">
        <v>86</v>
      </c>
      <c r="B385" s="1" t="s">
        <v>459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3">
      <c r="A386" s="31" t="s">
        <v>86</v>
      </c>
      <c r="B386" s="1" t="s">
        <v>460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3">
      <c r="A387" s="31" t="s">
        <v>86</v>
      </c>
      <c r="B387" s="1" t="s">
        <v>461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3">
      <c r="A388" s="31" t="s">
        <v>86</v>
      </c>
      <c r="B388" s="1" t="s">
        <v>462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3">
      <c r="A389" s="31" t="s">
        <v>86</v>
      </c>
      <c r="B389" s="1" t="s">
        <v>463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3">
      <c r="A390" s="31" t="s">
        <v>86</v>
      </c>
      <c r="B390" s="1" t="s">
        <v>464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3">
      <c r="A391" s="31" t="s">
        <v>86</v>
      </c>
      <c r="B391" s="1" t="s">
        <v>465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3">
      <c r="A392" s="31" t="s">
        <v>86</v>
      </c>
      <c r="B392" s="1" t="s">
        <v>466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3">
      <c r="A393" s="31" t="s">
        <v>86</v>
      </c>
      <c r="B393" s="1" t="s">
        <v>467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3">
      <c r="A394" s="31" t="s">
        <v>86</v>
      </c>
      <c r="B394" s="1" t="s">
        <v>468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3">
      <c r="A395" s="31" t="s">
        <v>86</v>
      </c>
      <c r="B395" s="1" t="s">
        <v>469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3">
      <c r="A396" s="31" t="s">
        <v>86</v>
      </c>
      <c r="B396" s="1" t="s">
        <v>470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3">
      <c r="A397" s="31" t="s">
        <v>86</v>
      </c>
      <c r="B397" s="1" t="s">
        <v>471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3">
      <c r="A398" s="31" t="s">
        <v>86</v>
      </c>
      <c r="B398" s="1" t="s">
        <v>472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3">
      <c r="A399" s="31" t="s">
        <v>86</v>
      </c>
      <c r="B399" s="1" t="s">
        <v>473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3">
      <c r="A400" s="31" t="s">
        <v>86</v>
      </c>
      <c r="B400" s="1" t="s">
        <v>474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3">
      <c r="A401" s="31" t="s">
        <v>86</v>
      </c>
      <c r="B401" s="1" t="s">
        <v>475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3">
      <c r="A402" s="31" t="s">
        <v>86</v>
      </c>
      <c r="B402" s="1" t="s">
        <v>476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3">
      <c r="A403" s="31" t="s">
        <v>86</v>
      </c>
      <c r="B403" s="1" t="s">
        <v>477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3">
      <c r="A404" s="31" t="s">
        <v>86</v>
      </c>
      <c r="B404" s="1" t="s">
        <v>478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3">
      <c r="A405" s="31" t="s">
        <v>86</v>
      </c>
      <c r="B405" s="1" t="s">
        <v>479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3">
      <c r="A406" s="31" t="s">
        <v>86</v>
      </c>
      <c r="B406" s="1" t="s">
        <v>480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3">
      <c r="A407" s="31" t="s">
        <v>86</v>
      </c>
      <c r="B407" s="1" t="s">
        <v>481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3">
      <c r="A408" s="31" t="s">
        <v>86</v>
      </c>
      <c r="B408" s="1" t="s">
        <v>482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3">
      <c r="A409" s="31" t="s">
        <v>86</v>
      </c>
      <c r="B409" s="1" t="s">
        <v>483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3">
      <c r="A410" s="31" t="s">
        <v>86</v>
      </c>
      <c r="B410" s="1" t="s">
        <v>484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3">
      <c r="A411" s="31" t="s">
        <v>86</v>
      </c>
      <c r="B411" s="1" t="s">
        <v>485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3">
      <c r="A412" s="31" t="s">
        <v>86</v>
      </c>
      <c r="B412" s="1" t="s">
        <v>486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3">
      <c r="A413" s="31" t="s">
        <v>86</v>
      </c>
      <c r="B413" s="1" t="s">
        <v>487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3">
      <c r="A414" s="31" t="s">
        <v>86</v>
      </c>
      <c r="B414" s="1" t="s">
        <v>488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3">
      <c r="A415" s="31" t="s">
        <v>86</v>
      </c>
      <c r="B415" s="1" t="s">
        <v>489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3">
      <c r="A416" s="31" t="s">
        <v>86</v>
      </c>
      <c r="B416" s="1" t="s">
        <v>490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3">
      <c r="A417" s="31" t="s">
        <v>86</v>
      </c>
      <c r="B417" s="1" t="s">
        <v>491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3">
      <c r="A418" s="31" t="s">
        <v>86</v>
      </c>
      <c r="B418" s="1" t="s">
        <v>492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3">
      <c r="A419" s="31" t="s">
        <v>86</v>
      </c>
      <c r="B419" s="1" t="s">
        <v>493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3">
      <c r="A420" s="31" t="s">
        <v>86</v>
      </c>
      <c r="B420" s="1" t="s">
        <v>494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3">
      <c r="A421" s="31" t="s">
        <v>86</v>
      </c>
      <c r="B421" s="1" t="s">
        <v>495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3">
      <c r="A422" s="31" t="s">
        <v>86</v>
      </c>
      <c r="B422" s="1" t="s">
        <v>496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3">
      <c r="A423" s="31" t="s">
        <v>86</v>
      </c>
      <c r="B423" s="1" t="s">
        <v>497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3">
      <c r="A424" s="31" t="s">
        <v>86</v>
      </c>
      <c r="B424" s="1" t="s">
        <v>498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3">
      <c r="A425" s="31" t="s">
        <v>86</v>
      </c>
      <c r="B425" s="1" t="s">
        <v>499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3">
      <c r="A426" s="31" t="s">
        <v>86</v>
      </c>
      <c r="B426" s="1" t="s">
        <v>500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3">
      <c r="A427" s="31" t="s">
        <v>86</v>
      </c>
      <c r="B427" s="1" t="s">
        <v>501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3">
      <c r="A428" s="31" t="s">
        <v>86</v>
      </c>
      <c r="B428" s="1" t="s">
        <v>502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3">
      <c r="A429" s="31" t="s">
        <v>86</v>
      </c>
      <c r="B429" s="1" t="s">
        <v>503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3">
      <c r="A430" s="31" t="s">
        <v>86</v>
      </c>
      <c r="B430" s="1" t="s">
        <v>504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3">
      <c r="A431" s="31" t="s">
        <v>86</v>
      </c>
      <c r="B431" s="1" t="s">
        <v>505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3">
      <c r="A432" s="31" t="s">
        <v>86</v>
      </c>
      <c r="B432" s="1" t="s">
        <v>506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3">
      <c r="A433" s="31" t="s">
        <v>86</v>
      </c>
      <c r="B433" s="1" t="s">
        <v>507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3">
      <c r="A434" s="31" t="s">
        <v>86</v>
      </c>
      <c r="B434" s="1" t="s">
        <v>508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3">
      <c r="A435" s="31" t="s">
        <v>86</v>
      </c>
      <c r="B435" s="1" t="s">
        <v>509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3">
      <c r="A436" s="31" t="s">
        <v>86</v>
      </c>
      <c r="B436" s="1" t="s">
        <v>510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3">
      <c r="A437" s="31" t="s">
        <v>86</v>
      </c>
      <c r="B437" s="1" t="s">
        <v>511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3">
      <c r="A438" s="31" t="s">
        <v>86</v>
      </c>
      <c r="B438" s="1" t="s">
        <v>512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3">
      <c r="A439" s="31" t="s">
        <v>86</v>
      </c>
      <c r="B439" s="1" t="s">
        <v>513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3">
      <c r="A440" s="31" t="s">
        <v>86</v>
      </c>
      <c r="B440" s="1" t="s">
        <v>514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3">
      <c r="A441" s="31" t="s">
        <v>86</v>
      </c>
      <c r="B441" s="1" t="s">
        <v>515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3">
      <c r="A442" s="31" t="s">
        <v>86</v>
      </c>
      <c r="B442" s="1" t="s">
        <v>516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3">
      <c r="A443" s="31" t="s">
        <v>86</v>
      </c>
      <c r="B443" s="1" t="s">
        <v>517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3">
      <c r="A444" s="31" t="s">
        <v>86</v>
      </c>
      <c r="B444" s="1" t="s">
        <v>518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3">
      <c r="A445" s="31" t="s">
        <v>86</v>
      </c>
      <c r="B445" s="1" t="s">
        <v>519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3">
      <c r="A446" s="31" t="s">
        <v>86</v>
      </c>
      <c r="B446" s="1" t="s">
        <v>520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3">
      <c r="A447" s="31" t="s">
        <v>86</v>
      </c>
      <c r="B447" s="1" t="s">
        <v>521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3">
      <c r="A448" s="31" t="s">
        <v>86</v>
      </c>
      <c r="B448" s="1" t="s">
        <v>522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3">
      <c r="A449" s="31" t="s">
        <v>86</v>
      </c>
      <c r="B449" s="1" t="s">
        <v>523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3">
      <c r="A450" s="31" t="s">
        <v>86</v>
      </c>
      <c r="B450" s="1" t="s">
        <v>524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3">
      <c r="A451" s="31" t="s">
        <v>86</v>
      </c>
      <c r="B451" s="1" t="s">
        <v>525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3">
      <c r="A452" s="31" t="s">
        <v>86</v>
      </c>
      <c r="B452" s="1" t="s">
        <v>526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3">
      <c r="A453" s="31" t="s">
        <v>86</v>
      </c>
      <c r="B453" s="1" t="s">
        <v>527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3">
      <c r="A454" s="31" t="s">
        <v>86</v>
      </c>
      <c r="B454" s="1" t="s">
        <v>528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3">
      <c r="A455" s="31" t="s">
        <v>86</v>
      </c>
      <c r="B455" s="1" t="s">
        <v>529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3">
      <c r="A456" s="31" t="s">
        <v>86</v>
      </c>
      <c r="B456" s="1" t="s">
        <v>530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3">
      <c r="A457" s="31" t="s">
        <v>86</v>
      </c>
      <c r="B457" s="1" t="s">
        <v>531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3">
      <c r="A458" s="31" t="s">
        <v>86</v>
      </c>
      <c r="B458" s="1" t="s">
        <v>532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3">
      <c r="A459" s="31" t="s">
        <v>86</v>
      </c>
      <c r="B459" s="1" t="s">
        <v>533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3">
      <c r="A460" s="31" t="s">
        <v>86</v>
      </c>
      <c r="B460" s="1" t="s">
        <v>534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3">
      <c r="A461" s="31" t="s">
        <v>86</v>
      </c>
      <c r="B461" s="1" t="s">
        <v>535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3">
      <c r="A462" s="31" t="s">
        <v>86</v>
      </c>
      <c r="B462" s="1" t="s">
        <v>536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3">
      <c r="A463" s="31" t="s">
        <v>86</v>
      </c>
      <c r="B463" s="1" t="s">
        <v>537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3">
      <c r="A464" s="31" t="s">
        <v>86</v>
      </c>
      <c r="B464" s="1" t="s">
        <v>538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3">
      <c r="A465" s="31" t="s">
        <v>86</v>
      </c>
      <c r="B465" s="1" t="s">
        <v>539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3">
      <c r="A466" s="31" t="s">
        <v>86</v>
      </c>
      <c r="B466" s="1" t="s">
        <v>540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3">
      <c r="A467" s="31" t="s">
        <v>86</v>
      </c>
      <c r="B467" s="1" t="s">
        <v>541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3">
      <c r="A468" s="31" t="s">
        <v>86</v>
      </c>
      <c r="B468" s="1" t="s">
        <v>542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3">
      <c r="A469" s="31" t="s">
        <v>86</v>
      </c>
      <c r="B469" s="1" t="s">
        <v>543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3">
      <c r="A470" s="31" t="s">
        <v>86</v>
      </c>
      <c r="B470" s="1" t="s">
        <v>544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3">
      <c r="A471" s="31" t="s">
        <v>86</v>
      </c>
      <c r="B471" s="1" t="s">
        <v>545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3">
      <c r="A472" s="31" t="s">
        <v>86</v>
      </c>
      <c r="B472" s="1" t="s">
        <v>546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3">
      <c r="A473" s="31" t="s">
        <v>86</v>
      </c>
      <c r="B473" s="1" t="s">
        <v>547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3">
      <c r="A474" s="31" t="s">
        <v>86</v>
      </c>
      <c r="B474" s="1" t="s">
        <v>548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3">
      <c r="A475" s="31" t="s">
        <v>86</v>
      </c>
      <c r="B475" s="1" t="s">
        <v>549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3">
      <c r="A476" s="31" t="s">
        <v>86</v>
      </c>
      <c r="B476" s="1" t="s">
        <v>550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3">
      <c r="A477" s="31" t="s">
        <v>86</v>
      </c>
      <c r="B477" s="1" t="s">
        <v>551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3">
      <c r="A478" s="31" t="s">
        <v>86</v>
      </c>
      <c r="B478" s="1" t="s">
        <v>552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3">
      <c r="A479" s="31" t="s">
        <v>86</v>
      </c>
      <c r="B479" s="1" t="s">
        <v>553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3">
      <c r="A480" s="31" t="s">
        <v>86</v>
      </c>
      <c r="B480" s="1" t="s">
        <v>554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3">
      <c r="A481" s="31" t="s">
        <v>86</v>
      </c>
      <c r="B481" s="1" t="s">
        <v>555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3">
      <c r="A482" s="31" t="s">
        <v>86</v>
      </c>
      <c r="B482" s="1" t="s">
        <v>556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3">
      <c r="A483" s="31" t="s">
        <v>86</v>
      </c>
      <c r="B483" s="1" t="s">
        <v>557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3">
      <c r="A484" s="31" t="s">
        <v>86</v>
      </c>
      <c r="B484" s="1" t="s">
        <v>558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3">
      <c r="A485" s="31" t="s">
        <v>86</v>
      </c>
      <c r="B485" s="1" t="s">
        <v>559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3">
      <c r="A486" s="31" t="s">
        <v>86</v>
      </c>
      <c r="B486" s="1" t="s">
        <v>560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3">
      <c r="A487" s="31" t="s">
        <v>86</v>
      </c>
      <c r="B487" s="1" t="s">
        <v>561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3">
      <c r="A488" s="31" t="s">
        <v>86</v>
      </c>
      <c r="B488" s="1" t="s">
        <v>562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3">
      <c r="A489" s="31" t="s">
        <v>86</v>
      </c>
      <c r="B489" s="1" t="s">
        <v>563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3">
      <c r="A490" s="31" t="s">
        <v>86</v>
      </c>
      <c r="B490" s="1" t="s">
        <v>564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3">
      <c r="A491" s="31" t="s">
        <v>86</v>
      </c>
      <c r="B491" s="1" t="s">
        <v>565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3">
      <c r="A492" s="31" t="s">
        <v>86</v>
      </c>
      <c r="B492" s="1" t="s">
        <v>566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3">
      <c r="A493" s="31" t="s">
        <v>86</v>
      </c>
      <c r="B493" s="1" t="s">
        <v>567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3">
      <c r="A494" s="31" t="s">
        <v>86</v>
      </c>
      <c r="B494" s="1" t="s">
        <v>568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3">
      <c r="A495" s="31" t="s">
        <v>86</v>
      </c>
      <c r="B495" s="1" t="s">
        <v>569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3">
      <c r="A496" s="31" t="s">
        <v>86</v>
      </c>
      <c r="B496" s="1" t="s">
        <v>570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x14ac:dyDescent="0.3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3">
      <c r="A498" s="31" t="s">
        <v>571</v>
      </c>
      <c r="B498" s="1" t="s">
        <v>572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79">
        <v>391</v>
      </c>
      <c r="N498" s="579">
        <v>334</v>
      </c>
      <c r="O498" s="579">
        <v>374</v>
      </c>
      <c r="P498" s="579">
        <v>393</v>
      </c>
      <c r="Q498" s="579">
        <v>365</v>
      </c>
      <c r="R498" s="579">
        <v>333</v>
      </c>
      <c r="S498" s="579">
        <v>365</v>
      </c>
      <c r="T498" s="579">
        <v>388</v>
      </c>
      <c r="U498" s="579">
        <v>394</v>
      </c>
      <c r="V498" s="579">
        <v>392</v>
      </c>
      <c r="W498" s="579">
        <v>375</v>
      </c>
      <c r="X498" s="579">
        <v>423</v>
      </c>
      <c r="Y498" s="579">
        <v>403</v>
      </c>
      <c r="Z498" s="579">
        <v>425</v>
      </c>
      <c r="AA498" s="579">
        <v>394</v>
      </c>
      <c r="AB498" s="579">
        <v>319</v>
      </c>
      <c r="AC498" s="579">
        <v>337</v>
      </c>
      <c r="AD498" s="579">
        <v>363</v>
      </c>
      <c r="AE498" s="579">
        <v>363</v>
      </c>
      <c r="AF498" s="579">
        <v>317</v>
      </c>
      <c r="AG498" s="579">
        <v>288</v>
      </c>
      <c r="AH498" s="579">
        <v>332</v>
      </c>
      <c r="AI498" s="579">
        <v>374</v>
      </c>
      <c r="AJ498" s="579">
        <v>338</v>
      </c>
      <c r="AK498" s="579">
        <v>389</v>
      </c>
      <c r="AL498" s="579">
        <v>412</v>
      </c>
      <c r="AM498" s="579">
        <v>367</v>
      </c>
      <c r="AN498" s="579">
        <v>361</v>
      </c>
      <c r="AO498" s="579">
        <v>441</v>
      </c>
      <c r="AP498" s="579">
        <v>438</v>
      </c>
      <c r="AQ498" s="579">
        <v>468</v>
      </c>
      <c r="AR498" s="579">
        <v>465</v>
      </c>
      <c r="AS498" s="579">
        <v>442</v>
      </c>
      <c r="AT498" s="579">
        <v>467</v>
      </c>
      <c r="AU498" s="579">
        <v>398</v>
      </c>
      <c r="AV498" s="579">
        <v>423</v>
      </c>
      <c r="AW498" s="579">
        <v>418</v>
      </c>
      <c r="AX498" s="579">
        <v>449</v>
      </c>
      <c r="AY498" s="579">
        <v>389</v>
      </c>
      <c r="AZ498" s="579">
        <v>409</v>
      </c>
      <c r="BA498" s="579">
        <v>365</v>
      </c>
      <c r="BB498" s="579">
        <v>396</v>
      </c>
      <c r="BC498" s="579">
        <v>373</v>
      </c>
      <c r="BD498" s="579">
        <v>369</v>
      </c>
      <c r="BE498" s="579">
        <v>348</v>
      </c>
      <c r="BF498" s="579">
        <v>299</v>
      </c>
      <c r="BG498" s="579">
        <v>345</v>
      </c>
      <c r="BH498" s="579">
        <v>417</v>
      </c>
      <c r="BI498" s="579">
        <v>386</v>
      </c>
      <c r="BJ498" s="579">
        <v>430</v>
      </c>
      <c r="BK498" s="579">
        <v>495</v>
      </c>
      <c r="BL498" s="579">
        <v>469</v>
      </c>
      <c r="BM498" s="579">
        <v>471</v>
      </c>
      <c r="BN498" s="579">
        <v>521</v>
      </c>
      <c r="BO498" s="579">
        <v>498</v>
      </c>
      <c r="BP498" s="579">
        <v>491</v>
      </c>
      <c r="BQ498" s="579">
        <v>525</v>
      </c>
      <c r="BR498" s="579">
        <v>529</v>
      </c>
      <c r="BS498" s="579">
        <v>512</v>
      </c>
      <c r="BT498" s="579">
        <v>493</v>
      </c>
      <c r="BU498" s="579">
        <v>503</v>
      </c>
      <c r="BV498" s="579">
        <v>432</v>
      </c>
      <c r="BW498" s="579">
        <v>445</v>
      </c>
      <c r="BX498" s="579">
        <v>434</v>
      </c>
      <c r="BY498" s="579">
        <v>364</v>
      </c>
      <c r="BZ498" s="579">
        <v>441</v>
      </c>
      <c r="CA498" s="579">
        <v>389</v>
      </c>
      <c r="CB498" s="579">
        <v>372</v>
      </c>
      <c r="CC498" s="579">
        <v>364</v>
      </c>
      <c r="CD498" s="579">
        <v>375</v>
      </c>
      <c r="CE498" s="579">
        <v>341</v>
      </c>
      <c r="CF498" s="579">
        <v>358</v>
      </c>
      <c r="CG498" s="579">
        <v>351</v>
      </c>
      <c r="CH498" s="579">
        <v>359</v>
      </c>
      <c r="CI498" s="579">
        <v>343</v>
      </c>
      <c r="CJ498" s="579">
        <v>401</v>
      </c>
      <c r="CK498" s="579">
        <v>297</v>
      </c>
      <c r="CL498" s="579">
        <v>262</v>
      </c>
      <c r="CM498" s="579">
        <v>235</v>
      </c>
      <c r="CN498" s="579">
        <v>261</v>
      </c>
      <c r="CO498" s="579">
        <v>210</v>
      </c>
      <c r="CP498" s="579">
        <v>179</v>
      </c>
      <c r="CQ498" s="579">
        <v>155</v>
      </c>
      <c r="CR498" s="579">
        <v>164</v>
      </c>
      <c r="CS498" s="579">
        <v>135</v>
      </c>
      <c r="CT498" s="579">
        <v>101</v>
      </c>
      <c r="CU498" s="579">
        <v>100</v>
      </c>
      <c r="CV498" s="579">
        <v>87</v>
      </c>
      <c r="CW498" s="579">
        <v>55</v>
      </c>
      <c r="CX498" s="579">
        <v>58</v>
      </c>
      <c r="CY498" s="579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3">
      <c r="A499" s="31" t="s">
        <v>74</v>
      </c>
      <c r="B499" s="1" t="s">
        <v>573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79">
        <v>731</v>
      </c>
      <c r="N499" s="579">
        <v>689</v>
      </c>
      <c r="O499" s="579">
        <v>714</v>
      </c>
      <c r="P499" s="579">
        <v>751</v>
      </c>
      <c r="Q499" s="579">
        <v>788</v>
      </c>
      <c r="R499" s="579">
        <v>823</v>
      </c>
      <c r="S499" s="579">
        <v>811</v>
      </c>
      <c r="T499" s="579">
        <v>852</v>
      </c>
      <c r="U499" s="579">
        <v>862</v>
      </c>
      <c r="V499" s="579">
        <v>879</v>
      </c>
      <c r="W499" s="579">
        <v>884</v>
      </c>
      <c r="X499" s="579">
        <v>978</v>
      </c>
      <c r="Y499" s="579">
        <v>895</v>
      </c>
      <c r="Z499" s="579">
        <v>924</v>
      </c>
      <c r="AA499" s="579">
        <v>890</v>
      </c>
      <c r="AB499" s="579">
        <v>868</v>
      </c>
      <c r="AC499" s="579">
        <v>836</v>
      </c>
      <c r="AD499" s="579">
        <v>905</v>
      </c>
      <c r="AE499" s="579">
        <v>777</v>
      </c>
      <c r="AF499" s="579">
        <v>641</v>
      </c>
      <c r="AG499" s="579">
        <v>674</v>
      </c>
      <c r="AH499" s="579">
        <v>686</v>
      </c>
      <c r="AI499" s="579">
        <v>727</v>
      </c>
      <c r="AJ499" s="579">
        <v>840</v>
      </c>
      <c r="AK499" s="579">
        <v>858</v>
      </c>
      <c r="AL499" s="579">
        <v>945</v>
      </c>
      <c r="AM499" s="579">
        <v>890</v>
      </c>
      <c r="AN499" s="579">
        <v>816</v>
      </c>
      <c r="AO499" s="579">
        <v>944</v>
      </c>
      <c r="AP499" s="579">
        <v>857</v>
      </c>
      <c r="AQ499" s="579">
        <v>968</v>
      </c>
      <c r="AR499" s="579">
        <v>910</v>
      </c>
      <c r="AS499" s="579">
        <v>982</v>
      </c>
      <c r="AT499" s="579">
        <v>986</v>
      </c>
      <c r="AU499" s="579">
        <v>996</v>
      </c>
      <c r="AV499" s="579">
        <v>984</v>
      </c>
      <c r="AW499" s="579">
        <v>944</v>
      </c>
      <c r="AX499" s="579">
        <v>937</v>
      </c>
      <c r="AY499" s="579">
        <v>874</v>
      </c>
      <c r="AZ499" s="579">
        <v>882</v>
      </c>
      <c r="BA499" s="579">
        <v>860</v>
      </c>
      <c r="BB499" s="579">
        <v>916</v>
      </c>
      <c r="BC499" s="579">
        <v>935</v>
      </c>
      <c r="BD499" s="579">
        <v>885</v>
      </c>
      <c r="BE499" s="579">
        <v>798</v>
      </c>
      <c r="BF499" s="579">
        <v>764</v>
      </c>
      <c r="BG499" s="579">
        <v>821</v>
      </c>
      <c r="BH499" s="579">
        <v>816</v>
      </c>
      <c r="BI499" s="579">
        <v>884</v>
      </c>
      <c r="BJ499" s="579">
        <v>901</v>
      </c>
      <c r="BK499" s="579">
        <v>1009</v>
      </c>
      <c r="BL499" s="579">
        <v>1091</v>
      </c>
      <c r="BM499" s="579">
        <v>977</v>
      </c>
      <c r="BN499" s="579">
        <v>1017</v>
      </c>
      <c r="BO499" s="579">
        <v>1078</v>
      </c>
      <c r="BP499" s="579">
        <v>1056</v>
      </c>
      <c r="BQ499" s="579">
        <v>1081</v>
      </c>
      <c r="BR499" s="579">
        <v>1062</v>
      </c>
      <c r="BS499" s="579">
        <v>1067</v>
      </c>
      <c r="BT499" s="579">
        <v>1000</v>
      </c>
      <c r="BU499" s="579">
        <v>1035</v>
      </c>
      <c r="BV499" s="579">
        <v>984</v>
      </c>
      <c r="BW499" s="579">
        <v>918</v>
      </c>
      <c r="BX499" s="579">
        <v>903</v>
      </c>
      <c r="BY499" s="579">
        <v>907</v>
      </c>
      <c r="BZ499" s="579">
        <v>835</v>
      </c>
      <c r="CA499" s="579">
        <v>831</v>
      </c>
      <c r="CB499" s="579">
        <v>766</v>
      </c>
      <c r="CC499" s="579">
        <v>742</v>
      </c>
      <c r="CD499" s="579">
        <v>776</v>
      </c>
      <c r="CE499" s="579">
        <v>736</v>
      </c>
      <c r="CF499" s="579">
        <v>767</v>
      </c>
      <c r="CG499" s="579">
        <v>726</v>
      </c>
      <c r="CH499" s="579">
        <v>780</v>
      </c>
      <c r="CI499" s="579">
        <v>754</v>
      </c>
      <c r="CJ499" s="579">
        <v>809</v>
      </c>
      <c r="CK499" s="579">
        <v>632</v>
      </c>
      <c r="CL499" s="579">
        <v>617</v>
      </c>
      <c r="CM499" s="579">
        <v>572</v>
      </c>
      <c r="CN499" s="579">
        <v>506</v>
      </c>
      <c r="CO499" s="579">
        <v>443</v>
      </c>
      <c r="CP499" s="579">
        <v>449</v>
      </c>
      <c r="CQ499" s="579">
        <v>367</v>
      </c>
      <c r="CR499" s="579">
        <v>336</v>
      </c>
      <c r="CS499" s="579">
        <v>314</v>
      </c>
      <c r="CT499" s="579">
        <v>257</v>
      </c>
      <c r="CU499" s="579">
        <v>226</v>
      </c>
      <c r="CV499" s="579">
        <v>223</v>
      </c>
      <c r="CW499" s="579">
        <v>154</v>
      </c>
      <c r="CX499" s="579">
        <v>144</v>
      </c>
      <c r="CY499" s="579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3">
      <c r="A500" s="31" t="s">
        <v>74</v>
      </c>
      <c r="B500" s="1" t="s">
        <v>574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79">
        <v>834</v>
      </c>
      <c r="N500" s="579">
        <v>824</v>
      </c>
      <c r="O500" s="579">
        <v>908</v>
      </c>
      <c r="P500" s="579">
        <v>935</v>
      </c>
      <c r="Q500" s="579">
        <v>1007</v>
      </c>
      <c r="R500" s="579">
        <v>996</v>
      </c>
      <c r="S500" s="579">
        <v>1029</v>
      </c>
      <c r="T500" s="579">
        <v>1072</v>
      </c>
      <c r="U500" s="579">
        <v>1068</v>
      </c>
      <c r="V500" s="579">
        <v>1056</v>
      </c>
      <c r="W500" s="579">
        <v>1069</v>
      </c>
      <c r="X500" s="579">
        <v>1095</v>
      </c>
      <c r="Y500" s="579">
        <v>1148</v>
      </c>
      <c r="Z500" s="579">
        <v>1126</v>
      </c>
      <c r="AA500" s="579">
        <v>1141</v>
      </c>
      <c r="AB500" s="579">
        <v>1053</v>
      </c>
      <c r="AC500" s="579">
        <v>1026</v>
      </c>
      <c r="AD500" s="579">
        <v>1028</v>
      </c>
      <c r="AE500" s="579">
        <v>1108</v>
      </c>
      <c r="AF500" s="579">
        <v>875</v>
      </c>
      <c r="AG500" s="579">
        <v>817</v>
      </c>
      <c r="AH500" s="579">
        <v>888</v>
      </c>
      <c r="AI500" s="579">
        <v>942</v>
      </c>
      <c r="AJ500" s="579">
        <v>891</v>
      </c>
      <c r="AK500" s="579">
        <v>901</v>
      </c>
      <c r="AL500" s="579">
        <v>1103</v>
      </c>
      <c r="AM500" s="579">
        <v>1005</v>
      </c>
      <c r="AN500" s="579">
        <v>987</v>
      </c>
      <c r="AO500" s="579">
        <v>1032</v>
      </c>
      <c r="AP500" s="579">
        <v>1030</v>
      </c>
      <c r="AQ500" s="579">
        <v>1074</v>
      </c>
      <c r="AR500" s="579">
        <v>1182</v>
      </c>
      <c r="AS500" s="579">
        <v>1115</v>
      </c>
      <c r="AT500" s="579">
        <v>1132</v>
      </c>
      <c r="AU500" s="579">
        <v>1167</v>
      </c>
      <c r="AV500" s="579">
        <v>1071</v>
      </c>
      <c r="AW500" s="579">
        <v>1140</v>
      </c>
      <c r="AX500" s="579">
        <v>1077</v>
      </c>
      <c r="AY500" s="579">
        <v>1079</v>
      </c>
      <c r="AZ500" s="579">
        <v>1060</v>
      </c>
      <c r="BA500" s="579">
        <v>1012</v>
      </c>
      <c r="BB500" s="579">
        <v>1070</v>
      </c>
      <c r="BC500" s="579">
        <v>1085</v>
      </c>
      <c r="BD500" s="579">
        <v>1002</v>
      </c>
      <c r="BE500" s="579">
        <v>958</v>
      </c>
      <c r="BF500" s="579">
        <v>997</v>
      </c>
      <c r="BG500" s="579">
        <v>992</v>
      </c>
      <c r="BH500" s="579">
        <v>988</v>
      </c>
      <c r="BI500" s="579">
        <v>1077</v>
      </c>
      <c r="BJ500" s="579">
        <v>1113</v>
      </c>
      <c r="BK500" s="579">
        <v>1157</v>
      </c>
      <c r="BL500" s="579">
        <v>1232</v>
      </c>
      <c r="BM500" s="579">
        <v>1129</v>
      </c>
      <c r="BN500" s="579">
        <v>1299</v>
      </c>
      <c r="BO500" s="579">
        <v>1259</v>
      </c>
      <c r="BP500" s="579">
        <v>1214</v>
      </c>
      <c r="BQ500" s="579">
        <v>1265</v>
      </c>
      <c r="BR500" s="579">
        <v>1277</v>
      </c>
      <c r="BS500" s="579">
        <v>1255</v>
      </c>
      <c r="BT500" s="579">
        <v>1273</v>
      </c>
      <c r="BU500" s="579">
        <v>1181</v>
      </c>
      <c r="BV500" s="579">
        <v>1146</v>
      </c>
      <c r="BW500" s="579">
        <v>1118</v>
      </c>
      <c r="BX500" s="579">
        <v>1064</v>
      </c>
      <c r="BY500" s="579">
        <v>1058</v>
      </c>
      <c r="BZ500" s="579">
        <v>1029</v>
      </c>
      <c r="CA500" s="579">
        <v>925</v>
      </c>
      <c r="CB500" s="579">
        <v>870</v>
      </c>
      <c r="CC500" s="579">
        <v>989</v>
      </c>
      <c r="CD500" s="579">
        <v>948</v>
      </c>
      <c r="CE500" s="579">
        <v>880</v>
      </c>
      <c r="CF500" s="579">
        <v>910</v>
      </c>
      <c r="CG500" s="579">
        <v>938</v>
      </c>
      <c r="CH500" s="579">
        <v>837</v>
      </c>
      <c r="CI500" s="579">
        <v>970</v>
      </c>
      <c r="CJ500" s="579">
        <v>989</v>
      </c>
      <c r="CK500" s="579">
        <v>740</v>
      </c>
      <c r="CL500" s="579">
        <v>691</v>
      </c>
      <c r="CM500" s="579">
        <v>645</v>
      </c>
      <c r="CN500" s="579">
        <v>570</v>
      </c>
      <c r="CO500" s="579">
        <v>578</v>
      </c>
      <c r="CP500" s="579">
        <v>442</v>
      </c>
      <c r="CQ500" s="579">
        <v>426</v>
      </c>
      <c r="CR500" s="579">
        <v>410</v>
      </c>
      <c r="CS500" s="579">
        <v>355</v>
      </c>
      <c r="CT500" s="579">
        <v>296</v>
      </c>
      <c r="CU500" s="579">
        <v>259</v>
      </c>
      <c r="CV500" s="579">
        <v>215</v>
      </c>
      <c r="CW500" s="579">
        <v>176</v>
      </c>
      <c r="CX500" s="579">
        <v>150</v>
      </c>
      <c r="CY500" s="579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3">
      <c r="A501" s="31" t="s">
        <v>74</v>
      </c>
      <c r="B501" s="1" t="s">
        <v>575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79">
        <v>1950</v>
      </c>
      <c r="N501" s="579">
        <v>1875</v>
      </c>
      <c r="O501" s="579">
        <v>1880</v>
      </c>
      <c r="P501" s="579">
        <v>1977</v>
      </c>
      <c r="Q501" s="579">
        <v>2035</v>
      </c>
      <c r="R501" s="579">
        <v>2099</v>
      </c>
      <c r="S501" s="579">
        <v>2234</v>
      </c>
      <c r="T501" s="579">
        <v>2194</v>
      </c>
      <c r="U501" s="579">
        <v>2213</v>
      </c>
      <c r="V501" s="579">
        <v>2181</v>
      </c>
      <c r="W501" s="579">
        <v>2303</v>
      </c>
      <c r="X501" s="579">
        <v>2380</v>
      </c>
      <c r="Y501" s="579">
        <v>2271</v>
      </c>
      <c r="Z501" s="579">
        <v>2188</v>
      </c>
      <c r="AA501" s="579">
        <v>2173</v>
      </c>
      <c r="AB501" s="579">
        <v>2117</v>
      </c>
      <c r="AC501" s="579">
        <v>2130</v>
      </c>
      <c r="AD501" s="579">
        <v>2130</v>
      </c>
      <c r="AE501" s="579">
        <v>2327</v>
      </c>
      <c r="AF501" s="579">
        <v>4164</v>
      </c>
      <c r="AG501" s="579">
        <v>4565</v>
      </c>
      <c r="AH501" s="579">
        <v>4249</v>
      </c>
      <c r="AI501" s="579">
        <v>3797</v>
      </c>
      <c r="AJ501" s="579">
        <v>3628</v>
      </c>
      <c r="AK501" s="579">
        <v>3513</v>
      </c>
      <c r="AL501" s="579">
        <v>3439</v>
      </c>
      <c r="AM501" s="579">
        <v>3420</v>
      </c>
      <c r="AN501" s="579">
        <v>3228</v>
      </c>
      <c r="AO501" s="579">
        <v>3077</v>
      </c>
      <c r="AP501" s="579">
        <v>2999</v>
      </c>
      <c r="AQ501" s="579">
        <v>2824</v>
      </c>
      <c r="AR501" s="579">
        <v>2846</v>
      </c>
      <c r="AS501" s="579">
        <v>2776</v>
      </c>
      <c r="AT501" s="579">
        <v>2588</v>
      </c>
      <c r="AU501" s="579">
        <v>2705</v>
      </c>
      <c r="AV501" s="579">
        <v>2608</v>
      </c>
      <c r="AW501" s="579">
        <v>2669</v>
      </c>
      <c r="AX501" s="579">
        <v>2467</v>
      </c>
      <c r="AY501" s="579">
        <v>2494</v>
      </c>
      <c r="AZ501" s="579">
        <v>2498</v>
      </c>
      <c r="BA501" s="579">
        <v>2343</v>
      </c>
      <c r="BB501" s="579">
        <v>2361</v>
      </c>
      <c r="BC501" s="579">
        <v>2324</v>
      </c>
      <c r="BD501" s="579">
        <v>2260</v>
      </c>
      <c r="BE501" s="579">
        <v>2022</v>
      </c>
      <c r="BF501" s="579">
        <v>2128</v>
      </c>
      <c r="BG501" s="579">
        <v>2019</v>
      </c>
      <c r="BH501" s="579">
        <v>2027</v>
      </c>
      <c r="BI501" s="579">
        <v>2070</v>
      </c>
      <c r="BJ501" s="579">
        <v>1928</v>
      </c>
      <c r="BK501" s="579">
        <v>1966</v>
      </c>
      <c r="BL501" s="579">
        <v>2100</v>
      </c>
      <c r="BM501" s="579">
        <v>2061</v>
      </c>
      <c r="BN501" s="579">
        <v>2078</v>
      </c>
      <c r="BO501" s="579">
        <v>1992</v>
      </c>
      <c r="BP501" s="579">
        <v>2070</v>
      </c>
      <c r="BQ501" s="579">
        <v>1888</v>
      </c>
      <c r="BR501" s="579">
        <v>2027</v>
      </c>
      <c r="BS501" s="579">
        <v>1976</v>
      </c>
      <c r="BT501" s="579">
        <v>1918</v>
      </c>
      <c r="BU501" s="579">
        <v>1994</v>
      </c>
      <c r="BV501" s="579">
        <v>1814</v>
      </c>
      <c r="BW501" s="579">
        <v>1830</v>
      </c>
      <c r="BX501" s="579">
        <v>1808</v>
      </c>
      <c r="BY501" s="579">
        <v>1654</v>
      </c>
      <c r="BZ501" s="579">
        <v>1666</v>
      </c>
      <c r="CA501" s="579">
        <v>1538</v>
      </c>
      <c r="CB501" s="579">
        <v>1449</v>
      </c>
      <c r="CC501" s="579">
        <v>1467</v>
      </c>
      <c r="CD501" s="579">
        <v>1364</v>
      </c>
      <c r="CE501" s="579">
        <v>1286</v>
      </c>
      <c r="CF501" s="579">
        <v>1359</v>
      </c>
      <c r="CG501" s="579">
        <v>1353</v>
      </c>
      <c r="CH501" s="579">
        <v>1306</v>
      </c>
      <c r="CI501" s="579">
        <v>1244</v>
      </c>
      <c r="CJ501" s="579">
        <v>1342</v>
      </c>
      <c r="CK501" s="579">
        <v>991</v>
      </c>
      <c r="CL501" s="579">
        <v>942</v>
      </c>
      <c r="CM501" s="579">
        <v>905</v>
      </c>
      <c r="CN501" s="579">
        <v>742</v>
      </c>
      <c r="CO501" s="579">
        <v>691</v>
      </c>
      <c r="CP501" s="579">
        <v>611</v>
      </c>
      <c r="CQ501" s="579">
        <v>589</v>
      </c>
      <c r="CR501" s="579">
        <v>538</v>
      </c>
      <c r="CS501" s="579">
        <v>490</v>
      </c>
      <c r="CT501" s="579">
        <v>446</v>
      </c>
      <c r="CU501" s="579">
        <v>394</v>
      </c>
      <c r="CV501" s="579">
        <v>368</v>
      </c>
      <c r="CW501" s="579">
        <v>281</v>
      </c>
      <c r="CX501" s="579">
        <v>249</v>
      </c>
      <c r="CY501" s="579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3">
      <c r="A502" s="31" t="s">
        <v>74</v>
      </c>
      <c r="B502" s="1" t="s">
        <v>576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79">
        <v>856</v>
      </c>
      <c r="N502" s="579">
        <v>866</v>
      </c>
      <c r="O502" s="579">
        <v>854</v>
      </c>
      <c r="P502" s="579">
        <v>934</v>
      </c>
      <c r="Q502" s="579">
        <v>976</v>
      </c>
      <c r="R502" s="579">
        <v>1016</v>
      </c>
      <c r="S502" s="579">
        <v>1068</v>
      </c>
      <c r="T502" s="579">
        <v>1057</v>
      </c>
      <c r="U502" s="579">
        <v>1032</v>
      </c>
      <c r="V502" s="579">
        <v>1077</v>
      </c>
      <c r="W502" s="579">
        <v>1158</v>
      </c>
      <c r="X502" s="579">
        <v>1168</v>
      </c>
      <c r="Y502" s="579">
        <v>1148</v>
      </c>
      <c r="Z502" s="579">
        <v>1099</v>
      </c>
      <c r="AA502" s="579">
        <v>1137</v>
      </c>
      <c r="AB502" s="579">
        <v>1146</v>
      </c>
      <c r="AC502" s="579">
        <v>1150</v>
      </c>
      <c r="AD502" s="579">
        <v>1098</v>
      </c>
      <c r="AE502" s="579">
        <v>1071</v>
      </c>
      <c r="AF502" s="579">
        <v>898</v>
      </c>
      <c r="AG502" s="579">
        <v>829</v>
      </c>
      <c r="AH502" s="579">
        <v>834</v>
      </c>
      <c r="AI502" s="579">
        <v>847</v>
      </c>
      <c r="AJ502" s="579">
        <v>907</v>
      </c>
      <c r="AK502" s="579">
        <v>957</v>
      </c>
      <c r="AL502" s="579">
        <v>1013</v>
      </c>
      <c r="AM502" s="579">
        <v>1000</v>
      </c>
      <c r="AN502" s="579">
        <v>923</v>
      </c>
      <c r="AO502" s="579">
        <v>977</v>
      </c>
      <c r="AP502" s="579">
        <v>975</v>
      </c>
      <c r="AQ502" s="579">
        <v>1005</v>
      </c>
      <c r="AR502" s="579">
        <v>1049</v>
      </c>
      <c r="AS502" s="579">
        <v>1077</v>
      </c>
      <c r="AT502" s="579">
        <v>1035</v>
      </c>
      <c r="AU502" s="579">
        <v>1116</v>
      </c>
      <c r="AV502" s="579">
        <v>1060</v>
      </c>
      <c r="AW502" s="579">
        <v>1050</v>
      </c>
      <c r="AX502" s="579">
        <v>991</v>
      </c>
      <c r="AY502" s="579">
        <v>1021</v>
      </c>
      <c r="AZ502" s="579">
        <v>1015</v>
      </c>
      <c r="BA502" s="579">
        <v>996</v>
      </c>
      <c r="BB502" s="579">
        <v>1033</v>
      </c>
      <c r="BC502" s="579">
        <v>1042</v>
      </c>
      <c r="BD502" s="579">
        <v>1003</v>
      </c>
      <c r="BE502" s="579">
        <v>929</v>
      </c>
      <c r="BF502" s="579">
        <v>918</v>
      </c>
      <c r="BG502" s="579">
        <v>1008</v>
      </c>
      <c r="BH502" s="579">
        <v>1037</v>
      </c>
      <c r="BI502" s="579">
        <v>1074</v>
      </c>
      <c r="BJ502" s="579">
        <v>1130</v>
      </c>
      <c r="BK502" s="579">
        <v>1203</v>
      </c>
      <c r="BL502" s="579">
        <v>1281</v>
      </c>
      <c r="BM502" s="579">
        <v>1243</v>
      </c>
      <c r="BN502" s="579">
        <v>1231</v>
      </c>
      <c r="BO502" s="579">
        <v>1260</v>
      </c>
      <c r="BP502" s="579">
        <v>1356</v>
      </c>
      <c r="BQ502" s="579">
        <v>1372</v>
      </c>
      <c r="BR502" s="579">
        <v>1413</v>
      </c>
      <c r="BS502" s="579">
        <v>1455</v>
      </c>
      <c r="BT502" s="579">
        <v>1317</v>
      </c>
      <c r="BU502" s="579">
        <v>1416</v>
      </c>
      <c r="BV502" s="579">
        <v>1373</v>
      </c>
      <c r="BW502" s="579">
        <v>1349</v>
      </c>
      <c r="BX502" s="579">
        <v>1279</v>
      </c>
      <c r="BY502" s="579">
        <v>1311</v>
      </c>
      <c r="BZ502" s="579">
        <v>1261</v>
      </c>
      <c r="CA502" s="579">
        <v>1172</v>
      </c>
      <c r="CB502" s="579">
        <v>1270</v>
      </c>
      <c r="CC502" s="579">
        <v>1212</v>
      </c>
      <c r="CD502" s="579">
        <v>1197</v>
      </c>
      <c r="CE502" s="579">
        <v>1164</v>
      </c>
      <c r="CF502" s="579">
        <v>1112</v>
      </c>
      <c r="CG502" s="579">
        <v>1141</v>
      </c>
      <c r="CH502" s="579">
        <v>1175</v>
      </c>
      <c r="CI502" s="579">
        <v>1186</v>
      </c>
      <c r="CJ502" s="579">
        <v>1175</v>
      </c>
      <c r="CK502" s="579">
        <v>999</v>
      </c>
      <c r="CL502" s="579">
        <v>920</v>
      </c>
      <c r="CM502" s="579">
        <v>863</v>
      </c>
      <c r="CN502" s="579">
        <v>789</v>
      </c>
      <c r="CO502" s="579">
        <v>736</v>
      </c>
      <c r="CP502" s="579">
        <v>619</v>
      </c>
      <c r="CQ502" s="579">
        <v>561</v>
      </c>
      <c r="CR502" s="579">
        <v>506</v>
      </c>
      <c r="CS502" s="579">
        <v>445</v>
      </c>
      <c r="CT502" s="579">
        <v>454</v>
      </c>
      <c r="CU502" s="579">
        <v>361</v>
      </c>
      <c r="CV502" s="579">
        <v>330</v>
      </c>
      <c r="CW502" s="579">
        <v>265</v>
      </c>
      <c r="CX502" s="579">
        <v>198</v>
      </c>
      <c r="CY502" s="579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3">
      <c r="A503" s="31" t="s">
        <v>74</v>
      </c>
      <c r="B503" s="1" t="s">
        <v>577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79">
        <v>276</v>
      </c>
      <c r="N503" s="579">
        <v>237</v>
      </c>
      <c r="O503" s="579">
        <v>271</v>
      </c>
      <c r="P503" s="579">
        <v>294</v>
      </c>
      <c r="Q503" s="579">
        <v>285</v>
      </c>
      <c r="R503" s="579">
        <v>312</v>
      </c>
      <c r="S503" s="579">
        <v>341</v>
      </c>
      <c r="T503" s="579">
        <v>317</v>
      </c>
      <c r="U503" s="579">
        <v>309</v>
      </c>
      <c r="V503" s="579">
        <v>360</v>
      </c>
      <c r="W503" s="579">
        <v>360</v>
      </c>
      <c r="X503" s="579">
        <v>370</v>
      </c>
      <c r="Y503" s="579">
        <v>368</v>
      </c>
      <c r="Z503" s="579">
        <v>326</v>
      </c>
      <c r="AA503" s="579">
        <v>334</v>
      </c>
      <c r="AB503" s="579">
        <v>346</v>
      </c>
      <c r="AC503" s="579">
        <v>355</v>
      </c>
      <c r="AD503" s="579">
        <v>378</v>
      </c>
      <c r="AE503" s="579">
        <v>435</v>
      </c>
      <c r="AF503" s="579">
        <v>855</v>
      </c>
      <c r="AG503" s="579">
        <v>809</v>
      </c>
      <c r="AH503" s="579">
        <v>767</v>
      </c>
      <c r="AI503" s="579">
        <v>615</v>
      </c>
      <c r="AJ503" s="579">
        <v>548</v>
      </c>
      <c r="AK503" s="579">
        <v>432</v>
      </c>
      <c r="AL503" s="579">
        <v>350</v>
      </c>
      <c r="AM503" s="579">
        <v>336</v>
      </c>
      <c r="AN503" s="579">
        <v>361</v>
      </c>
      <c r="AO503" s="579">
        <v>363</v>
      </c>
      <c r="AP503" s="579">
        <v>307</v>
      </c>
      <c r="AQ503" s="579">
        <v>338</v>
      </c>
      <c r="AR503" s="579">
        <v>347</v>
      </c>
      <c r="AS503" s="579">
        <v>354</v>
      </c>
      <c r="AT503" s="579">
        <v>356</v>
      </c>
      <c r="AU503" s="579">
        <v>352</v>
      </c>
      <c r="AV503" s="579">
        <v>311</v>
      </c>
      <c r="AW503" s="579">
        <v>316</v>
      </c>
      <c r="AX503" s="579">
        <v>334</v>
      </c>
      <c r="AY503" s="579">
        <v>320</v>
      </c>
      <c r="AZ503" s="579">
        <v>335</v>
      </c>
      <c r="BA503" s="579">
        <v>353</v>
      </c>
      <c r="BB503" s="579">
        <v>347</v>
      </c>
      <c r="BC503" s="579">
        <v>316</v>
      </c>
      <c r="BD503" s="579">
        <v>308</v>
      </c>
      <c r="BE503" s="579">
        <v>280</v>
      </c>
      <c r="BF503" s="579">
        <v>309</v>
      </c>
      <c r="BG503" s="579">
        <v>342</v>
      </c>
      <c r="BH503" s="579">
        <v>348</v>
      </c>
      <c r="BI503" s="579">
        <v>356</v>
      </c>
      <c r="BJ503" s="579">
        <v>339</v>
      </c>
      <c r="BK503" s="579">
        <v>402</v>
      </c>
      <c r="BL503" s="579">
        <v>431</v>
      </c>
      <c r="BM503" s="579">
        <v>435</v>
      </c>
      <c r="BN503" s="579">
        <v>504</v>
      </c>
      <c r="BO503" s="579">
        <v>475</v>
      </c>
      <c r="BP503" s="579">
        <v>496</v>
      </c>
      <c r="BQ503" s="579">
        <v>511</v>
      </c>
      <c r="BR503" s="579">
        <v>501</v>
      </c>
      <c r="BS503" s="579">
        <v>541</v>
      </c>
      <c r="BT503" s="579">
        <v>553</v>
      </c>
      <c r="BU503" s="579">
        <v>538</v>
      </c>
      <c r="BV503" s="579">
        <v>517</v>
      </c>
      <c r="BW503" s="579">
        <v>495</v>
      </c>
      <c r="BX503" s="579">
        <v>529</v>
      </c>
      <c r="BY503" s="579">
        <v>518</v>
      </c>
      <c r="BZ503" s="579">
        <v>495</v>
      </c>
      <c r="CA503" s="579">
        <v>519</v>
      </c>
      <c r="CB503" s="579">
        <v>491</v>
      </c>
      <c r="CC503" s="579">
        <v>490</v>
      </c>
      <c r="CD503" s="579">
        <v>448</v>
      </c>
      <c r="CE503" s="579">
        <v>472</v>
      </c>
      <c r="CF503" s="579">
        <v>453</v>
      </c>
      <c r="CG503" s="579">
        <v>454</v>
      </c>
      <c r="CH503" s="579">
        <v>509</v>
      </c>
      <c r="CI503" s="579">
        <v>531</v>
      </c>
      <c r="CJ503" s="579">
        <v>500</v>
      </c>
      <c r="CK503" s="579">
        <v>376</v>
      </c>
      <c r="CL503" s="579">
        <v>376</v>
      </c>
      <c r="CM503" s="579">
        <v>354</v>
      </c>
      <c r="CN503" s="579">
        <v>347</v>
      </c>
      <c r="CO503" s="579">
        <v>289</v>
      </c>
      <c r="CP503" s="579">
        <v>213</v>
      </c>
      <c r="CQ503" s="579">
        <v>241</v>
      </c>
      <c r="CR503" s="579">
        <v>198</v>
      </c>
      <c r="CS503" s="579">
        <v>175</v>
      </c>
      <c r="CT503" s="579">
        <v>168</v>
      </c>
      <c r="CU503" s="579">
        <v>134</v>
      </c>
      <c r="CV503" s="579">
        <v>115</v>
      </c>
      <c r="CW503" s="579">
        <v>97</v>
      </c>
      <c r="CX503" s="579">
        <v>84</v>
      </c>
      <c r="CY503" s="579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3">
      <c r="A504" s="31" t="s">
        <v>74</v>
      </c>
      <c r="B504" s="1" t="s">
        <v>578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79">
        <v>483</v>
      </c>
      <c r="N504" s="579">
        <v>469</v>
      </c>
      <c r="O504" s="579">
        <v>522</v>
      </c>
      <c r="P504" s="579">
        <v>523</v>
      </c>
      <c r="Q504" s="579">
        <v>549</v>
      </c>
      <c r="R504" s="579">
        <v>540</v>
      </c>
      <c r="S504" s="579">
        <v>563</v>
      </c>
      <c r="T504" s="579">
        <v>620</v>
      </c>
      <c r="U504" s="579">
        <v>583</v>
      </c>
      <c r="V504" s="579">
        <v>622</v>
      </c>
      <c r="W504" s="579">
        <v>611</v>
      </c>
      <c r="X504" s="579">
        <v>686</v>
      </c>
      <c r="Y504" s="579">
        <v>621</v>
      </c>
      <c r="Z504" s="579">
        <v>634</v>
      </c>
      <c r="AA504" s="579">
        <v>601</v>
      </c>
      <c r="AB504" s="579">
        <v>642</v>
      </c>
      <c r="AC504" s="579">
        <v>627</v>
      </c>
      <c r="AD504" s="579">
        <v>641</v>
      </c>
      <c r="AE504" s="579">
        <v>613</v>
      </c>
      <c r="AF504" s="579">
        <v>404</v>
      </c>
      <c r="AG504" s="579">
        <v>422</v>
      </c>
      <c r="AH504" s="579">
        <v>441</v>
      </c>
      <c r="AI504" s="579">
        <v>543</v>
      </c>
      <c r="AJ504" s="579">
        <v>525</v>
      </c>
      <c r="AK504" s="579">
        <v>583</v>
      </c>
      <c r="AL504" s="579">
        <v>572</v>
      </c>
      <c r="AM504" s="579">
        <v>471</v>
      </c>
      <c r="AN504" s="579">
        <v>561</v>
      </c>
      <c r="AO504" s="579">
        <v>538</v>
      </c>
      <c r="AP504" s="579">
        <v>526</v>
      </c>
      <c r="AQ504" s="579">
        <v>576</v>
      </c>
      <c r="AR504" s="579">
        <v>623</v>
      </c>
      <c r="AS504" s="579">
        <v>576</v>
      </c>
      <c r="AT504" s="579">
        <v>615</v>
      </c>
      <c r="AU504" s="579">
        <v>597</v>
      </c>
      <c r="AV504" s="579">
        <v>594</v>
      </c>
      <c r="AW504" s="579">
        <v>552</v>
      </c>
      <c r="AX504" s="579">
        <v>589</v>
      </c>
      <c r="AY504" s="579">
        <v>559</v>
      </c>
      <c r="AZ504" s="579">
        <v>543</v>
      </c>
      <c r="BA504" s="579">
        <v>551</v>
      </c>
      <c r="BB504" s="579">
        <v>596</v>
      </c>
      <c r="BC504" s="579">
        <v>626</v>
      </c>
      <c r="BD504" s="579">
        <v>555</v>
      </c>
      <c r="BE504" s="579">
        <v>470</v>
      </c>
      <c r="BF504" s="579">
        <v>555</v>
      </c>
      <c r="BG504" s="579">
        <v>559</v>
      </c>
      <c r="BH504" s="579">
        <v>569</v>
      </c>
      <c r="BI504" s="579">
        <v>603</v>
      </c>
      <c r="BJ504" s="579">
        <v>679</v>
      </c>
      <c r="BK504" s="579">
        <v>788</v>
      </c>
      <c r="BL504" s="579">
        <v>775</v>
      </c>
      <c r="BM504" s="579">
        <v>750</v>
      </c>
      <c r="BN504" s="579">
        <v>805</v>
      </c>
      <c r="BO504" s="579">
        <v>775</v>
      </c>
      <c r="BP504" s="579">
        <v>819</v>
      </c>
      <c r="BQ504" s="579">
        <v>862</v>
      </c>
      <c r="BR504" s="579">
        <v>890</v>
      </c>
      <c r="BS504" s="579">
        <v>870</v>
      </c>
      <c r="BT504" s="579">
        <v>881</v>
      </c>
      <c r="BU504" s="579">
        <v>879</v>
      </c>
      <c r="BV504" s="579">
        <v>894</v>
      </c>
      <c r="BW504" s="579">
        <v>876</v>
      </c>
      <c r="BX504" s="579">
        <v>830</v>
      </c>
      <c r="BY504" s="579">
        <v>792</v>
      </c>
      <c r="BZ504" s="579">
        <v>785</v>
      </c>
      <c r="CA504" s="579">
        <v>740</v>
      </c>
      <c r="CB504" s="579">
        <v>717</v>
      </c>
      <c r="CC504" s="579">
        <v>789</v>
      </c>
      <c r="CD504" s="579">
        <v>744</v>
      </c>
      <c r="CE504" s="579">
        <v>734</v>
      </c>
      <c r="CF504" s="579">
        <v>780</v>
      </c>
      <c r="CG504" s="579">
        <v>723</v>
      </c>
      <c r="CH504" s="579">
        <v>809</v>
      </c>
      <c r="CI504" s="579">
        <v>853</v>
      </c>
      <c r="CJ504" s="579">
        <v>851</v>
      </c>
      <c r="CK504" s="579">
        <v>673</v>
      </c>
      <c r="CL504" s="579">
        <v>628</v>
      </c>
      <c r="CM504" s="579">
        <v>602</v>
      </c>
      <c r="CN504" s="579">
        <v>548</v>
      </c>
      <c r="CO504" s="579">
        <v>479</v>
      </c>
      <c r="CP504" s="579">
        <v>400</v>
      </c>
      <c r="CQ504" s="579">
        <v>367</v>
      </c>
      <c r="CR504" s="579">
        <v>373</v>
      </c>
      <c r="CS504" s="579">
        <v>296</v>
      </c>
      <c r="CT504" s="579">
        <v>289</v>
      </c>
      <c r="CU504" s="579">
        <v>267</v>
      </c>
      <c r="CV504" s="579">
        <v>251</v>
      </c>
      <c r="CW504" s="579">
        <v>195</v>
      </c>
      <c r="CX504" s="579">
        <v>194</v>
      </c>
      <c r="CY504" s="579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3">
      <c r="A505" s="31" t="s">
        <v>74</v>
      </c>
      <c r="B505" s="1" t="s">
        <v>579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79">
        <v>457</v>
      </c>
      <c r="N505" s="579">
        <v>493</v>
      </c>
      <c r="O505" s="579">
        <v>520</v>
      </c>
      <c r="P505" s="579">
        <v>480</v>
      </c>
      <c r="Q505" s="579">
        <v>486</v>
      </c>
      <c r="R505" s="579">
        <v>551</v>
      </c>
      <c r="S505" s="579">
        <v>523</v>
      </c>
      <c r="T505" s="579">
        <v>558</v>
      </c>
      <c r="U505" s="579">
        <v>524</v>
      </c>
      <c r="V505" s="579">
        <v>561</v>
      </c>
      <c r="W505" s="579">
        <v>567</v>
      </c>
      <c r="X505" s="579">
        <v>592</v>
      </c>
      <c r="Y505" s="579">
        <v>615</v>
      </c>
      <c r="Z505" s="579">
        <v>593</v>
      </c>
      <c r="AA505" s="579">
        <v>609</v>
      </c>
      <c r="AB505" s="579">
        <v>587</v>
      </c>
      <c r="AC505" s="579">
        <v>587</v>
      </c>
      <c r="AD505" s="579">
        <v>627</v>
      </c>
      <c r="AE505" s="579">
        <v>551</v>
      </c>
      <c r="AF505" s="579">
        <v>439</v>
      </c>
      <c r="AG505" s="579">
        <v>422</v>
      </c>
      <c r="AH505" s="579">
        <v>434</v>
      </c>
      <c r="AI505" s="579">
        <v>423</v>
      </c>
      <c r="AJ505" s="579">
        <v>470</v>
      </c>
      <c r="AK505" s="579">
        <v>490</v>
      </c>
      <c r="AL505" s="579">
        <v>482</v>
      </c>
      <c r="AM505" s="579">
        <v>514</v>
      </c>
      <c r="AN505" s="579">
        <v>470</v>
      </c>
      <c r="AO505" s="579">
        <v>500</v>
      </c>
      <c r="AP505" s="579">
        <v>483</v>
      </c>
      <c r="AQ505" s="579">
        <v>507</v>
      </c>
      <c r="AR505" s="579">
        <v>516</v>
      </c>
      <c r="AS505" s="579">
        <v>511</v>
      </c>
      <c r="AT505" s="579">
        <v>471</v>
      </c>
      <c r="AU505" s="579">
        <v>530</v>
      </c>
      <c r="AV505" s="579">
        <v>513</v>
      </c>
      <c r="AW505" s="579">
        <v>510</v>
      </c>
      <c r="AX505" s="579">
        <v>477</v>
      </c>
      <c r="AY505" s="579">
        <v>509</v>
      </c>
      <c r="AZ505" s="579">
        <v>424</v>
      </c>
      <c r="BA505" s="579">
        <v>488</v>
      </c>
      <c r="BB505" s="579">
        <v>496</v>
      </c>
      <c r="BC505" s="579">
        <v>500</v>
      </c>
      <c r="BD505" s="579">
        <v>478</v>
      </c>
      <c r="BE505" s="579">
        <v>422</v>
      </c>
      <c r="BF505" s="579">
        <v>464</v>
      </c>
      <c r="BG505" s="579">
        <v>515</v>
      </c>
      <c r="BH505" s="579">
        <v>516</v>
      </c>
      <c r="BI505" s="579">
        <v>525</v>
      </c>
      <c r="BJ505" s="579">
        <v>532</v>
      </c>
      <c r="BK505" s="579">
        <v>646</v>
      </c>
      <c r="BL505" s="579">
        <v>654</v>
      </c>
      <c r="BM505" s="579">
        <v>645</v>
      </c>
      <c r="BN505" s="579">
        <v>662</v>
      </c>
      <c r="BO505" s="579">
        <v>643</v>
      </c>
      <c r="BP505" s="579">
        <v>715</v>
      </c>
      <c r="BQ505" s="579">
        <v>681</v>
      </c>
      <c r="BR505" s="579">
        <v>758</v>
      </c>
      <c r="BS505" s="579">
        <v>746</v>
      </c>
      <c r="BT505" s="579">
        <v>697</v>
      </c>
      <c r="BU505" s="579">
        <v>737</v>
      </c>
      <c r="BV505" s="579">
        <v>654</v>
      </c>
      <c r="BW505" s="579">
        <v>713</v>
      </c>
      <c r="BX505" s="579">
        <v>665</v>
      </c>
      <c r="BY505" s="579">
        <v>635</v>
      </c>
      <c r="BZ505" s="579">
        <v>637</v>
      </c>
      <c r="CA505" s="579">
        <v>603</v>
      </c>
      <c r="CB505" s="579">
        <v>603</v>
      </c>
      <c r="CC505" s="579">
        <v>596</v>
      </c>
      <c r="CD505" s="579">
        <v>599</v>
      </c>
      <c r="CE505" s="579">
        <v>543</v>
      </c>
      <c r="CF505" s="579">
        <v>547</v>
      </c>
      <c r="CG505" s="579">
        <v>614</v>
      </c>
      <c r="CH505" s="579">
        <v>653</v>
      </c>
      <c r="CI505" s="579">
        <v>674</v>
      </c>
      <c r="CJ505" s="579">
        <v>666</v>
      </c>
      <c r="CK505" s="579">
        <v>469</v>
      </c>
      <c r="CL505" s="579">
        <v>446</v>
      </c>
      <c r="CM505" s="579">
        <v>473</v>
      </c>
      <c r="CN505" s="579">
        <v>443</v>
      </c>
      <c r="CO505" s="579">
        <v>359</v>
      </c>
      <c r="CP505" s="579">
        <v>328</v>
      </c>
      <c r="CQ505" s="579">
        <v>290</v>
      </c>
      <c r="CR505" s="579">
        <v>259</v>
      </c>
      <c r="CS505" s="579">
        <v>236</v>
      </c>
      <c r="CT505" s="579">
        <v>224</v>
      </c>
      <c r="CU505" s="579">
        <v>181</v>
      </c>
      <c r="CV505" s="579">
        <v>162</v>
      </c>
      <c r="CW505" s="579">
        <v>127</v>
      </c>
      <c r="CX505" s="579">
        <v>108</v>
      </c>
      <c r="CY505" s="579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3">
      <c r="A506" s="31" t="s">
        <v>74</v>
      </c>
      <c r="B506" s="1" t="s">
        <v>580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79">
        <v>701</v>
      </c>
      <c r="N506" s="579">
        <v>780</v>
      </c>
      <c r="O506" s="579">
        <v>775</v>
      </c>
      <c r="P506" s="579">
        <v>770</v>
      </c>
      <c r="Q506" s="579">
        <v>817</v>
      </c>
      <c r="R506" s="579">
        <v>825</v>
      </c>
      <c r="S506" s="579">
        <v>849</v>
      </c>
      <c r="T506" s="579">
        <v>888</v>
      </c>
      <c r="U506" s="579">
        <v>904</v>
      </c>
      <c r="V506" s="579">
        <v>899</v>
      </c>
      <c r="W506" s="579">
        <v>971</v>
      </c>
      <c r="X506" s="579">
        <v>933</v>
      </c>
      <c r="Y506" s="579">
        <v>1008</v>
      </c>
      <c r="Z506" s="579">
        <v>933</v>
      </c>
      <c r="AA506" s="579">
        <v>1033</v>
      </c>
      <c r="AB506" s="579">
        <v>950</v>
      </c>
      <c r="AC506" s="579">
        <v>903</v>
      </c>
      <c r="AD506" s="579">
        <v>944</v>
      </c>
      <c r="AE506" s="579">
        <v>881</v>
      </c>
      <c r="AF506" s="579">
        <v>661</v>
      </c>
      <c r="AG506" s="579">
        <v>648</v>
      </c>
      <c r="AH506" s="579">
        <v>673</v>
      </c>
      <c r="AI506" s="579">
        <v>728</v>
      </c>
      <c r="AJ506" s="579">
        <v>844</v>
      </c>
      <c r="AK506" s="579">
        <v>853</v>
      </c>
      <c r="AL506" s="579">
        <v>829</v>
      </c>
      <c r="AM506" s="579">
        <v>799</v>
      </c>
      <c r="AN506" s="579">
        <v>822</v>
      </c>
      <c r="AO506" s="579">
        <v>837</v>
      </c>
      <c r="AP506" s="579">
        <v>879</v>
      </c>
      <c r="AQ506" s="579">
        <v>1004</v>
      </c>
      <c r="AR506" s="579">
        <v>928</v>
      </c>
      <c r="AS506" s="579">
        <v>919</v>
      </c>
      <c r="AT506" s="579">
        <v>961</v>
      </c>
      <c r="AU506" s="579">
        <v>970</v>
      </c>
      <c r="AV506" s="579">
        <v>947</v>
      </c>
      <c r="AW506" s="579">
        <v>978</v>
      </c>
      <c r="AX506" s="579">
        <v>903</v>
      </c>
      <c r="AY506" s="579">
        <v>860</v>
      </c>
      <c r="AZ506" s="579">
        <v>889</v>
      </c>
      <c r="BA506" s="579">
        <v>925</v>
      </c>
      <c r="BB506" s="579">
        <v>916</v>
      </c>
      <c r="BC506" s="579">
        <v>930</v>
      </c>
      <c r="BD506" s="579">
        <v>875</v>
      </c>
      <c r="BE506" s="579">
        <v>855</v>
      </c>
      <c r="BF506" s="579">
        <v>802</v>
      </c>
      <c r="BG506" s="579">
        <v>825</v>
      </c>
      <c r="BH506" s="579">
        <v>925</v>
      </c>
      <c r="BI506" s="579">
        <v>970</v>
      </c>
      <c r="BJ506" s="579">
        <v>989</v>
      </c>
      <c r="BK506" s="579">
        <v>1124</v>
      </c>
      <c r="BL506" s="579">
        <v>1159</v>
      </c>
      <c r="BM506" s="579">
        <v>1172</v>
      </c>
      <c r="BN506" s="579">
        <v>1222</v>
      </c>
      <c r="BO506" s="579">
        <v>1193</v>
      </c>
      <c r="BP506" s="579">
        <v>1115</v>
      </c>
      <c r="BQ506" s="579">
        <v>1116</v>
      </c>
      <c r="BR506" s="579">
        <v>1156</v>
      </c>
      <c r="BS506" s="579">
        <v>1196</v>
      </c>
      <c r="BT506" s="579">
        <v>1096</v>
      </c>
      <c r="BU506" s="579">
        <v>1149</v>
      </c>
      <c r="BV506" s="579">
        <v>1060</v>
      </c>
      <c r="BW506" s="579">
        <v>1024</v>
      </c>
      <c r="BX506" s="579">
        <v>1036</v>
      </c>
      <c r="BY506" s="579">
        <v>912</v>
      </c>
      <c r="BZ506" s="579">
        <v>883</v>
      </c>
      <c r="CA506" s="579">
        <v>867</v>
      </c>
      <c r="CB506" s="579">
        <v>793</v>
      </c>
      <c r="CC506" s="579">
        <v>812</v>
      </c>
      <c r="CD506" s="579">
        <v>850</v>
      </c>
      <c r="CE506" s="579">
        <v>761</v>
      </c>
      <c r="CF506" s="579">
        <v>877</v>
      </c>
      <c r="CG506" s="579">
        <v>832</v>
      </c>
      <c r="CH506" s="579">
        <v>891</v>
      </c>
      <c r="CI506" s="579">
        <v>922</v>
      </c>
      <c r="CJ506" s="579">
        <v>1006</v>
      </c>
      <c r="CK506" s="579">
        <v>637</v>
      </c>
      <c r="CL506" s="579">
        <v>646</v>
      </c>
      <c r="CM506" s="579">
        <v>660</v>
      </c>
      <c r="CN506" s="579">
        <v>553</v>
      </c>
      <c r="CO506" s="579">
        <v>481</v>
      </c>
      <c r="CP506" s="579">
        <v>430</v>
      </c>
      <c r="CQ506" s="579">
        <v>426</v>
      </c>
      <c r="CR506" s="579">
        <v>354</v>
      </c>
      <c r="CS506" s="579">
        <v>350</v>
      </c>
      <c r="CT506" s="579">
        <v>287</v>
      </c>
      <c r="CU506" s="579">
        <v>257</v>
      </c>
      <c r="CV506" s="579">
        <v>212</v>
      </c>
      <c r="CW506" s="579">
        <v>170</v>
      </c>
      <c r="CX506" s="579">
        <v>138</v>
      </c>
      <c r="CY506" s="579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3">
      <c r="A507" s="31" t="s">
        <v>74</v>
      </c>
      <c r="B507" s="1" t="s">
        <v>581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79">
        <v>554</v>
      </c>
      <c r="N507" s="579">
        <v>518</v>
      </c>
      <c r="O507" s="579">
        <v>550</v>
      </c>
      <c r="P507" s="579">
        <v>548</v>
      </c>
      <c r="Q507" s="579">
        <v>593</v>
      </c>
      <c r="R507" s="579">
        <v>563</v>
      </c>
      <c r="S507" s="579">
        <v>656</v>
      </c>
      <c r="T507" s="579">
        <v>596</v>
      </c>
      <c r="U507" s="579">
        <v>662</v>
      </c>
      <c r="V507" s="579">
        <v>660</v>
      </c>
      <c r="W507" s="579">
        <v>664</v>
      </c>
      <c r="X507" s="579">
        <v>666</v>
      </c>
      <c r="Y507" s="579">
        <v>714</v>
      </c>
      <c r="Z507" s="579">
        <v>665</v>
      </c>
      <c r="AA507" s="579">
        <v>674</v>
      </c>
      <c r="AB507" s="579">
        <v>671</v>
      </c>
      <c r="AC507" s="579">
        <v>653</v>
      </c>
      <c r="AD507" s="579">
        <v>618</v>
      </c>
      <c r="AE507" s="579">
        <v>660</v>
      </c>
      <c r="AF507" s="579">
        <v>869</v>
      </c>
      <c r="AG507" s="579">
        <v>893</v>
      </c>
      <c r="AH507" s="579">
        <v>930</v>
      </c>
      <c r="AI507" s="579">
        <v>871</v>
      </c>
      <c r="AJ507" s="579">
        <v>777</v>
      </c>
      <c r="AK507" s="579">
        <v>709</v>
      </c>
      <c r="AL507" s="579">
        <v>648</v>
      </c>
      <c r="AM507" s="579">
        <v>637</v>
      </c>
      <c r="AN507" s="579">
        <v>635</v>
      </c>
      <c r="AO507" s="579">
        <v>676</v>
      </c>
      <c r="AP507" s="579">
        <v>659</v>
      </c>
      <c r="AQ507" s="579">
        <v>661</v>
      </c>
      <c r="AR507" s="579">
        <v>643</v>
      </c>
      <c r="AS507" s="579">
        <v>663</v>
      </c>
      <c r="AT507" s="579">
        <v>677</v>
      </c>
      <c r="AU507" s="579">
        <v>680</v>
      </c>
      <c r="AV507" s="579">
        <v>704</v>
      </c>
      <c r="AW507" s="579">
        <v>572</v>
      </c>
      <c r="AX507" s="579">
        <v>595</v>
      </c>
      <c r="AY507" s="579">
        <v>582</v>
      </c>
      <c r="AZ507" s="579">
        <v>586</v>
      </c>
      <c r="BA507" s="579">
        <v>589</v>
      </c>
      <c r="BB507" s="579">
        <v>603</v>
      </c>
      <c r="BC507" s="579">
        <v>613</v>
      </c>
      <c r="BD507" s="579">
        <v>569</v>
      </c>
      <c r="BE507" s="579">
        <v>557</v>
      </c>
      <c r="BF507" s="579">
        <v>575</v>
      </c>
      <c r="BG507" s="579">
        <v>581</v>
      </c>
      <c r="BH507" s="579">
        <v>606</v>
      </c>
      <c r="BI507" s="579">
        <v>678</v>
      </c>
      <c r="BJ507" s="579">
        <v>722</v>
      </c>
      <c r="BK507" s="579">
        <v>767</v>
      </c>
      <c r="BL507" s="579">
        <v>811</v>
      </c>
      <c r="BM507" s="579">
        <v>804</v>
      </c>
      <c r="BN507" s="579">
        <v>775</v>
      </c>
      <c r="BO507" s="579">
        <v>801</v>
      </c>
      <c r="BP507" s="579">
        <v>799</v>
      </c>
      <c r="BQ507" s="579">
        <v>858</v>
      </c>
      <c r="BR507" s="579">
        <v>866</v>
      </c>
      <c r="BS507" s="579">
        <v>874</v>
      </c>
      <c r="BT507" s="579">
        <v>888</v>
      </c>
      <c r="BU507" s="579">
        <v>867</v>
      </c>
      <c r="BV507" s="579">
        <v>849</v>
      </c>
      <c r="BW507" s="579">
        <v>771</v>
      </c>
      <c r="BX507" s="579">
        <v>768</v>
      </c>
      <c r="BY507" s="579">
        <v>811</v>
      </c>
      <c r="BZ507" s="579">
        <v>756</v>
      </c>
      <c r="CA507" s="579">
        <v>711</v>
      </c>
      <c r="CB507" s="579">
        <v>727</v>
      </c>
      <c r="CC507" s="579">
        <v>675</v>
      </c>
      <c r="CD507" s="579">
        <v>709</v>
      </c>
      <c r="CE507" s="579">
        <v>650</v>
      </c>
      <c r="CF507" s="579">
        <v>649</v>
      </c>
      <c r="CG507" s="579">
        <v>649</v>
      </c>
      <c r="CH507" s="579">
        <v>729</v>
      </c>
      <c r="CI507" s="579">
        <v>764</v>
      </c>
      <c r="CJ507" s="579">
        <v>736</v>
      </c>
      <c r="CK507" s="579">
        <v>589</v>
      </c>
      <c r="CL507" s="579">
        <v>522</v>
      </c>
      <c r="CM507" s="579">
        <v>521</v>
      </c>
      <c r="CN507" s="579">
        <v>483</v>
      </c>
      <c r="CO507" s="579">
        <v>379</v>
      </c>
      <c r="CP507" s="579">
        <v>308</v>
      </c>
      <c r="CQ507" s="579">
        <v>331</v>
      </c>
      <c r="CR507" s="579">
        <v>327</v>
      </c>
      <c r="CS507" s="579">
        <v>274</v>
      </c>
      <c r="CT507" s="579">
        <v>248</v>
      </c>
      <c r="CU507" s="579">
        <v>221</v>
      </c>
      <c r="CV507" s="579">
        <v>181</v>
      </c>
      <c r="CW507" s="579">
        <v>162</v>
      </c>
      <c r="CX507" s="579">
        <v>135</v>
      </c>
      <c r="CY507" s="579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3">
      <c r="A508" s="31" t="s">
        <v>74</v>
      </c>
      <c r="B508" s="1" t="s">
        <v>582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79">
        <v>273</v>
      </c>
      <c r="N508" s="579">
        <v>322</v>
      </c>
      <c r="O508" s="579">
        <v>305</v>
      </c>
      <c r="P508" s="579">
        <v>320</v>
      </c>
      <c r="Q508" s="579">
        <v>334</v>
      </c>
      <c r="R508" s="579">
        <v>383</v>
      </c>
      <c r="S508" s="579">
        <v>383</v>
      </c>
      <c r="T508" s="579">
        <v>361</v>
      </c>
      <c r="U508" s="579">
        <v>383</v>
      </c>
      <c r="V508" s="579">
        <v>411</v>
      </c>
      <c r="W508" s="579">
        <v>394</v>
      </c>
      <c r="X508" s="579">
        <v>440</v>
      </c>
      <c r="Y508" s="579">
        <v>405</v>
      </c>
      <c r="Z508" s="579">
        <v>438</v>
      </c>
      <c r="AA508" s="579">
        <v>385</v>
      </c>
      <c r="AB508" s="579">
        <v>392</v>
      </c>
      <c r="AC508" s="579">
        <v>391</v>
      </c>
      <c r="AD508" s="579">
        <v>389</v>
      </c>
      <c r="AE508" s="579">
        <v>348</v>
      </c>
      <c r="AF508" s="579">
        <v>299</v>
      </c>
      <c r="AG508" s="579">
        <v>302</v>
      </c>
      <c r="AH508" s="579">
        <v>273</v>
      </c>
      <c r="AI508" s="579">
        <v>297</v>
      </c>
      <c r="AJ508" s="579">
        <v>367</v>
      </c>
      <c r="AK508" s="579">
        <v>299</v>
      </c>
      <c r="AL508" s="579">
        <v>316</v>
      </c>
      <c r="AM508" s="579">
        <v>341</v>
      </c>
      <c r="AN508" s="579">
        <v>319</v>
      </c>
      <c r="AO508" s="579">
        <v>363</v>
      </c>
      <c r="AP508" s="579">
        <v>338</v>
      </c>
      <c r="AQ508" s="579">
        <v>332</v>
      </c>
      <c r="AR508" s="579">
        <v>349</v>
      </c>
      <c r="AS508" s="579">
        <v>346</v>
      </c>
      <c r="AT508" s="579">
        <v>349</v>
      </c>
      <c r="AU508" s="579">
        <v>381</v>
      </c>
      <c r="AV508" s="579">
        <v>373</v>
      </c>
      <c r="AW508" s="579">
        <v>310</v>
      </c>
      <c r="AX508" s="579">
        <v>347</v>
      </c>
      <c r="AY508" s="579">
        <v>371</v>
      </c>
      <c r="AZ508" s="579">
        <v>328</v>
      </c>
      <c r="BA508" s="579">
        <v>331</v>
      </c>
      <c r="BB508" s="579">
        <v>346</v>
      </c>
      <c r="BC508" s="579">
        <v>345</v>
      </c>
      <c r="BD508" s="579">
        <v>373</v>
      </c>
      <c r="BE508" s="579">
        <v>321</v>
      </c>
      <c r="BF508" s="579">
        <v>306</v>
      </c>
      <c r="BG508" s="579">
        <v>326</v>
      </c>
      <c r="BH508" s="579">
        <v>357</v>
      </c>
      <c r="BI508" s="579">
        <v>373</v>
      </c>
      <c r="BJ508" s="579">
        <v>436</v>
      </c>
      <c r="BK508" s="579">
        <v>448</v>
      </c>
      <c r="BL508" s="579">
        <v>493</v>
      </c>
      <c r="BM508" s="579">
        <v>440</v>
      </c>
      <c r="BN508" s="579">
        <v>466</v>
      </c>
      <c r="BO508" s="579">
        <v>481</v>
      </c>
      <c r="BP508" s="579">
        <v>523</v>
      </c>
      <c r="BQ508" s="579">
        <v>490</v>
      </c>
      <c r="BR508" s="579">
        <v>546</v>
      </c>
      <c r="BS508" s="579">
        <v>515</v>
      </c>
      <c r="BT508" s="579">
        <v>563</v>
      </c>
      <c r="BU508" s="579">
        <v>503</v>
      </c>
      <c r="BV508" s="579">
        <v>511</v>
      </c>
      <c r="BW508" s="579">
        <v>539</v>
      </c>
      <c r="BX508" s="579">
        <v>521</v>
      </c>
      <c r="BY508" s="579">
        <v>482</v>
      </c>
      <c r="BZ508" s="579">
        <v>468</v>
      </c>
      <c r="CA508" s="579">
        <v>489</v>
      </c>
      <c r="CB508" s="579">
        <v>476</v>
      </c>
      <c r="CC508" s="579">
        <v>458</v>
      </c>
      <c r="CD508" s="579">
        <v>460</v>
      </c>
      <c r="CE508" s="579">
        <v>458</v>
      </c>
      <c r="CF508" s="579">
        <v>438</v>
      </c>
      <c r="CG508" s="579">
        <v>468</v>
      </c>
      <c r="CH508" s="579">
        <v>490</v>
      </c>
      <c r="CI508" s="579">
        <v>504</v>
      </c>
      <c r="CJ508" s="579">
        <v>484</v>
      </c>
      <c r="CK508" s="579">
        <v>343</v>
      </c>
      <c r="CL508" s="579">
        <v>365</v>
      </c>
      <c r="CM508" s="579">
        <v>374</v>
      </c>
      <c r="CN508" s="579">
        <v>344</v>
      </c>
      <c r="CO508" s="579">
        <v>273</v>
      </c>
      <c r="CP508" s="579">
        <v>244</v>
      </c>
      <c r="CQ508" s="579">
        <v>233</v>
      </c>
      <c r="CR508" s="579">
        <v>249</v>
      </c>
      <c r="CS508" s="579">
        <v>194</v>
      </c>
      <c r="CT508" s="579">
        <v>174</v>
      </c>
      <c r="CU508" s="579">
        <v>143</v>
      </c>
      <c r="CV508" s="579">
        <v>115</v>
      </c>
      <c r="CW508" s="579">
        <v>82</v>
      </c>
      <c r="CX508" s="579">
        <v>77</v>
      </c>
      <c r="CY508" s="579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3">
      <c r="A509" s="31" t="s">
        <v>74</v>
      </c>
      <c r="B509" s="1" t="s">
        <v>583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79">
        <v>322</v>
      </c>
      <c r="N509" s="579">
        <v>325</v>
      </c>
      <c r="O509" s="579">
        <v>329</v>
      </c>
      <c r="P509" s="579">
        <v>309</v>
      </c>
      <c r="Q509" s="579">
        <v>371</v>
      </c>
      <c r="R509" s="579">
        <v>402</v>
      </c>
      <c r="S509" s="579">
        <v>381</v>
      </c>
      <c r="T509" s="579">
        <v>384</v>
      </c>
      <c r="U509" s="579">
        <v>350</v>
      </c>
      <c r="V509" s="579">
        <v>355</v>
      </c>
      <c r="W509" s="579">
        <v>378</v>
      </c>
      <c r="X509" s="579">
        <v>405</v>
      </c>
      <c r="Y509" s="579">
        <v>360</v>
      </c>
      <c r="Z509" s="579">
        <v>363</v>
      </c>
      <c r="AA509" s="579">
        <v>375</v>
      </c>
      <c r="AB509" s="579">
        <v>379</v>
      </c>
      <c r="AC509" s="579">
        <v>337</v>
      </c>
      <c r="AD509" s="579">
        <v>307</v>
      </c>
      <c r="AE509" s="579">
        <v>319</v>
      </c>
      <c r="AF509" s="579">
        <v>333</v>
      </c>
      <c r="AG509" s="579">
        <v>297</v>
      </c>
      <c r="AH509" s="579">
        <v>289</v>
      </c>
      <c r="AI509" s="579">
        <v>333</v>
      </c>
      <c r="AJ509" s="579">
        <v>329</v>
      </c>
      <c r="AK509" s="579">
        <v>314</v>
      </c>
      <c r="AL509" s="579">
        <v>356</v>
      </c>
      <c r="AM509" s="579">
        <v>342</v>
      </c>
      <c r="AN509" s="579">
        <v>329</v>
      </c>
      <c r="AO509" s="579">
        <v>375</v>
      </c>
      <c r="AP509" s="579">
        <v>373</v>
      </c>
      <c r="AQ509" s="579">
        <v>362</v>
      </c>
      <c r="AR509" s="579">
        <v>382</v>
      </c>
      <c r="AS509" s="579">
        <v>390</v>
      </c>
      <c r="AT509" s="579">
        <v>371</v>
      </c>
      <c r="AU509" s="579">
        <v>386</v>
      </c>
      <c r="AV509" s="579">
        <v>397</v>
      </c>
      <c r="AW509" s="579">
        <v>396</v>
      </c>
      <c r="AX509" s="579">
        <v>417</v>
      </c>
      <c r="AY509" s="579">
        <v>405</v>
      </c>
      <c r="AZ509" s="579">
        <v>353</v>
      </c>
      <c r="BA509" s="579">
        <v>345</v>
      </c>
      <c r="BB509" s="579">
        <v>368</v>
      </c>
      <c r="BC509" s="579">
        <v>386</v>
      </c>
      <c r="BD509" s="579">
        <v>340</v>
      </c>
      <c r="BE509" s="579">
        <v>284</v>
      </c>
      <c r="BF509" s="579">
        <v>280</v>
      </c>
      <c r="BG509" s="579">
        <v>319</v>
      </c>
      <c r="BH509" s="579">
        <v>331</v>
      </c>
      <c r="BI509" s="579">
        <v>303</v>
      </c>
      <c r="BJ509" s="579">
        <v>340</v>
      </c>
      <c r="BK509" s="579">
        <v>362</v>
      </c>
      <c r="BL509" s="579">
        <v>394</v>
      </c>
      <c r="BM509" s="579">
        <v>378</v>
      </c>
      <c r="BN509" s="579">
        <v>423</v>
      </c>
      <c r="BO509" s="579">
        <v>387</v>
      </c>
      <c r="BP509" s="579">
        <v>385</v>
      </c>
      <c r="BQ509" s="579">
        <v>419</v>
      </c>
      <c r="BR509" s="579">
        <v>416</v>
      </c>
      <c r="BS509" s="579">
        <v>421</v>
      </c>
      <c r="BT509" s="579">
        <v>381</v>
      </c>
      <c r="BU509" s="579">
        <v>405</v>
      </c>
      <c r="BV509" s="579">
        <v>379</v>
      </c>
      <c r="BW509" s="579">
        <v>383</v>
      </c>
      <c r="BX509" s="579">
        <v>405</v>
      </c>
      <c r="BY509" s="579">
        <v>393</v>
      </c>
      <c r="BZ509" s="579">
        <v>324</v>
      </c>
      <c r="CA509" s="579">
        <v>306</v>
      </c>
      <c r="CB509" s="579">
        <v>295</v>
      </c>
      <c r="CC509" s="579">
        <v>323</v>
      </c>
      <c r="CD509" s="579">
        <v>301</v>
      </c>
      <c r="CE509" s="579">
        <v>295</v>
      </c>
      <c r="CF509" s="579">
        <v>300</v>
      </c>
      <c r="CG509" s="579">
        <v>276</v>
      </c>
      <c r="CH509" s="579">
        <v>314</v>
      </c>
      <c r="CI509" s="579">
        <v>295</v>
      </c>
      <c r="CJ509" s="579">
        <v>264</v>
      </c>
      <c r="CK509" s="579">
        <v>208</v>
      </c>
      <c r="CL509" s="579">
        <v>225</v>
      </c>
      <c r="CM509" s="579">
        <v>219</v>
      </c>
      <c r="CN509" s="579">
        <v>190</v>
      </c>
      <c r="CO509" s="579">
        <v>177</v>
      </c>
      <c r="CP509" s="579">
        <v>123</v>
      </c>
      <c r="CQ509" s="579">
        <v>131</v>
      </c>
      <c r="CR509" s="579">
        <v>119</v>
      </c>
      <c r="CS509" s="579">
        <v>109</v>
      </c>
      <c r="CT509" s="579">
        <v>95</v>
      </c>
      <c r="CU509" s="579">
        <v>84</v>
      </c>
      <c r="CV509" s="579">
        <v>76</v>
      </c>
      <c r="CW509" s="579">
        <v>50</v>
      </c>
      <c r="CX509" s="579">
        <v>44</v>
      </c>
      <c r="CY509" s="579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3">
      <c r="A510" s="31" t="s">
        <v>74</v>
      </c>
      <c r="B510" s="1" t="s">
        <v>584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79">
        <v>377</v>
      </c>
      <c r="N510" s="579">
        <v>383</v>
      </c>
      <c r="O510" s="579">
        <v>404</v>
      </c>
      <c r="P510" s="579">
        <v>394</v>
      </c>
      <c r="Q510" s="579">
        <v>447</v>
      </c>
      <c r="R510" s="579">
        <v>478</v>
      </c>
      <c r="S510" s="579">
        <v>490</v>
      </c>
      <c r="T510" s="579">
        <v>485</v>
      </c>
      <c r="U510" s="579">
        <v>489</v>
      </c>
      <c r="V510" s="579">
        <v>501</v>
      </c>
      <c r="W510" s="579">
        <v>531</v>
      </c>
      <c r="X510" s="579">
        <v>542</v>
      </c>
      <c r="Y510" s="579">
        <v>515</v>
      </c>
      <c r="Z510" s="579">
        <v>563</v>
      </c>
      <c r="AA510" s="579">
        <v>550</v>
      </c>
      <c r="AB510" s="579">
        <v>559</v>
      </c>
      <c r="AC510" s="579">
        <v>524</v>
      </c>
      <c r="AD510" s="579">
        <v>545</v>
      </c>
      <c r="AE510" s="579">
        <v>490</v>
      </c>
      <c r="AF510" s="579">
        <v>319</v>
      </c>
      <c r="AG510" s="579">
        <v>335</v>
      </c>
      <c r="AH510" s="579">
        <v>372</v>
      </c>
      <c r="AI510" s="579">
        <v>418</v>
      </c>
      <c r="AJ510" s="579">
        <v>441</v>
      </c>
      <c r="AK510" s="579">
        <v>398</v>
      </c>
      <c r="AL510" s="579">
        <v>495</v>
      </c>
      <c r="AM510" s="579">
        <v>449</v>
      </c>
      <c r="AN510" s="579">
        <v>462</v>
      </c>
      <c r="AO510" s="579">
        <v>457</v>
      </c>
      <c r="AP510" s="579">
        <v>442</v>
      </c>
      <c r="AQ510" s="579">
        <v>500</v>
      </c>
      <c r="AR510" s="579">
        <v>537</v>
      </c>
      <c r="AS510" s="579">
        <v>477</v>
      </c>
      <c r="AT510" s="579">
        <v>516</v>
      </c>
      <c r="AU510" s="579">
        <v>453</v>
      </c>
      <c r="AV510" s="579">
        <v>485</v>
      </c>
      <c r="AW510" s="579">
        <v>490</v>
      </c>
      <c r="AX510" s="579">
        <v>484</v>
      </c>
      <c r="AY510" s="579">
        <v>482</v>
      </c>
      <c r="AZ510" s="579">
        <v>486</v>
      </c>
      <c r="BA510" s="579">
        <v>499</v>
      </c>
      <c r="BB510" s="579">
        <v>471</v>
      </c>
      <c r="BC510" s="579">
        <v>509</v>
      </c>
      <c r="BD510" s="579">
        <v>520</v>
      </c>
      <c r="BE510" s="579">
        <v>463</v>
      </c>
      <c r="BF510" s="579">
        <v>519</v>
      </c>
      <c r="BG510" s="579">
        <v>496</v>
      </c>
      <c r="BH510" s="579">
        <v>549</v>
      </c>
      <c r="BI510" s="579">
        <v>538</v>
      </c>
      <c r="BJ510" s="579">
        <v>592</v>
      </c>
      <c r="BK510" s="579">
        <v>667</v>
      </c>
      <c r="BL510" s="579">
        <v>708</v>
      </c>
      <c r="BM510" s="579">
        <v>648</v>
      </c>
      <c r="BN510" s="579">
        <v>693</v>
      </c>
      <c r="BO510" s="579">
        <v>749</v>
      </c>
      <c r="BP510" s="579">
        <v>752</v>
      </c>
      <c r="BQ510" s="579">
        <v>784</v>
      </c>
      <c r="BR510" s="579">
        <v>766</v>
      </c>
      <c r="BS510" s="579">
        <v>756</v>
      </c>
      <c r="BT510" s="579">
        <v>782</v>
      </c>
      <c r="BU510" s="579">
        <v>721</v>
      </c>
      <c r="BV510" s="579">
        <v>717</v>
      </c>
      <c r="BW510" s="579">
        <v>665</v>
      </c>
      <c r="BX510" s="579">
        <v>635</v>
      </c>
      <c r="BY510" s="579">
        <v>685</v>
      </c>
      <c r="BZ510" s="579">
        <v>628</v>
      </c>
      <c r="CA510" s="579">
        <v>575</v>
      </c>
      <c r="CB510" s="579">
        <v>602</v>
      </c>
      <c r="CC510" s="579">
        <v>554</v>
      </c>
      <c r="CD510" s="579">
        <v>603</v>
      </c>
      <c r="CE510" s="579">
        <v>611</v>
      </c>
      <c r="CF510" s="579">
        <v>578</v>
      </c>
      <c r="CG510" s="579">
        <v>625</v>
      </c>
      <c r="CH510" s="579">
        <v>605</v>
      </c>
      <c r="CI510" s="579">
        <v>606</v>
      </c>
      <c r="CJ510" s="579">
        <v>658</v>
      </c>
      <c r="CK510" s="579">
        <v>487</v>
      </c>
      <c r="CL510" s="579">
        <v>470</v>
      </c>
      <c r="CM510" s="579">
        <v>490</v>
      </c>
      <c r="CN510" s="579">
        <v>437</v>
      </c>
      <c r="CO510" s="579">
        <v>368</v>
      </c>
      <c r="CP510" s="579">
        <v>310</v>
      </c>
      <c r="CQ510" s="579">
        <v>342</v>
      </c>
      <c r="CR510" s="579">
        <v>275</v>
      </c>
      <c r="CS510" s="579">
        <v>241</v>
      </c>
      <c r="CT510" s="579">
        <v>224</v>
      </c>
      <c r="CU510" s="579">
        <v>217</v>
      </c>
      <c r="CV510" s="579">
        <v>168</v>
      </c>
      <c r="CW510" s="579">
        <v>170</v>
      </c>
      <c r="CX510" s="579">
        <v>145</v>
      </c>
      <c r="CY510" s="579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3">
      <c r="A511" s="31" t="s">
        <v>74</v>
      </c>
      <c r="B511" s="1" t="s">
        <v>585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79">
        <v>636</v>
      </c>
      <c r="N511" s="579">
        <v>642</v>
      </c>
      <c r="O511" s="579">
        <v>647</v>
      </c>
      <c r="P511" s="579">
        <v>707</v>
      </c>
      <c r="Q511" s="579">
        <v>762</v>
      </c>
      <c r="R511" s="579">
        <v>761</v>
      </c>
      <c r="S511" s="579">
        <v>825</v>
      </c>
      <c r="T511" s="579">
        <v>811</v>
      </c>
      <c r="U511" s="579">
        <v>818</v>
      </c>
      <c r="V511" s="579">
        <v>783</v>
      </c>
      <c r="W511" s="579">
        <v>915</v>
      </c>
      <c r="X511" s="579">
        <v>922</v>
      </c>
      <c r="Y511" s="579">
        <v>869</v>
      </c>
      <c r="Z511" s="579">
        <v>864</v>
      </c>
      <c r="AA511" s="579">
        <v>873</v>
      </c>
      <c r="AB511" s="579">
        <v>854</v>
      </c>
      <c r="AC511" s="579">
        <v>858</v>
      </c>
      <c r="AD511" s="579">
        <v>823</v>
      </c>
      <c r="AE511" s="579">
        <v>958</v>
      </c>
      <c r="AF511" s="579">
        <v>1502</v>
      </c>
      <c r="AG511" s="579">
        <v>878</v>
      </c>
      <c r="AH511" s="579">
        <v>667</v>
      </c>
      <c r="AI511" s="579">
        <v>607</v>
      </c>
      <c r="AJ511" s="579">
        <v>701</v>
      </c>
      <c r="AK511" s="579">
        <v>688</v>
      </c>
      <c r="AL511" s="579">
        <v>776</v>
      </c>
      <c r="AM511" s="579">
        <v>789</v>
      </c>
      <c r="AN511" s="579">
        <v>806</v>
      </c>
      <c r="AO511" s="579">
        <v>797</v>
      </c>
      <c r="AP511" s="579">
        <v>829</v>
      </c>
      <c r="AQ511" s="579">
        <v>904</v>
      </c>
      <c r="AR511" s="579">
        <v>851</v>
      </c>
      <c r="AS511" s="579">
        <v>855</v>
      </c>
      <c r="AT511" s="579">
        <v>855</v>
      </c>
      <c r="AU511" s="579">
        <v>825</v>
      </c>
      <c r="AV511" s="579">
        <v>845</v>
      </c>
      <c r="AW511" s="579">
        <v>903</v>
      </c>
      <c r="AX511" s="579">
        <v>859</v>
      </c>
      <c r="AY511" s="579">
        <v>868</v>
      </c>
      <c r="AZ511" s="579">
        <v>830</v>
      </c>
      <c r="BA511" s="579">
        <v>830</v>
      </c>
      <c r="BB511" s="579">
        <v>850</v>
      </c>
      <c r="BC511" s="579">
        <v>826</v>
      </c>
      <c r="BD511" s="579">
        <v>853</v>
      </c>
      <c r="BE511" s="579">
        <v>809</v>
      </c>
      <c r="BF511" s="579">
        <v>756</v>
      </c>
      <c r="BG511" s="579">
        <v>746</v>
      </c>
      <c r="BH511" s="579">
        <v>825</v>
      </c>
      <c r="BI511" s="579">
        <v>777</v>
      </c>
      <c r="BJ511" s="579">
        <v>849</v>
      </c>
      <c r="BK511" s="579">
        <v>862</v>
      </c>
      <c r="BL511" s="579">
        <v>954</v>
      </c>
      <c r="BM511" s="579">
        <v>904</v>
      </c>
      <c r="BN511" s="579">
        <v>948</v>
      </c>
      <c r="BO511" s="579">
        <v>1003</v>
      </c>
      <c r="BP511" s="579">
        <v>945</v>
      </c>
      <c r="BQ511" s="579">
        <v>984</v>
      </c>
      <c r="BR511" s="579">
        <v>991</v>
      </c>
      <c r="BS511" s="579">
        <v>1043</v>
      </c>
      <c r="BT511" s="579">
        <v>992</v>
      </c>
      <c r="BU511" s="579">
        <v>975</v>
      </c>
      <c r="BV511" s="579">
        <v>943</v>
      </c>
      <c r="BW511" s="579">
        <v>960</v>
      </c>
      <c r="BX511" s="579">
        <v>888</v>
      </c>
      <c r="BY511" s="579">
        <v>1006</v>
      </c>
      <c r="BZ511" s="579">
        <v>870</v>
      </c>
      <c r="CA511" s="579">
        <v>796</v>
      </c>
      <c r="CB511" s="579">
        <v>802</v>
      </c>
      <c r="CC511" s="579">
        <v>793</v>
      </c>
      <c r="CD511" s="579">
        <v>815</v>
      </c>
      <c r="CE511" s="579">
        <v>772</v>
      </c>
      <c r="CF511" s="579">
        <v>725</v>
      </c>
      <c r="CG511" s="579">
        <v>778</v>
      </c>
      <c r="CH511" s="579">
        <v>746</v>
      </c>
      <c r="CI511" s="579">
        <v>847</v>
      </c>
      <c r="CJ511" s="579">
        <v>799</v>
      </c>
      <c r="CK511" s="579">
        <v>579</v>
      </c>
      <c r="CL511" s="579">
        <v>577</v>
      </c>
      <c r="CM511" s="579">
        <v>556</v>
      </c>
      <c r="CN511" s="579">
        <v>505</v>
      </c>
      <c r="CO511" s="579">
        <v>452</v>
      </c>
      <c r="CP511" s="579">
        <v>360</v>
      </c>
      <c r="CQ511" s="579">
        <v>384</v>
      </c>
      <c r="CR511" s="579">
        <v>318</v>
      </c>
      <c r="CS511" s="579">
        <v>294</v>
      </c>
      <c r="CT511" s="579">
        <v>260</v>
      </c>
      <c r="CU511" s="579">
        <v>226</v>
      </c>
      <c r="CV511" s="579">
        <v>183</v>
      </c>
      <c r="CW511" s="579">
        <v>177</v>
      </c>
      <c r="CX511" s="579">
        <v>127</v>
      </c>
      <c r="CY511" s="579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3">
      <c r="A512" s="31" t="s">
        <v>74</v>
      </c>
      <c r="B512" s="1" t="s">
        <v>586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79">
        <v>1002</v>
      </c>
      <c r="N512" s="579">
        <v>958</v>
      </c>
      <c r="O512" s="579">
        <v>993</v>
      </c>
      <c r="P512" s="579">
        <v>1033</v>
      </c>
      <c r="Q512" s="579">
        <v>1002</v>
      </c>
      <c r="R512" s="579">
        <v>1014</v>
      </c>
      <c r="S512" s="579">
        <v>1196</v>
      </c>
      <c r="T512" s="579">
        <v>1083</v>
      </c>
      <c r="U512" s="579">
        <v>1043</v>
      </c>
      <c r="V512" s="579">
        <v>1089</v>
      </c>
      <c r="W512" s="579">
        <v>1039</v>
      </c>
      <c r="X512" s="579">
        <v>1059</v>
      </c>
      <c r="Y512" s="579">
        <v>1048</v>
      </c>
      <c r="Z512" s="579">
        <v>1123</v>
      </c>
      <c r="AA512" s="579">
        <v>1128</v>
      </c>
      <c r="AB512" s="579">
        <v>945</v>
      </c>
      <c r="AC512" s="579">
        <v>940</v>
      </c>
      <c r="AD512" s="579">
        <v>952</v>
      </c>
      <c r="AE512" s="579">
        <v>969</v>
      </c>
      <c r="AF512" s="579">
        <v>782</v>
      </c>
      <c r="AG512" s="579">
        <v>699</v>
      </c>
      <c r="AH512" s="579">
        <v>774</v>
      </c>
      <c r="AI512" s="579">
        <v>881</v>
      </c>
      <c r="AJ512" s="579">
        <v>985</v>
      </c>
      <c r="AK512" s="579">
        <v>959</v>
      </c>
      <c r="AL512" s="579">
        <v>1027</v>
      </c>
      <c r="AM512" s="579">
        <v>1005</v>
      </c>
      <c r="AN512" s="579">
        <v>1020</v>
      </c>
      <c r="AO512" s="579">
        <v>1076</v>
      </c>
      <c r="AP512" s="579">
        <v>1245</v>
      </c>
      <c r="AQ512" s="579">
        <v>1220</v>
      </c>
      <c r="AR512" s="579">
        <v>1265</v>
      </c>
      <c r="AS512" s="579">
        <v>1169</v>
      </c>
      <c r="AT512" s="579">
        <v>1279</v>
      </c>
      <c r="AU512" s="579">
        <v>1332</v>
      </c>
      <c r="AV512" s="579">
        <v>1215</v>
      </c>
      <c r="AW512" s="579">
        <v>1185</v>
      </c>
      <c r="AX512" s="579">
        <v>1259</v>
      </c>
      <c r="AY512" s="579">
        <v>1143</v>
      </c>
      <c r="AZ512" s="579">
        <v>1017</v>
      </c>
      <c r="BA512" s="579">
        <v>1038</v>
      </c>
      <c r="BB512" s="579">
        <v>1044</v>
      </c>
      <c r="BC512" s="579">
        <v>1120</v>
      </c>
      <c r="BD512" s="579">
        <v>1055</v>
      </c>
      <c r="BE512" s="579">
        <v>942</v>
      </c>
      <c r="BF512" s="579">
        <v>907</v>
      </c>
      <c r="BG512" s="579">
        <v>917</v>
      </c>
      <c r="BH512" s="579">
        <v>953</v>
      </c>
      <c r="BI512" s="579">
        <v>944</v>
      </c>
      <c r="BJ512" s="579">
        <v>996</v>
      </c>
      <c r="BK512" s="579">
        <v>980</v>
      </c>
      <c r="BL512" s="579">
        <v>1095</v>
      </c>
      <c r="BM512" s="579">
        <v>1067</v>
      </c>
      <c r="BN512" s="579">
        <v>1100</v>
      </c>
      <c r="BO512" s="579">
        <v>948</v>
      </c>
      <c r="BP512" s="579">
        <v>1070</v>
      </c>
      <c r="BQ512" s="579">
        <v>1067</v>
      </c>
      <c r="BR512" s="579">
        <v>1053</v>
      </c>
      <c r="BS512" s="579">
        <v>1041</v>
      </c>
      <c r="BT512" s="579">
        <v>1021</v>
      </c>
      <c r="BU512" s="579">
        <v>935</v>
      </c>
      <c r="BV512" s="579">
        <v>982</v>
      </c>
      <c r="BW512" s="579">
        <v>893</v>
      </c>
      <c r="BX512" s="579">
        <v>964</v>
      </c>
      <c r="BY512" s="579">
        <v>829</v>
      </c>
      <c r="BZ512" s="579">
        <v>800</v>
      </c>
      <c r="CA512" s="579">
        <v>680</v>
      </c>
      <c r="CB512" s="579">
        <v>675</v>
      </c>
      <c r="CC512" s="579">
        <v>724</v>
      </c>
      <c r="CD512" s="579">
        <v>751</v>
      </c>
      <c r="CE512" s="579">
        <v>678</v>
      </c>
      <c r="CF512" s="579">
        <v>607</v>
      </c>
      <c r="CG512" s="579">
        <v>654</v>
      </c>
      <c r="CH512" s="579">
        <v>620</v>
      </c>
      <c r="CI512" s="579">
        <v>701</v>
      </c>
      <c r="CJ512" s="579">
        <v>753</v>
      </c>
      <c r="CK512" s="579">
        <v>517</v>
      </c>
      <c r="CL512" s="579">
        <v>519</v>
      </c>
      <c r="CM512" s="579">
        <v>492</v>
      </c>
      <c r="CN512" s="579">
        <v>470</v>
      </c>
      <c r="CO512" s="579">
        <v>374</v>
      </c>
      <c r="CP512" s="579">
        <v>319</v>
      </c>
      <c r="CQ512" s="579">
        <v>324</v>
      </c>
      <c r="CR512" s="579">
        <v>314</v>
      </c>
      <c r="CS512" s="579">
        <v>256</v>
      </c>
      <c r="CT512" s="579">
        <v>240</v>
      </c>
      <c r="CU512" s="579">
        <v>230</v>
      </c>
      <c r="CV512" s="579">
        <v>172</v>
      </c>
      <c r="CW512" s="579">
        <v>142</v>
      </c>
      <c r="CX512" s="579">
        <v>117</v>
      </c>
      <c r="CY512" s="579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3">
      <c r="A513" s="31" t="s">
        <v>74</v>
      </c>
      <c r="B513" s="1" t="s">
        <v>587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79">
        <v>547</v>
      </c>
      <c r="N513" s="579">
        <v>541</v>
      </c>
      <c r="O513" s="579">
        <v>560</v>
      </c>
      <c r="P513" s="579">
        <v>587</v>
      </c>
      <c r="Q513" s="579">
        <v>646</v>
      </c>
      <c r="R513" s="579">
        <v>630</v>
      </c>
      <c r="S513" s="579">
        <v>657</v>
      </c>
      <c r="T513" s="579">
        <v>695</v>
      </c>
      <c r="U513" s="579">
        <v>700</v>
      </c>
      <c r="V513" s="579">
        <v>693</v>
      </c>
      <c r="W513" s="579">
        <v>704</v>
      </c>
      <c r="X513" s="579">
        <v>745</v>
      </c>
      <c r="Y513" s="579">
        <v>723</v>
      </c>
      <c r="Z513" s="579">
        <v>691</v>
      </c>
      <c r="AA513" s="579">
        <v>785</v>
      </c>
      <c r="AB513" s="579">
        <v>690</v>
      </c>
      <c r="AC513" s="579">
        <v>779</v>
      </c>
      <c r="AD513" s="579">
        <v>726</v>
      </c>
      <c r="AE513" s="579">
        <v>659</v>
      </c>
      <c r="AF513" s="579">
        <v>545</v>
      </c>
      <c r="AG513" s="579">
        <v>505</v>
      </c>
      <c r="AH513" s="579">
        <v>573</v>
      </c>
      <c r="AI513" s="579">
        <v>608</v>
      </c>
      <c r="AJ513" s="579">
        <v>603</v>
      </c>
      <c r="AK513" s="579">
        <v>650</v>
      </c>
      <c r="AL513" s="579">
        <v>681</v>
      </c>
      <c r="AM513" s="579">
        <v>604</v>
      </c>
      <c r="AN513" s="579">
        <v>539</v>
      </c>
      <c r="AO513" s="579">
        <v>615</v>
      </c>
      <c r="AP513" s="579">
        <v>649</v>
      </c>
      <c r="AQ513" s="579">
        <v>715</v>
      </c>
      <c r="AR513" s="579">
        <v>687</v>
      </c>
      <c r="AS513" s="579">
        <v>631</v>
      </c>
      <c r="AT513" s="579">
        <v>601</v>
      </c>
      <c r="AU513" s="579">
        <v>686</v>
      </c>
      <c r="AV513" s="579">
        <v>659</v>
      </c>
      <c r="AW513" s="579">
        <v>623</v>
      </c>
      <c r="AX513" s="579">
        <v>623</v>
      </c>
      <c r="AY513" s="579">
        <v>614</v>
      </c>
      <c r="AZ513" s="579">
        <v>608</v>
      </c>
      <c r="BA513" s="579">
        <v>609</v>
      </c>
      <c r="BB513" s="579">
        <v>629</v>
      </c>
      <c r="BC513" s="579">
        <v>647</v>
      </c>
      <c r="BD513" s="579">
        <v>626</v>
      </c>
      <c r="BE513" s="579">
        <v>583</v>
      </c>
      <c r="BF513" s="579">
        <v>542</v>
      </c>
      <c r="BG513" s="579">
        <v>580</v>
      </c>
      <c r="BH513" s="579">
        <v>603</v>
      </c>
      <c r="BI513" s="579">
        <v>639</v>
      </c>
      <c r="BJ513" s="579">
        <v>703</v>
      </c>
      <c r="BK513" s="579">
        <v>754</v>
      </c>
      <c r="BL513" s="579">
        <v>757</v>
      </c>
      <c r="BM513" s="579">
        <v>818</v>
      </c>
      <c r="BN513" s="579">
        <v>808</v>
      </c>
      <c r="BO513" s="579">
        <v>855</v>
      </c>
      <c r="BP513" s="579">
        <v>905</v>
      </c>
      <c r="BQ513" s="579">
        <v>926</v>
      </c>
      <c r="BR513" s="579">
        <v>915</v>
      </c>
      <c r="BS513" s="579">
        <v>887</v>
      </c>
      <c r="BT513" s="579">
        <v>1009</v>
      </c>
      <c r="BU513" s="579">
        <v>967</v>
      </c>
      <c r="BV513" s="579">
        <v>914</v>
      </c>
      <c r="BW513" s="579">
        <v>904</v>
      </c>
      <c r="BX513" s="579">
        <v>952</v>
      </c>
      <c r="BY513" s="579">
        <v>893</v>
      </c>
      <c r="BZ513" s="579">
        <v>866</v>
      </c>
      <c r="CA513" s="579">
        <v>855</v>
      </c>
      <c r="CB513" s="579">
        <v>857</v>
      </c>
      <c r="CC513" s="579">
        <v>882</v>
      </c>
      <c r="CD513" s="579">
        <v>875</v>
      </c>
      <c r="CE513" s="579">
        <v>807</v>
      </c>
      <c r="CF513" s="579">
        <v>838</v>
      </c>
      <c r="CG513" s="579">
        <v>832</v>
      </c>
      <c r="CH513" s="579">
        <v>800</v>
      </c>
      <c r="CI513" s="579">
        <v>838</v>
      </c>
      <c r="CJ513" s="579">
        <v>882</v>
      </c>
      <c r="CK513" s="579">
        <v>614</v>
      </c>
      <c r="CL513" s="579">
        <v>659</v>
      </c>
      <c r="CM513" s="579">
        <v>627</v>
      </c>
      <c r="CN513" s="579">
        <v>545</v>
      </c>
      <c r="CO513" s="579">
        <v>490</v>
      </c>
      <c r="CP513" s="579">
        <v>469</v>
      </c>
      <c r="CQ513" s="579">
        <v>418</v>
      </c>
      <c r="CR513" s="579">
        <v>376</v>
      </c>
      <c r="CS513" s="579">
        <v>328</v>
      </c>
      <c r="CT513" s="579">
        <v>268</v>
      </c>
      <c r="CU513" s="579">
        <v>254</v>
      </c>
      <c r="CV513" s="579">
        <v>224</v>
      </c>
      <c r="CW513" s="579">
        <v>142</v>
      </c>
      <c r="CX513" s="579">
        <v>181</v>
      </c>
      <c r="CY513" s="579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3">
      <c r="A514" s="31" t="s">
        <v>74</v>
      </c>
      <c r="B514" s="1" t="s">
        <v>588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79">
        <v>542</v>
      </c>
      <c r="N514" s="579">
        <v>558</v>
      </c>
      <c r="O514" s="579">
        <v>557</v>
      </c>
      <c r="P514" s="579">
        <v>623</v>
      </c>
      <c r="Q514" s="579">
        <v>680</v>
      </c>
      <c r="R514" s="579">
        <v>640</v>
      </c>
      <c r="S514" s="579">
        <v>636</v>
      </c>
      <c r="T514" s="579">
        <v>702</v>
      </c>
      <c r="U514" s="579">
        <v>710</v>
      </c>
      <c r="V514" s="579">
        <v>708</v>
      </c>
      <c r="W514" s="579">
        <v>684</v>
      </c>
      <c r="X514" s="579">
        <v>699</v>
      </c>
      <c r="Y514" s="579">
        <v>687</v>
      </c>
      <c r="Z514" s="579">
        <v>724</v>
      </c>
      <c r="AA514" s="579">
        <v>813</v>
      </c>
      <c r="AB514" s="579">
        <v>726</v>
      </c>
      <c r="AC514" s="579">
        <v>720</v>
      </c>
      <c r="AD514" s="579">
        <v>759</v>
      </c>
      <c r="AE514" s="579">
        <v>677</v>
      </c>
      <c r="AF514" s="579">
        <v>546</v>
      </c>
      <c r="AG514" s="579">
        <v>497</v>
      </c>
      <c r="AH514" s="579">
        <v>540</v>
      </c>
      <c r="AI514" s="579">
        <v>576</v>
      </c>
      <c r="AJ514" s="579">
        <v>708</v>
      </c>
      <c r="AK514" s="579">
        <v>659</v>
      </c>
      <c r="AL514" s="579">
        <v>640</v>
      </c>
      <c r="AM514" s="579">
        <v>700</v>
      </c>
      <c r="AN514" s="579">
        <v>643</v>
      </c>
      <c r="AO514" s="579">
        <v>676</v>
      </c>
      <c r="AP514" s="579">
        <v>655</v>
      </c>
      <c r="AQ514" s="579">
        <v>689</v>
      </c>
      <c r="AR514" s="579">
        <v>681</v>
      </c>
      <c r="AS514" s="579">
        <v>678</v>
      </c>
      <c r="AT514" s="579">
        <v>691</v>
      </c>
      <c r="AU514" s="579">
        <v>706</v>
      </c>
      <c r="AV514" s="579">
        <v>621</v>
      </c>
      <c r="AW514" s="579">
        <v>641</v>
      </c>
      <c r="AX514" s="579">
        <v>683</v>
      </c>
      <c r="AY514" s="579">
        <v>629</v>
      </c>
      <c r="AZ514" s="579">
        <v>628</v>
      </c>
      <c r="BA514" s="579">
        <v>668</v>
      </c>
      <c r="BB514" s="579">
        <v>643</v>
      </c>
      <c r="BC514" s="579">
        <v>674</v>
      </c>
      <c r="BD514" s="579">
        <v>652</v>
      </c>
      <c r="BE514" s="579">
        <v>622</v>
      </c>
      <c r="BF514" s="579">
        <v>638</v>
      </c>
      <c r="BG514" s="579">
        <v>646</v>
      </c>
      <c r="BH514" s="579">
        <v>721</v>
      </c>
      <c r="BI514" s="579">
        <v>733</v>
      </c>
      <c r="BJ514" s="579">
        <v>732</v>
      </c>
      <c r="BK514" s="579">
        <v>904</v>
      </c>
      <c r="BL514" s="579">
        <v>916</v>
      </c>
      <c r="BM514" s="579">
        <v>874</v>
      </c>
      <c r="BN514" s="579">
        <v>967</v>
      </c>
      <c r="BO514" s="579">
        <v>918</v>
      </c>
      <c r="BP514" s="579">
        <v>1049</v>
      </c>
      <c r="BQ514" s="579">
        <v>1027</v>
      </c>
      <c r="BR514" s="579">
        <v>1085</v>
      </c>
      <c r="BS514" s="579">
        <v>1055</v>
      </c>
      <c r="BT514" s="579">
        <v>1079</v>
      </c>
      <c r="BU514" s="579">
        <v>1083</v>
      </c>
      <c r="BV514" s="579">
        <v>1072</v>
      </c>
      <c r="BW514" s="579">
        <v>1062</v>
      </c>
      <c r="BX514" s="579">
        <v>1068</v>
      </c>
      <c r="BY514" s="579">
        <v>970</v>
      </c>
      <c r="BZ514" s="579">
        <v>1004</v>
      </c>
      <c r="CA514" s="579">
        <v>1048</v>
      </c>
      <c r="CB514" s="579">
        <v>920</v>
      </c>
      <c r="CC514" s="579">
        <v>981</v>
      </c>
      <c r="CD514" s="579">
        <v>986</v>
      </c>
      <c r="CE514" s="579">
        <v>946</v>
      </c>
      <c r="CF514" s="579">
        <v>909</v>
      </c>
      <c r="CG514" s="579">
        <v>957</v>
      </c>
      <c r="CH514" s="579">
        <v>966</v>
      </c>
      <c r="CI514" s="579">
        <v>1053</v>
      </c>
      <c r="CJ514" s="579">
        <v>1016</v>
      </c>
      <c r="CK514" s="579">
        <v>762</v>
      </c>
      <c r="CL514" s="579">
        <v>697</v>
      </c>
      <c r="CM514" s="579">
        <v>815</v>
      </c>
      <c r="CN514" s="579">
        <v>676</v>
      </c>
      <c r="CO514" s="579">
        <v>565</v>
      </c>
      <c r="CP514" s="579">
        <v>480</v>
      </c>
      <c r="CQ514" s="579">
        <v>484</v>
      </c>
      <c r="CR514" s="579">
        <v>421</v>
      </c>
      <c r="CS514" s="579">
        <v>402</v>
      </c>
      <c r="CT514" s="579">
        <v>348</v>
      </c>
      <c r="CU514" s="579">
        <v>295</v>
      </c>
      <c r="CV514" s="579">
        <v>283</v>
      </c>
      <c r="CW514" s="579">
        <v>234</v>
      </c>
      <c r="CX514" s="579">
        <v>151</v>
      </c>
      <c r="CY514" s="579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3">
      <c r="A515" s="31" t="s">
        <v>74</v>
      </c>
      <c r="B515" s="1" t="s">
        <v>589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79">
        <v>1182</v>
      </c>
      <c r="N515" s="579">
        <v>1192</v>
      </c>
      <c r="O515" s="579">
        <v>1246</v>
      </c>
      <c r="P515" s="579">
        <v>1330</v>
      </c>
      <c r="Q515" s="579">
        <v>1390</v>
      </c>
      <c r="R515" s="579">
        <v>1335</v>
      </c>
      <c r="S515" s="579">
        <v>1349</v>
      </c>
      <c r="T515" s="579">
        <v>1424</v>
      </c>
      <c r="U515" s="579">
        <v>1454</v>
      </c>
      <c r="V515" s="579">
        <v>1448</v>
      </c>
      <c r="W515" s="579">
        <v>1470</v>
      </c>
      <c r="X515" s="579">
        <v>1500</v>
      </c>
      <c r="Y515" s="579">
        <v>1414</v>
      </c>
      <c r="Z515" s="579">
        <v>1599</v>
      </c>
      <c r="AA515" s="579">
        <v>1471</v>
      </c>
      <c r="AB515" s="579">
        <v>1487</v>
      </c>
      <c r="AC515" s="579">
        <v>1400</v>
      </c>
      <c r="AD515" s="579">
        <v>1425</v>
      </c>
      <c r="AE515" s="579">
        <v>1383</v>
      </c>
      <c r="AF515" s="579">
        <v>1430</v>
      </c>
      <c r="AG515" s="579">
        <v>1361</v>
      </c>
      <c r="AH515" s="579">
        <v>1470</v>
      </c>
      <c r="AI515" s="579">
        <v>1333</v>
      </c>
      <c r="AJ515" s="579">
        <v>1508</v>
      </c>
      <c r="AK515" s="579">
        <v>1349</v>
      </c>
      <c r="AL515" s="579">
        <v>1510</v>
      </c>
      <c r="AM515" s="579">
        <v>1397</v>
      </c>
      <c r="AN515" s="579">
        <v>1501</v>
      </c>
      <c r="AO515" s="579">
        <v>1440</v>
      </c>
      <c r="AP515" s="579">
        <v>1561</v>
      </c>
      <c r="AQ515" s="579">
        <v>1531</v>
      </c>
      <c r="AR515" s="579">
        <v>1507</v>
      </c>
      <c r="AS515" s="579">
        <v>1666</v>
      </c>
      <c r="AT515" s="579">
        <v>1646</v>
      </c>
      <c r="AU515" s="579">
        <v>1508</v>
      </c>
      <c r="AV515" s="579">
        <v>1576</v>
      </c>
      <c r="AW515" s="579">
        <v>1511</v>
      </c>
      <c r="AX515" s="579">
        <v>1573</v>
      </c>
      <c r="AY515" s="579">
        <v>1526</v>
      </c>
      <c r="AZ515" s="579">
        <v>1487</v>
      </c>
      <c r="BA515" s="579">
        <v>1448</v>
      </c>
      <c r="BB515" s="579">
        <v>1387</v>
      </c>
      <c r="BC515" s="579">
        <v>1473</v>
      </c>
      <c r="BD515" s="579">
        <v>1436</v>
      </c>
      <c r="BE515" s="579">
        <v>1292</v>
      </c>
      <c r="BF515" s="579">
        <v>1234</v>
      </c>
      <c r="BG515" s="579">
        <v>1228</v>
      </c>
      <c r="BH515" s="579">
        <v>1344</v>
      </c>
      <c r="BI515" s="579">
        <v>1265</v>
      </c>
      <c r="BJ515" s="579">
        <v>1525</v>
      </c>
      <c r="BK515" s="579">
        <v>1616</v>
      </c>
      <c r="BL515" s="579">
        <v>1695</v>
      </c>
      <c r="BM515" s="579">
        <v>1558</v>
      </c>
      <c r="BN515" s="579">
        <v>1611</v>
      </c>
      <c r="BO515" s="579">
        <v>1667</v>
      </c>
      <c r="BP515" s="579">
        <v>1659</v>
      </c>
      <c r="BQ515" s="579">
        <v>1692</v>
      </c>
      <c r="BR515" s="579">
        <v>1734</v>
      </c>
      <c r="BS515" s="579">
        <v>1649</v>
      </c>
      <c r="BT515" s="579">
        <v>1594</v>
      </c>
      <c r="BU515" s="579">
        <v>1607</v>
      </c>
      <c r="BV515" s="579">
        <v>1496</v>
      </c>
      <c r="BW515" s="579">
        <v>1364</v>
      </c>
      <c r="BX515" s="579">
        <v>1434</v>
      </c>
      <c r="BY515" s="579">
        <v>1372</v>
      </c>
      <c r="BZ515" s="579">
        <v>1354</v>
      </c>
      <c r="CA515" s="579">
        <v>1261</v>
      </c>
      <c r="CB515" s="579">
        <v>1184</v>
      </c>
      <c r="CC515" s="579">
        <v>1223</v>
      </c>
      <c r="CD515" s="579">
        <v>1163</v>
      </c>
      <c r="CE515" s="579">
        <v>1238</v>
      </c>
      <c r="CF515" s="579">
        <v>1171</v>
      </c>
      <c r="CG515" s="579">
        <v>1232</v>
      </c>
      <c r="CH515" s="579">
        <v>1244</v>
      </c>
      <c r="CI515" s="579">
        <v>1280</v>
      </c>
      <c r="CJ515" s="579">
        <v>1272</v>
      </c>
      <c r="CK515" s="579">
        <v>1071</v>
      </c>
      <c r="CL515" s="579">
        <v>988</v>
      </c>
      <c r="CM515" s="579">
        <v>843</v>
      </c>
      <c r="CN515" s="579">
        <v>708</v>
      </c>
      <c r="CO515" s="579">
        <v>680</v>
      </c>
      <c r="CP515" s="579">
        <v>591</v>
      </c>
      <c r="CQ515" s="579">
        <v>536</v>
      </c>
      <c r="CR515" s="579">
        <v>480</v>
      </c>
      <c r="CS515" s="579">
        <v>454</v>
      </c>
      <c r="CT515" s="579">
        <v>366</v>
      </c>
      <c r="CU515" s="579">
        <v>342</v>
      </c>
      <c r="CV515" s="579">
        <v>288</v>
      </c>
      <c r="CW515" s="579">
        <v>231</v>
      </c>
      <c r="CX515" s="579">
        <v>183</v>
      </c>
      <c r="CY515" s="579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3">
      <c r="A516" s="31" t="s">
        <v>74</v>
      </c>
      <c r="B516" s="1" t="s">
        <v>590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79">
        <v>1134</v>
      </c>
      <c r="N516" s="579">
        <v>1063</v>
      </c>
      <c r="O516" s="579">
        <v>1133</v>
      </c>
      <c r="P516" s="579">
        <v>1224</v>
      </c>
      <c r="Q516" s="579">
        <v>1266</v>
      </c>
      <c r="R516" s="579">
        <v>1252</v>
      </c>
      <c r="S516" s="579">
        <v>1374</v>
      </c>
      <c r="T516" s="579">
        <v>1363</v>
      </c>
      <c r="U516" s="579">
        <v>1342</v>
      </c>
      <c r="V516" s="579">
        <v>1419</v>
      </c>
      <c r="W516" s="579">
        <v>1459</v>
      </c>
      <c r="X516" s="579">
        <v>1510</v>
      </c>
      <c r="Y516" s="579">
        <v>1407</v>
      </c>
      <c r="Z516" s="579">
        <v>1464</v>
      </c>
      <c r="AA516" s="579">
        <v>1527</v>
      </c>
      <c r="AB516" s="579">
        <v>1392</v>
      </c>
      <c r="AC516" s="579">
        <v>1385</v>
      </c>
      <c r="AD516" s="579">
        <v>1426</v>
      </c>
      <c r="AE516" s="579">
        <v>1459</v>
      </c>
      <c r="AF516" s="579">
        <v>1896</v>
      </c>
      <c r="AG516" s="579">
        <v>2522</v>
      </c>
      <c r="AH516" s="579">
        <v>2615</v>
      </c>
      <c r="AI516" s="579">
        <v>2280</v>
      </c>
      <c r="AJ516" s="579">
        <v>1910</v>
      </c>
      <c r="AK516" s="579">
        <v>1501</v>
      </c>
      <c r="AL516" s="579">
        <v>1507</v>
      </c>
      <c r="AM516" s="579">
        <v>1486</v>
      </c>
      <c r="AN516" s="579">
        <v>1351</v>
      </c>
      <c r="AO516" s="579">
        <v>1422</v>
      </c>
      <c r="AP516" s="579">
        <v>1448</v>
      </c>
      <c r="AQ516" s="579">
        <v>1520</v>
      </c>
      <c r="AR516" s="579">
        <v>1551</v>
      </c>
      <c r="AS516" s="579">
        <v>1644</v>
      </c>
      <c r="AT516" s="579">
        <v>1442</v>
      </c>
      <c r="AU516" s="579">
        <v>1501</v>
      </c>
      <c r="AV516" s="579">
        <v>1514</v>
      </c>
      <c r="AW516" s="579">
        <v>1498</v>
      </c>
      <c r="AX516" s="579">
        <v>1597</v>
      </c>
      <c r="AY516" s="579">
        <v>1396</v>
      </c>
      <c r="AZ516" s="579">
        <v>1455</v>
      </c>
      <c r="BA516" s="579">
        <v>1397</v>
      </c>
      <c r="BB516" s="579">
        <v>1417</v>
      </c>
      <c r="BC516" s="579">
        <v>1584</v>
      </c>
      <c r="BD516" s="579">
        <v>1343</v>
      </c>
      <c r="BE516" s="579">
        <v>1273</v>
      </c>
      <c r="BF516" s="579">
        <v>1289</v>
      </c>
      <c r="BG516" s="579">
        <v>1339</v>
      </c>
      <c r="BH516" s="579">
        <v>1379</v>
      </c>
      <c r="BI516" s="579">
        <v>1335</v>
      </c>
      <c r="BJ516" s="579">
        <v>1336</v>
      </c>
      <c r="BK516" s="579">
        <v>1462</v>
      </c>
      <c r="BL516" s="579">
        <v>1510</v>
      </c>
      <c r="BM516" s="579">
        <v>1509</v>
      </c>
      <c r="BN516" s="579">
        <v>1691</v>
      </c>
      <c r="BO516" s="579">
        <v>1552</v>
      </c>
      <c r="BP516" s="579">
        <v>1528</v>
      </c>
      <c r="BQ516" s="579">
        <v>1522</v>
      </c>
      <c r="BR516" s="579">
        <v>1665</v>
      </c>
      <c r="BS516" s="579">
        <v>1640</v>
      </c>
      <c r="BT516" s="579">
        <v>1484</v>
      </c>
      <c r="BU516" s="579">
        <v>1519</v>
      </c>
      <c r="BV516" s="579">
        <v>1456</v>
      </c>
      <c r="BW516" s="579">
        <v>1447</v>
      </c>
      <c r="BX516" s="579">
        <v>1394</v>
      </c>
      <c r="BY516" s="579">
        <v>1349</v>
      </c>
      <c r="BZ516" s="579">
        <v>1273</v>
      </c>
      <c r="CA516" s="579">
        <v>1240</v>
      </c>
      <c r="CB516" s="579">
        <v>1189</v>
      </c>
      <c r="CC516" s="579">
        <v>1181</v>
      </c>
      <c r="CD516" s="579">
        <v>1218</v>
      </c>
      <c r="CE516" s="579">
        <v>1171</v>
      </c>
      <c r="CF516" s="579">
        <v>1093</v>
      </c>
      <c r="CG516" s="579">
        <v>1212</v>
      </c>
      <c r="CH516" s="579">
        <v>1187</v>
      </c>
      <c r="CI516" s="579">
        <v>1233</v>
      </c>
      <c r="CJ516" s="579">
        <v>1340</v>
      </c>
      <c r="CK516" s="579">
        <v>889</v>
      </c>
      <c r="CL516" s="579">
        <v>905</v>
      </c>
      <c r="CM516" s="579">
        <v>899</v>
      </c>
      <c r="CN516" s="579">
        <v>852</v>
      </c>
      <c r="CO516" s="579">
        <v>748</v>
      </c>
      <c r="CP516" s="579">
        <v>612</v>
      </c>
      <c r="CQ516" s="579">
        <v>591</v>
      </c>
      <c r="CR516" s="579">
        <v>524</v>
      </c>
      <c r="CS516" s="579">
        <v>525</v>
      </c>
      <c r="CT516" s="579">
        <v>455</v>
      </c>
      <c r="CU516" s="579">
        <v>393</v>
      </c>
      <c r="CV516" s="579">
        <v>348</v>
      </c>
      <c r="CW516" s="579">
        <v>276</v>
      </c>
      <c r="CX516" s="579">
        <v>244</v>
      </c>
      <c r="CY516" s="579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3">
      <c r="A517" s="31" t="s">
        <v>74</v>
      </c>
      <c r="B517" s="1" t="s">
        <v>591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79">
        <v>514</v>
      </c>
      <c r="N517" s="579">
        <v>466</v>
      </c>
      <c r="O517" s="579">
        <v>537</v>
      </c>
      <c r="P517" s="579">
        <v>540</v>
      </c>
      <c r="Q517" s="579">
        <v>516</v>
      </c>
      <c r="R517" s="579">
        <v>556</v>
      </c>
      <c r="S517" s="579">
        <v>581</v>
      </c>
      <c r="T517" s="579">
        <v>514</v>
      </c>
      <c r="U517" s="579">
        <v>551</v>
      </c>
      <c r="V517" s="579">
        <v>551</v>
      </c>
      <c r="W517" s="579">
        <v>588</v>
      </c>
      <c r="X517" s="579">
        <v>600</v>
      </c>
      <c r="Y517" s="579">
        <v>586</v>
      </c>
      <c r="Z517" s="579">
        <v>625</v>
      </c>
      <c r="AA517" s="579">
        <v>581</v>
      </c>
      <c r="AB517" s="579">
        <v>557</v>
      </c>
      <c r="AC517" s="579">
        <v>592</v>
      </c>
      <c r="AD517" s="579">
        <v>585</v>
      </c>
      <c r="AE517" s="579">
        <v>488</v>
      </c>
      <c r="AF517" s="579">
        <v>425</v>
      </c>
      <c r="AG517" s="579">
        <v>404</v>
      </c>
      <c r="AH517" s="579">
        <v>418</v>
      </c>
      <c r="AI517" s="579">
        <v>438</v>
      </c>
      <c r="AJ517" s="579">
        <v>462</v>
      </c>
      <c r="AK517" s="579">
        <v>507</v>
      </c>
      <c r="AL517" s="579">
        <v>598</v>
      </c>
      <c r="AM517" s="579">
        <v>533</v>
      </c>
      <c r="AN517" s="579">
        <v>576</v>
      </c>
      <c r="AO517" s="579">
        <v>555</v>
      </c>
      <c r="AP517" s="579">
        <v>540</v>
      </c>
      <c r="AQ517" s="579">
        <v>596</v>
      </c>
      <c r="AR517" s="579">
        <v>615</v>
      </c>
      <c r="AS517" s="579">
        <v>622</v>
      </c>
      <c r="AT517" s="579">
        <v>617</v>
      </c>
      <c r="AU517" s="579">
        <v>553</v>
      </c>
      <c r="AV517" s="579">
        <v>586</v>
      </c>
      <c r="AW517" s="579">
        <v>593</v>
      </c>
      <c r="AX517" s="579">
        <v>574</v>
      </c>
      <c r="AY517" s="579">
        <v>532</v>
      </c>
      <c r="AZ517" s="579">
        <v>548</v>
      </c>
      <c r="BA517" s="579">
        <v>555</v>
      </c>
      <c r="BB517" s="579">
        <v>493</v>
      </c>
      <c r="BC517" s="579">
        <v>523</v>
      </c>
      <c r="BD517" s="579">
        <v>539</v>
      </c>
      <c r="BE517" s="579">
        <v>428</v>
      </c>
      <c r="BF517" s="579">
        <v>504</v>
      </c>
      <c r="BG517" s="579">
        <v>432</v>
      </c>
      <c r="BH517" s="579">
        <v>497</v>
      </c>
      <c r="BI517" s="579">
        <v>493</v>
      </c>
      <c r="BJ517" s="579">
        <v>561</v>
      </c>
      <c r="BK517" s="579">
        <v>569</v>
      </c>
      <c r="BL517" s="579">
        <v>636</v>
      </c>
      <c r="BM517" s="579">
        <v>634</v>
      </c>
      <c r="BN517" s="579">
        <v>601</v>
      </c>
      <c r="BO517" s="579">
        <v>597</v>
      </c>
      <c r="BP517" s="579">
        <v>623</v>
      </c>
      <c r="BQ517" s="579">
        <v>631</v>
      </c>
      <c r="BR517" s="579">
        <v>707</v>
      </c>
      <c r="BS517" s="579">
        <v>646</v>
      </c>
      <c r="BT517" s="579">
        <v>672</v>
      </c>
      <c r="BU517" s="579">
        <v>661</v>
      </c>
      <c r="BV517" s="579">
        <v>655</v>
      </c>
      <c r="BW517" s="579">
        <v>574</v>
      </c>
      <c r="BX517" s="579">
        <v>580</v>
      </c>
      <c r="BY517" s="579">
        <v>594</v>
      </c>
      <c r="BZ517" s="579">
        <v>511</v>
      </c>
      <c r="CA517" s="579">
        <v>490</v>
      </c>
      <c r="CB517" s="579">
        <v>470</v>
      </c>
      <c r="CC517" s="579">
        <v>535</v>
      </c>
      <c r="CD517" s="579">
        <v>469</v>
      </c>
      <c r="CE517" s="579">
        <v>488</v>
      </c>
      <c r="CF517" s="579">
        <v>479</v>
      </c>
      <c r="CG517" s="579">
        <v>457</v>
      </c>
      <c r="CH517" s="579">
        <v>484</v>
      </c>
      <c r="CI517" s="579">
        <v>455</v>
      </c>
      <c r="CJ517" s="579">
        <v>541</v>
      </c>
      <c r="CK517" s="579">
        <v>404</v>
      </c>
      <c r="CL517" s="579">
        <v>398</v>
      </c>
      <c r="CM517" s="579">
        <v>348</v>
      </c>
      <c r="CN517" s="579">
        <v>298</v>
      </c>
      <c r="CO517" s="579">
        <v>266</v>
      </c>
      <c r="CP517" s="579">
        <v>246</v>
      </c>
      <c r="CQ517" s="579">
        <v>224</v>
      </c>
      <c r="CR517" s="579">
        <v>223</v>
      </c>
      <c r="CS517" s="579">
        <v>187</v>
      </c>
      <c r="CT517" s="579">
        <v>157</v>
      </c>
      <c r="CU517" s="579">
        <v>143</v>
      </c>
      <c r="CV517" s="579">
        <v>129</v>
      </c>
      <c r="CW517" s="579">
        <v>118</v>
      </c>
      <c r="CX517" s="579">
        <v>110</v>
      </c>
      <c r="CY517" s="579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3">
      <c r="A518" s="31" t="s">
        <v>74</v>
      </c>
      <c r="B518" s="1" t="s">
        <v>592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79">
        <v>642</v>
      </c>
      <c r="N518" s="579">
        <v>670</v>
      </c>
      <c r="O518" s="579">
        <v>666</v>
      </c>
      <c r="P518" s="579">
        <v>745</v>
      </c>
      <c r="Q518" s="579">
        <v>708</v>
      </c>
      <c r="R518" s="579">
        <v>814</v>
      </c>
      <c r="S518" s="579">
        <v>772</v>
      </c>
      <c r="T518" s="579">
        <v>756</v>
      </c>
      <c r="U518" s="579">
        <v>790</v>
      </c>
      <c r="V518" s="579">
        <v>869</v>
      </c>
      <c r="W518" s="579">
        <v>878</v>
      </c>
      <c r="X518" s="579">
        <v>861</v>
      </c>
      <c r="Y518" s="579">
        <v>888</v>
      </c>
      <c r="Z518" s="579">
        <v>889</v>
      </c>
      <c r="AA518" s="579">
        <v>863</v>
      </c>
      <c r="AB518" s="579">
        <v>841</v>
      </c>
      <c r="AC518" s="579">
        <v>775</v>
      </c>
      <c r="AD518" s="579">
        <v>759</v>
      </c>
      <c r="AE518" s="579">
        <v>728</v>
      </c>
      <c r="AF518" s="579">
        <v>587</v>
      </c>
      <c r="AG518" s="579">
        <v>503</v>
      </c>
      <c r="AH518" s="579">
        <v>620</v>
      </c>
      <c r="AI518" s="579">
        <v>676</v>
      </c>
      <c r="AJ518" s="579">
        <v>666</v>
      </c>
      <c r="AK518" s="579">
        <v>621</v>
      </c>
      <c r="AL518" s="579">
        <v>702</v>
      </c>
      <c r="AM518" s="579">
        <v>663</v>
      </c>
      <c r="AN518" s="579">
        <v>711</v>
      </c>
      <c r="AO518" s="579">
        <v>738</v>
      </c>
      <c r="AP518" s="579">
        <v>687</v>
      </c>
      <c r="AQ518" s="579">
        <v>701</v>
      </c>
      <c r="AR518" s="579">
        <v>728</v>
      </c>
      <c r="AS518" s="579">
        <v>706</v>
      </c>
      <c r="AT518" s="579">
        <v>774</v>
      </c>
      <c r="AU518" s="579">
        <v>806</v>
      </c>
      <c r="AV518" s="579">
        <v>800</v>
      </c>
      <c r="AW518" s="579">
        <v>846</v>
      </c>
      <c r="AX518" s="579">
        <v>741</v>
      </c>
      <c r="AY518" s="579">
        <v>762</v>
      </c>
      <c r="AZ518" s="579">
        <v>802</v>
      </c>
      <c r="BA518" s="579">
        <v>818</v>
      </c>
      <c r="BB518" s="579">
        <v>893</v>
      </c>
      <c r="BC518" s="579">
        <v>884</v>
      </c>
      <c r="BD518" s="579">
        <v>832</v>
      </c>
      <c r="BE518" s="579">
        <v>669</v>
      </c>
      <c r="BF518" s="579">
        <v>732</v>
      </c>
      <c r="BG518" s="579">
        <v>722</v>
      </c>
      <c r="BH518" s="579">
        <v>807</v>
      </c>
      <c r="BI518" s="579">
        <v>781</v>
      </c>
      <c r="BJ518" s="579">
        <v>815</v>
      </c>
      <c r="BK518" s="579">
        <v>842</v>
      </c>
      <c r="BL518" s="579">
        <v>880</v>
      </c>
      <c r="BM518" s="579">
        <v>853</v>
      </c>
      <c r="BN518" s="579">
        <v>916</v>
      </c>
      <c r="BO518" s="579">
        <v>871</v>
      </c>
      <c r="BP518" s="579">
        <v>920</v>
      </c>
      <c r="BQ518" s="579">
        <v>867</v>
      </c>
      <c r="BR518" s="579">
        <v>906</v>
      </c>
      <c r="BS518" s="579">
        <v>932</v>
      </c>
      <c r="BT518" s="579">
        <v>907</v>
      </c>
      <c r="BU518" s="579">
        <v>934</v>
      </c>
      <c r="BV518" s="579">
        <v>904</v>
      </c>
      <c r="BW518" s="579">
        <v>828</v>
      </c>
      <c r="BX518" s="579">
        <v>857</v>
      </c>
      <c r="BY518" s="579">
        <v>763</v>
      </c>
      <c r="BZ518" s="579">
        <v>786</v>
      </c>
      <c r="CA518" s="579">
        <v>761</v>
      </c>
      <c r="CB518" s="579">
        <v>745</v>
      </c>
      <c r="CC518" s="579">
        <v>753</v>
      </c>
      <c r="CD518" s="579">
        <v>754</v>
      </c>
      <c r="CE518" s="579">
        <v>696</v>
      </c>
      <c r="CF518" s="579">
        <v>706</v>
      </c>
      <c r="CG518" s="579">
        <v>707</v>
      </c>
      <c r="CH518" s="579">
        <v>714</v>
      </c>
      <c r="CI518" s="579">
        <v>737</v>
      </c>
      <c r="CJ518" s="579">
        <v>775</v>
      </c>
      <c r="CK518" s="579">
        <v>562</v>
      </c>
      <c r="CL518" s="579">
        <v>555</v>
      </c>
      <c r="CM518" s="579">
        <v>563</v>
      </c>
      <c r="CN518" s="579">
        <v>468</v>
      </c>
      <c r="CO518" s="579">
        <v>410</v>
      </c>
      <c r="CP518" s="579">
        <v>391</v>
      </c>
      <c r="CQ518" s="579">
        <v>349</v>
      </c>
      <c r="CR518" s="579">
        <v>336</v>
      </c>
      <c r="CS518" s="579">
        <v>307</v>
      </c>
      <c r="CT518" s="579">
        <v>239</v>
      </c>
      <c r="CU518" s="579">
        <v>231</v>
      </c>
      <c r="CV518" s="579">
        <v>180</v>
      </c>
      <c r="CW518" s="579">
        <v>170</v>
      </c>
      <c r="CX518" s="579">
        <v>135</v>
      </c>
      <c r="CY518" s="579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3">
      <c r="A519" s="31" t="s">
        <v>74</v>
      </c>
      <c r="B519" s="1" t="s">
        <v>593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79">
        <v>673</v>
      </c>
      <c r="N519" s="579">
        <v>647</v>
      </c>
      <c r="O519" s="579">
        <v>740</v>
      </c>
      <c r="P519" s="579">
        <v>723</v>
      </c>
      <c r="Q519" s="579">
        <v>730</v>
      </c>
      <c r="R519" s="579">
        <v>761</v>
      </c>
      <c r="S519" s="579">
        <v>793</v>
      </c>
      <c r="T519" s="579">
        <v>761</v>
      </c>
      <c r="U519" s="579">
        <v>814</v>
      </c>
      <c r="V519" s="579">
        <v>862</v>
      </c>
      <c r="W519" s="579">
        <v>831</v>
      </c>
      <c r="X519" s="579">
        <v>858</v>
      </c>
      <c r="Y519" s="579">
        <v>859</v>
      </c>
      <c r="Z519" s="579">
        <v>879</v>
      </c>
      <c r="AA519" s="579">
        <v>845</v>
      </c>
      <c r="AB519" s="579">
        <v>853</v>
      </c>
      <c r="AC519" s="579">
        <v>831</v>
      </c>
      <c r="AD519" s="579">
        <v>839</v>
      </c>
      <c r="AE519" s="579">
        <v>753</v>
      </c>
      <c r="AF519" s="579">
        <v>630</v>
      </c>
      <c r="AG519" s="579">
        <v>619</v>
      </c>
      <c r="AH519" s="579">
        <v>629</v>
      </c>
      <c r="AI519" s="579">
        <v>670</v>
      </c>
      <c r="AJ519" s="579">
        <v>758</v>
      </c>
      <c r="AK519" s="579">
        <v>790</v>
      </c>
      <c r="AL519" s="579">
        <v>832</v>
      </c>
      <c r="AM519" s="579">
        <v>753</v>
      </c>
      <c r="AN519" s="579">
        <v>823</v>
      </c>
      <c r="AO519" s="579">
        <v>819</v>
      </c>
      <c r="AP519" s="579">
        <v>821</v>
      </c>
      <c r="AQ519" s="579">
        <v>786</v>
      </c>
      <c r="AR519" s="579">
        <v>853</v>
      </c>
      <c r="AS519" s="579">
        <v>859</v>
      </c>
      <c r="AT519" s="579">
        <v>835</v>
      </c>
      <c r="AU519" s="579">
        <v>874</v>
      </c>
      <c r="AV519" s="579">
        <v>850</v>
      </c>
      <c r="AW519" s="579">
        <v>902</v>
      </c>
      <c r="AX519" s="579">
        <v>921</v>
      </c>
      <c r="AY519" s="579">
        <v>825</v>
      </c>
      <c r="AZ519" s="579">
        <v>847</v>
      </c>
      <c r="BA519" s="579">
        <v>842</v>
      </c>
      <c r="BB519" s="579">
        <v>901</v>
      </c>
      <c r="BC519" s="579">
        <v>918</v>
      </c>
      <c r="BD519" s="579">
        <v>874</v>
      </c>
      <c r="BE519" s="579">
        <v>746</v>
      </c>
      <c r="BF519" s="579">
        <v>759</v>
      </c>
      <c r="BG519" s="579">
        <v>795</v>
      </c>
      <c r="BH519" s="579">
        <v>790</v>
      </c>
      <c r="BI519" s="579">
        <v>799</v>
      </c>
      <c r="BJ519" s="579">
        <v>915</v>
      </c>
      <c r="BK519" s="579">
        <v>955</v>
      </c>
      <c r="BL519" s="579">
        <v>1013</v>
      </c>
      <c r="BM519" s="579">
        <v>995</v>
      </c>
      <c r="BN519" s="579">
        <v>1003</v>
      </c>
      <c r="BO519" s="579">
        <v>969</v>
      </c>
      <c r="BP519" s="579">
        <v>960</v>
      </c>
      <c r="BQ519" s="579">
        <v>1007</v>
      </c>
      <c r="BR519" s="579">
        <v>986</v>
      </c>
      <c r="BS519" s="579">
        <v>968</v>
      </c>
      <c r="BT519" s="579">
        <v>965</v>
      </c>
      <c r="BU519" s="579">
        <v>916</v>
      </c>
      <c r="BV519" s="579">
        <v>884</v>
      </c>
      <c r="BW519" s="579">
        <v>833</v>
      </c>
      <c r="BX519" s="579">
        <v>743</v>
      </c>
      <c r="BY519" s="579">
        <v>790</v>
      </c>
      <c r="BZ519" s="579">
        <v>795</v>
      </c>
      <c r="CA519" s="579">
        <v>774</v>
      </c>
      <c r="CB519" s="579">
        <v>688</v>
      </c>
      <c r="CC519" s="579">
        <v>698</v>
      </c>
      <c r="CD519" s="579">
        <v>716</v>
      </c>
      <c r="CE519" s="579">
        <v>688</v>
      </c>
      <c r="CF519" s="579">
        <v>667</v>
      </c>
      <c r="CG519" s="579">
        <v>680</v>
      </c>
      <c r="CH519" s="579">
        <v>708</v>
      </c>
      <c r="CI519" s="579">
        <v>706</v>
      </c>
      <c r="CJ519" s="579">
        <v>754</v>
      </c>
      <c r="CK519" s="579">
        <v>572</v>
      </c>
      <c r="CL519" s="579">
        <v>512</v>
      </c>
      <c r="CM519" s="579">
        <v>519</v>
      </c>
      <c r="CN519" s="579">
        <v>494</v>
      </c>
      <c r="CO519" s="579">
        <v>429</v>
      </c>
      <c r="CP519" s="579">
        <v>357</v>
      </c>
      <c r="CQ519" s="579">
        <v>308</v>
      </c>
      <c r="CR519" s="579">
        <v>275</v>
      </c>
      <c r="CS519" s="579">
        <v>281</v>
      </c>
      <c r="CT519" s="579">
        <v>235</v>
      </c>
      <c r="CU519" s="579">
        <v>217</v>
      </c>
      <c r="CV519" s="579">
        <v>176</v>
      </c>
      <c r="CW519" s="579">
        <v>132</v>
      </c>
      <c r="CX519" s="579">
        <v>132</v>
      </c>
      <c r="CY519" s="579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x14ac:dyDescent="0.3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3">
      <c r="A521" s="31" t="s">
        <v>78</v>
      </c>
      <c r="B521" s="1" t="s">
        <v>594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3">
      <c r="A522" s="31" t="s">
        <v>78</v>
      </c>
      <c r="B522" s="1" t="s">
        <v>595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3">
      <c r="A523" s="31" t="s">
        <v>78</v>
      </c>
      <c r="B523" s="1" t="s">
        <v>596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3">
      <c r="A524" s="31" t="s">
        <v>78</v>
      </c>
      <c r="B524" s="1" t="s">
        <v>597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3">
      <c r="A525" s="31" t="s">
        <v>78</v>
      </c>
      <c r="B525" s="1" t="s">
        <v>598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3">
      <c r="A526" s="31" t="s">
        <v>78</v>
      </c>
      <c r="B526" s="1" t="s">
        <v>599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3">
      <c r="A527" s="31" t="s">
        <v>78</v>
      </c>
      <c r="B527" s="1" t="s">
        <v>600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3">
      <c r="A528" s="31" t="s">
        <v>78</v>
      </c>
      <c r="B528" s="1" t="s">
        <v>601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3">
      <c r="A529" s="31" t="s">
        <v>78</v>
      </c>
      <c r="B529" s="1" t="s">
        <v>602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3">
      <c r="A530" s="31" t="s">
        <v>78</v>
      </c>
      <c r="B530" s="1" t="s">
        <v>603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3">
      <c r="A531" s="31" t="s">
        <v>78</v>
      </c>
      <c r="B531" s="1" t="s">
        <v>604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x14ac:dyDescent="0.3">
      <c r="A532" s="113"/>
      <c r="B532" s="121"/>
      <c r="C532" s="113"/>
      <c r="D532" s="136">
        <f t="shared" ref="D532:L532" si="143">SUM(D521:D531)</f>
        <v>716297</v>
      </c>
      <c r="E532" s="136">
        <f t="shared" si="143"/>
        <v>757541</v>
      </c>
      <c r="F532" s="136">
        <f t="shared" si="143"/>
        <v>1910543</v>
      </c>
      <c r="G532" s="136">
        <f t="shared" si="143"/>
        <v>939947</v>
      </c>
      <c r="H532" s="136">
        <f t="shared" si="143"/>
        <v>970596</v>
      </c>
      <c r="I532" s="136">
        <f t="shared" si="143"/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3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3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x14ac:dyDescent="0.3">
      <c r="A535" s="599" t="s">
        <v>605</v>
      </c>
      <c r="B535" s="600"/>
      <c r="C535" s="601"/>
      <c r="D535" s="602"/>
      <c r="E535" s="602"/>
      <c r="F535" s="602"/>
      <c r="G535" s="603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3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x14ac:dyDescent="0.3">
      <c r="C537" s="11"/>
      <c r="D537" s="604" t="s">
        <v>606</v>
      </c>
      <c r="E537" s="605" t="s">
        <v>607</v>
      </c>
      <c r="F537" s="604" t="s">
        <v>608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5" x14ac:dyDescent="0.35">
      <c r="C538" s="11"/>
      <c r="D538" s="606" t="s">
        <v>609</v>
      </c>
      <c r="E538" s="607" t="s">
        <v>610</v>
      </c>
      <c r="F538" s="606" t="s">
        <v>611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5" x14ac:dyDescent="0.35">
      <c r="C539" s="11"/>
      <c r="D539" s="606" t="s">
        <v>612</v>
      </c>
      <c r="E539" s="607" t="s">
        <v>613</v>
      </c>
      <c r="F539" s="606" t="s">
        <v>614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5" x14ac:dyDescent="0.35">
      <c r="C540" s="1" t="s">
        <v>615</v>
      </c>
      <c r="D540" s="608">
        <v>60238038</v>
      </c>
      <c r="E540" s="609"/>
      <c r="F540" s="610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5" x14ac:dyDescent="0.35">
      <c r="C541" s="611" t="s">
        <v>616</v>
      </c>
      <c r="D541" s="612"/>
      <c r="E541" s="613">
        <v>60856434</v>
      </c>
      <c r="F541" s="608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5" x14ac:dyDescent="0.35">
      <c r="C542" s="611" t="s">
        <v>617</v>
      </c>
      <c r="D542" s="612"/>
      <c r="E542" s="614">
        <f>(E541-D540)/D540</f>
        <v>1.0265872205200309E-2</v>
      </c>
      <c r="F542" s="615">
        <f>(F541-D540)/D540</f>
        <v>2.0553358660187437E-2</v>
      </c>
      <c r="G542" s="616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5" x14ac:dyDescent="0.35">
      <c r="C543" s="611" t="s">
        <v>618</v>
      </c>
      <c r="D543" s="612"/>
      <c r="E543" s="617"/>
      <c r="F543" s="608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5" x14ac:dyDescent="0.35">
      <c r="C544" s="611" t="s">
        <v>619</v>
      </c>
      <c r="D544" s="612"/>
      <c r="E544" s="617"/>
      <c r="F544" s="608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3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3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3">
      <c r="A547" s="595"/>
      <c r="B547" s="596"/>
      <c r="C547" s="21" t="s">
        <v>620</v>
      </c>
      <c r="D547" s="139" t="s">
        <v>621</v>
      </c>
      <c r="E547" s="139" t="s">
        <v>622</v>
      </c>
      <c r="F547" s="139" t="s">
        <v>623</v>
      </c>
      <c r="G547" s="139" t="s">
        <v>624</v>
      </c>
      <c r="H547" s="139" t="s">
        <v>625</v>
      </c>
      <c r="I547" s="139" t="s">
        <v>626</v>
      </c>
      <c r="J547" s="515" t="s">
        <v>627</v>
      </c>
      <c r="K547" s="518" t="s">
        <v>628</v>
      </c>
      <c r="L547" s="339" t="s">
        <v>629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3">
      <c r="A548" s="597" t="s">
        <v>630</v>
      </c>
      <c r="C548" s="21" t="s">
        <v>631</v>
      </c>
      <c r="D548" s="793" t="s">
        <v>632</v>
      </c>
      <c r="E548" s="794"/>
      <c r="F548" s="794"/>
      <c r="G548" s="794"/>
      <c r="H548" s="794"/>
      <c r="I548" s="795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3">
      <c r="A549" s="597" t="s">
        <v>630</v>
      </c>
      <c r="B549" s="11">
        <v>0</v>
      </c>
      <c r="C549" s="138" t="s">
        <v>633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3">
      <c r="A550" s="597" t="s">
        <v>630</v>
      </c>
      <c r="B550" s="11">
        <v>1</v>
      </c>
      <c r="C550" s="138" t="s">
        <v>634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16">
        <f>(I550-100%)/5</f>
        <v>7.0239064487661821E-3</v>
      </c>
      <c r="K550" s="519">
        <f t="shared" ref="K550:K563" si="144">(I550/100%)^(1/5)-1</f>
        <v>6.9272652964273984E-3</v>
      </c>
      <c r="L550" s="514">
        <v>6.9272652964273984E-3</v>
      </c>
      <c r="M550" s="510"/>
      <c r="N550" s="510"/>
      <c r="O550" s="511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3">
      <c r="A551" s="597" t="s">
        <v>630</v>
      </c>
      <c r="B551" s="11">
        <v>2</v>
      </c>
      <c r="C551" s="138" t="s">
        <v>635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16">
        <f t="shared" ref="J551:J563" si="145">(I551-100%)/5</f>
        <v>-1.6639975996230218E-2</v>
      </c>
      <c r="K551" s="519">
        <f t="shared" si="144"/>
        <v>-1.7223117235316776E-2</v>
      </c>
      <c r="L551" s="514">
        <v>-1.7223117235316776E-2</v>
      </c>
      <c r="M551" s="510"/>
      <c r="N551" s="510"/>
      <c r="O551" s="511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3">
      <c r="A552" s="597" t="s">
        <v>630</v>
      </c>
      <c r="B552" s="11">
        <v>3</v>
      </c>
      <c r="C552" s="138" t="s">
        <v>636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16">
        <f t="shared" si="145"/>
        <v>2.4561450496655989E-2</v>
      </c>
      <c r="K552" s="519">
        <f t="shared" si="144"/>
        <v>2.3436830336478032E-2</v>
      </c>
      <c r="L552" s="514">
        <v>2.3436830336478032E-2</v>
      </c>
      <c r="M552" s="510"/>
      <c r="N552" s="510"/>
      <c r="O552" s="511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3">
      <c r="A553" s="597" t="s">
        <v>630</v>
      </c>
      <c r="B553" s="11">
        <v>4</v>
      </c>
      <c r="C553" s="138" t="s">
        <v>637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16">
        <f t="shared" si="145"/>
        <v>-3.2900402961513866E-3</v>
      </c>
      <c r="K553" s="519">
        <f t="shared" si="144"/>
        <v>-3.3119051937137156E-3</v>
      </c>
      <c r="L553" s="514">
        <v>-3.3119051937137156E-3</v>
      </c>
      <c r="M553" s="510"/>
      <c r="N553" s="510"/>
      <c r="O553" s="511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3">
      <c r="A554" s="597" t="s">
        <v>630</v>
      </c>
      <c r="B554" s="11">
        <v>5</v>
      </c>
      <c r="C554" s="138" t="s">
        <v>638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16">
        <f t="shared" si="145"/>
        <v>1.2116163934465796E-4</v>
      </c>
      <c r="K554" s="519">
        <f t="shared" si="144"/>
        <v>1.2113228972654433E-4</v>
      </c>
      <c r="L554" s="514">
        <v>1.2113228972654433E-4</v>
      </c>
      <c r="M554" s="510"/>
      <c r="N554" s="510"/>
      <c r="O554" s="511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3">
      <c r="A555" s="597" t="s">
        <v>630</v>
      </c>
      <c r="B555" s="11">
        <v>6</v>
      </c>
      <c r="C555" s="508" t="s">
        <v>639</v>
      </c>
      <c r="D555" s="509"/>
      <c r="E555" s="509">
        <v>1.0123419501207302</v>
      </c>
      <c r="F555" s="509">
        <v>1.0224746276334522</v>
      </c>
      <c r="G555" s="509">
        <v>1.0318096590054313</v>
      </c>
      <c r="H555" s="509">
        <v>1.040568100689119</v>
      </c>
      <c r="I555" s="509">
        <v>1.0491476885800255</v>
      </c>
      <c r="J555" s="527">
        <f t="shared" si="145"/>
        <v>9.8295377160050983E-3</v>
      </c>
      <c r="K555" s="528">
        <f t="shared" si="144"/>
        <v>9.641807463928842E-3</v>
      </c>
      <c r="L555" s="598">
        <v>9.6418074639288403E-3</v>
      </c>
      <c r="M555" s="510"/>
      <c r="N555" s="510"/>
      <c r="O555" s="511"/>
      <c r="P555" s="13"/>
      <c r="Q555" s="512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3">
      <c r="A556" s="597" t="s">
        <v>630</v>
      </c>
      <c r="B556" s="11">
        <v>7</v>
      </c>
      <c r="C556" s="138" t="s">
        <v>640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16">
        <f t="shared" si="145"/>
        <v>1.4109286979692959E-2</v>
      </c>
      <c r="K556" s="519">
        <f t="shared" si="144"/>
        <v>1.372720562144969E-2</v>
      </c>
      <c r="L556" s="514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3">
      <c r="A557" s="597" t="s">
        <v>630</v>
      </c>
      <c r="B557" s="11">
        <v>8</v>
      </c>
      <c r="C557" s="138" t="s">
        <v>641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16">
        <f t="shared" si="145"/>
        <v>1.544722025999028E-2</v>
      </c>
      <c r="K557" s="519">
        <f t="shared" si="144"/>
        <v>1.4990973227517745E-2</v>
      </c>
      <c r="L557" s="514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3">
      <c r="A558" s="597" t="s">
        <v>630</v>
      </c>
      <c r="B558" s="11">
        <v>9</v>
      </c>
      <c r="C558" s="138" t="s">
        <v>642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16">
        <f t="shared" si="145"/>
        <v>1.3936381421862798E-2</v>
      </c>
      <c r="K558" s="519">
        <f t="shared" si="144"/>
        <v>1.3563424108683053E-2</v>
      </c>
      <c r="L558" s="514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3">
      <c r="A559" s="597" t="s">
        <v>630</v>
      </c>
      <c r="B559" s="11">
        <v>10</v>
      </c>
      <c r="C559" s="138" t="s">
        <v>643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16">
        <f t="shared" si="145"/>
        <v>1.5948429222628447E-2</v>
      </c>
      <c r="K559" s="519">
        <f t="shared" si="144"/>
        <v>1.5462782371323147E-2</v>
      </c>
      <c r="L559" s="514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3">
      <c r="A560" s="597" t="s">
        <v>630</v>
      </c>
      <c r="B560" s="11">
        <v>11</v>
      </c>
      <c r="C560" s="138" t="s">
        <v>644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16">
        <f t="shared" si="145"/>
        <v>1.4026175814113495E-2</v>
      </c>
      <c r="K560" s="519">
        <f t="shared" si="144"/>
        <v>1.364849335671825E-2</v>
      </c>
      <c r="L560" s="514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3">
      <c r="A561" s="597" t="s">
        <v>630</v>
      </c>
      <c r="B561" s="11">
        <v>12</v>
      </c>
      <c r="C561" s="138" t="s">
        <v>645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16">
        <f t="shared" si="145"/>
        <v>1.5685467006668709E-2</v>
      </c>
      <c r="K561" s="519">
        <f t="shared" si="144"/>
        <v>1.5215354312122953E-2</v>
      </c>
      <c r="L561" s="514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3">
      <c r="A562" s="597" t="s">
        <v>630</v>
      </c>
      <c r="B562" s="11">
        <v>13</v>
      </c>
      <c r="C562" s="138" t="s">
        <v>646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16">
        <f t="shared" si="145"/>
        <v>2.9868018047315557E-2</v>
      </c>
      <c r="K562" s="519">
        <f t="shared" si="144"/>
        <v>2.8228674820024224E-2</v>
      </c>
      <c r="L562" s="514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3">
      <c r="A563" s="58"/>
      <c r="B563" s="400">
        <v>14</v>
      </c>
      <c r="C563" s="138" t="s">
        <v>647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16">
        <f t="shared" si="145"/>
        <v>6.5994827799972008E-3</v>
      </c>
      <c r="K563" s="519">
        <f t="shared" si="144"/>
        <v>6.5140621434043311E-3</v>
      </c>
      <c r="L563" s="514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3">
      <c r="B564" s="11">
        <v>15</v>
      </c>
      <c r="C564" s="138"/>
      <c r="D564" s="142"/>
      <c r="E564" s="142"/>
      <c r="F564" s="142"/>
      <c r="G564" s="142"/>
      <c r="H564" s="142"/>
      <c r="I564" s="142"/>
      <c r="J564" s="517" t="s">
        <v>648</v>
      </c>
      <c r="K564" s="6"/>
      <c r="L564" s="338" t="s">
        <v>649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3">
      <c r="E565" s="15"/>
      <c r="L565" s="338" t="s">
        <v>650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3">
      <c r="E566" s="15"/>
      <c r="L566" s="338" t="s">
        <v>651</v>
      </c>
      <c r="M566" s="13"/>
      <c r="N566" s="13"/>
      <c r="O566" s="13"/>
      <c r="P566" s="13"/>
      <c r="Q566" s="13"/>
      <c r="R566" s="5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3">
      <c r="C567" s="529" t="s">
        <v>652</v>
      </c>
      <c r="E567" s="15"/>
      <c r="L567" s="338" t="s">
        <v>653</v>
      </c>
      <c r="M567" s="13"/>
      <c r="N567" s="13"/>
      <c r="O567" s="13"/>
      <c r="P567" s="13"/>
      <c r="Q567" s="13"/>
      <c r="R567" s="5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3">
      <c r="E568" s="15"/>
      <c r="L568" s="338" t="s">
        <v>654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3">
      <c r="E569" s="15"/>
      <c r="L569" s="338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3">
      <c r="C570" s="11"/>
      <c r="L570" s="338" t="s">
        <v>655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x14ac:dyDescent="0.3">
      <c r="C571" s="11"/>
      <c r="L571" s="338" t="s">
        <v>656</v>
      </c>
      <c r="M571" s="13"/>
      <c r="N571" s="13"/>
      <c r="O571" s="619"/>
      <c r="P571" s="620" t="s">
        <v>657</v>
      </c>
      <c r="Q571" s="621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5" customHeight="1" x14ac:dyDescent="0.3">
      <c r="C572" s="11"/>
      <c r="M572" s="13"/>
      <c r="N572" s="13"/>
      <c r="O572" s="624" t="s">
        <v>627</v>
      </c>
      <c r="P572" s="624" t="s">
        <v>628</v>
      </c>
      <c r="Q572" s="625" t="s">
        <v>658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3">
      <c r="A573" s="595"/>
      <c r="B573" s="596"/>
      <c r="C573" s="138" t="s">
        <v>634</v>
      </c>
      <c r="D573" s="618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16">
        <f>(N573-100%)/10</f>
        <v>6.0996339197137541E-3</v>
      </c>
      <c r="P573" s="519">
        <f>(N573/100%)^(1/10)-1</f>
        <v>5.9384037531065026E-3</v>
      </c>
      <c r="Q573" s="622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3">
      <c r="A574" s="597" t="s">
        <v>659</v>
      </c>
      <c r="C574" s="138" t="s">
        <v>635</v>
      </c>
      <c r="D574" s="618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16">
        <f t="shared" ref="O574:O586" si="146">(N574-100%)/10</f>
        <v>-6.0280923298853817E-3</v>
      </c>
      <c r="P574" s="519">
        <f t="shared" ref="P574:P586" si="147">(N574/100%)^(1/10)-1</f>
        <v>-6.1981420710855994E-3</v>
      </c>
      <c r="Q574" s="622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3">
      <c r="A575" s="597" t="s">
        <v>659</v>
      </c>
      <c r="C575" s="138" t="s">
        <v>636</v>
      </c>
      <c r="D575" s="618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16">
        <f t="shared" si="146"/>
        <v>1.5087615236704566E-2</v>
      </c>
      <c r="P575" s="519">
        <f t="shared" si="147"/>
        <v>1.4151550808456648E-2</v>
      </c>
      <c r="Q575" s="622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3">
      <c r="A576" s="597" t="s">
        <v>659</v>
      </c>
      <c r="C576" s="138" t="s">
        <v>637</v>
      </c>
      <c r="D576" s="618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16">
        <f t="shared" si="146"/>
        <v>8.1374209845206378E-4</v>
      </c>
      <c r="P576" s="519">
        <f t="shared" si="147"/>
        <v>8.1077757246905691E-4</v>
      </c>
      <c r="Q576" s="622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3">
      <c r="A577" s="597" t="s">
        <v>659</v>
      </c>
      <c r="C577" s="138" t="s">
        <v>638</v>
      </c>
      <c r="D577" s="618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16">
        <f t="shared" si="146"/>
        <v>2.5619811438394092E-3</v>
      </c>
      <c r="P577" s="519">
        <f t="shared" si="147"/>
        <v>2.5329148145079028E-3</v>
      </c>
      <c r="Q577" s="622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3">
      <c r="A578" s="597" t="s">
        <v>659</v>
      </c>
      <c r="C578" s="508" t="s">
        <v>639</v>
      </c>
      <c r="D578" s="509"/>
      <c r="E578" s="509">
        <v>1.0123419501207302</v>
      </c>
      <c r="F578" s="509">
        <v>1.0224746276334522</v>
      </c>
      <c r="G578" s="509">
        <v>1.0318096590054313</v>
      </c>
      <c r="H578" s="509">
        <v>1.040568100689119</v>
      </c>
      <c r="I578" s="509">
        <v>1.0491476885800255</v>
      </c>
      <c r="J578" s="509">
        <v>1.0546473961073131</v>
      </c>
      <c r="K578" s="509">
        <v>1.0600156863772707</v>
      </c>
      <c r="L578" s="509">
        <v>1.0652587749595908</v>
      </c>
      <c r="M578" s="509">
        <v>1.0703773048442411</v>
      </c>
      <c r="N578" s="509">
        <v>1.0753751834317971</v>
      </c>
      <c r="O578" s="527">
        <f t="shared" si="146"/>
        <v>7.5375183431797051E-3</v>
      </c>
      <c r="P578" s="528">
        <f t="shared" si="147"/>
        <v>7.2934292896156272E-3</v>
      </c>
      <c r="Q578" s="528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3">
      <c r="A579" s="597" t="s">
        <v>659</v>
      </c>
      <c r="C579" s="138" t="s">
        <v>640</v>
      </c>
      <c r="D579" s="618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16">
        <f t="shared" si="146"/>
        <v>9.7308873986410305E-3</v>
      </c>
      <c r="P579" s="519">
        <f t="shared" si="147"/>
        <v>9.3293197294876951E-3</v>
      </c>
      <c r="Q579" s="622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3">
      <c r="A580" s="597" t="s">
        <v>659</v>
      </c>
      <c r="C580" s="138" t="s">
        <v>641</v>
      </c>
      <c r="D580" s="618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16">
        <f t="shared" si="146"/>
        <v>1.0416577441320607E-2</v>
      </c>
      <c r="P580" s="519">
        <f t="shared" si="147"/>
        <v>9.95826625164975E-3</v>
      </c>
      <c r="Q580" s="622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3">
      <c r="A581" s="597" t="s">
        <v>659</v>
      </c>
      <c r="C581" s="138" t="s">
        <v>642</v>
      </c>
      <c r="D581" s="618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16">
        <f t="shared" si="146"/>
        <v>9.64227339891921E-3</v>
      </c>
      <c r="P581" s="519">
        <f t="shared" si="147"/>
        <v>9.2477809488915597E-3</v>
      </c>
      <c r="Q581" s="622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3">
      <c r="A582" s="597" t="s">
        <v>659</v>
      </c>
      <c r="C582" s="138" t="s">
        <v>643</v>
      </c>
      <c r="D582" s="618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16">
        <f t="shared" si="146"/>
        <v>1.0673446748664817E-2</v>
      </c>
      <c r="P582" s="519">
        <f t="shared" si="147"/>
        <v>1.0192973847719333E-2</v>
      </c>
      <c r="Q582" s="622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3">
      <c r="A583" s="597" t="s">
        <v>659</v>
      </c>
      <c r="C583" s="138" t="s">
        <v>644</v>
      </c>
      <c r="D583" s="618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16">
        <f t="shared" si="146"/>
        <v>9.6882929737077683E-3</v>
      </c>
      <c r="P583" s="519">
        <f t="shared" si="147"/>
        <v>9.2901335764377091E-3</v>
      </c>
      <c r="Q583" s="622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3">
      <c r="A584" s="597" t="s">
        <v>659</v>
      </c>
      <c r="C584" s="138" t="s">
        <v>645</v>
      </c>
      <c r="D584" s="618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16">
        <f t="shared" si="146"/>
        <v>1.0538678763041154E-2</v>
      </c>
      <c r="P584" s="519">
        <f t="shared" si="147"/>
        <v>1.0069894342066732E-2</v>
      </c>
      <c r="Q584" s="622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3">
      <c r="A585" s="597" t="s">
        <v>659</v>
      </c>
      <c r="C585" s="138" t="s">
        <v>646</v>
      </c>
      <c r="D585" s="618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16">
        <f t="shared" si="146"/>
        <v>1.7807228078299507E-2</v>
      </c>
      <c r="P585" s="519">
        <f t="shared" si="147"/>
        <v>1.6522963134986579E-2</v>
      </c>
      <c r="Q585" s="622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3">
      <c r="A586" s="58"/>
      <c r="B586" s="400"/>
      <c r="C586" s="138" t="s">
        <v>647</v>
      </c>
      <c r="D586" s="618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16">
        <f t="shared" si="146"/>
        <v>5.8821170316610384E-3</v>
      </c>
      <c r="P586" s="519">
        <f t="shared" si="147"/>
        <v>5.7319838926312983E-3</v>
      </c>
      <c r="Q586" s="622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3">
      <c r="C587" s="11"/>
      <c r="E587" s="15"/>
      <c r="M587" s="13"/>
      <c r="N587" s="13"/>
      <c r="O587" s="517" t="s">
        <v>648</v>
      </c>
      <c r="P587" s="517" t="s">
        <v>648</v>
      </c>
      <c r="Q587" s="62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3">
      <c r="C588" s="11"/>
      <c r="E588" s="15"/>
      <c r="M588" s="13"/>
      <c r="N588" s="13"/>
      <c r="O588" s="517" t="s">
        <v>660</v>
      </c>
      <c r="P588" s="517" t="s">
        <v>660</v>
      </c>
      <c r="Q588" s="62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3">
      <c r="C589" s="11"/>
      <c r="E589" s="15"/>
      <c r="M589" s="13"/>
      <c r="N589" s="13"/>
      <c r="O589" s="13"/>
      <c r="P589" s="13"/>
      <c r="Q589" s="623" t="s">
        <v>655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3">
      <c r="E590" s="15"/>
      <c r="M590" s="13"/>
      <c r="N590" s="13"/>
      <c r="O590" s="13"/>
      <c r="P590" s="13"/>
      <c r="Q590" s="623" t="s">
        <v>656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3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3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3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3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3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3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3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3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3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3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3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3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3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3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3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3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3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3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3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3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3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3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3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3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3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3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3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3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3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3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3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3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3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3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3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3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3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3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3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3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3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3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3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3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3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3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3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3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3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3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3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3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3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3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3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3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3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3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3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3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3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3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3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3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3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3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3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3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3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3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3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3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3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3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3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3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3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3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3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3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3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3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3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3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3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3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3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3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3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3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3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3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3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3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3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3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3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3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3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3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3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3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3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3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3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3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3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3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3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3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3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3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3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3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3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3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3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3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3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3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3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3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3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3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3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3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3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3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3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3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3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3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3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3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3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3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3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3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3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3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3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3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3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3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3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3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3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3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3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3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3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3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3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3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3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3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3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3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3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3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3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3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3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3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3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3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3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3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3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3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3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3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3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3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3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3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3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3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3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3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3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3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3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3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3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3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3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3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3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3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3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3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3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3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3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3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3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3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3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3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3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3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3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3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3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3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3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3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3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3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3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3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3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3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3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3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3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3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3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3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3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3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3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3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3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3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3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3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3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3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3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3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3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3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3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3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3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3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3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3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3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3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3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3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3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3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3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3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3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3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3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3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3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3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3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3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3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3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3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3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3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3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3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3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3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3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3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3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3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3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3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3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3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3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3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3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3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3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3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3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3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3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3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3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3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3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3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3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3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3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3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3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3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3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3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3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3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3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3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3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3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3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3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3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3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3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3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3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3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3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3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3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3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3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AG146"/>
  <sheetViews>
    <sheetView showGridLines="0" zoomScale="70" zoomScaleNormal="70" workbookViewId="0">
      <selection activeCell="K119" sqref="K119"/>
    </sheetView>
  </sheetViews>
  <sheetFormatPr defaultRowHeight="14.5" x14ac:dyDescent="0.35"/>
  <cols>
    <col min="1" max="1" width="2.453125" customWidth="1"/>
    <col min="2" max="2" width="5.81640625" customWidth="1"/>
    <col min="3" max="3" width="49" customWidth="1"/>
    <col min="4" max="4" width="31.1796875" customWidth="1"/>
    <col min="5" max="5" width="15.7265625" customWidth="1"/>
    <col min="6" max="6" width="13.1796875" customWidth="1"/>
    <col min="7" max="7" width="13.453125" customWidth="1"/>
    <col min="8" max="8" width="16.7265625" customWidth="1"/>
    <col min="9" max="11" width="13.453125" customWidth="1"/>
    <col min="12" max="12" width="15.1796875" customWidth="1"/>
    <col min="13" max="27" width="13.453125" customWidth="1"/>
    <col min="28" max="28" width="3.453125" customWidth="1"/>
  </cols>
  <sheetData>
    <row r="1" spans="2:33" ht="30" customHeight="1" x14ac:dyDescent="0.35">
      <c r="B1" s="554" t="s">
        <v>1111</v>
      </c>
    </row>
    <row r="2" spans="2:33" ht="30" customHeight="1" x14ac:dyDescent="0.35">
      <c r="B2" s="154" t="s">
        <v>661</v>
      </c>
      <c r="C2" s="154"/>
      <c r="D2" s="153"/>
      <c r="E2" s="170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</row>
    <row r="4" spans="2:33" x14ac:dyDescent="0.35">
      <c r="B4" s="155" t="s">
        <v>662</v>
      </c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156"/>
    </row>
    <row r="5" spans="2:33" x14ac:dyDescent="0.35">
      <c r="B5" s="159"/>
      <c r="C5" t="s">
        <v>663</v>
      </c>
      <c r="AB5" s="158"/>
    </row>
    <row r="6" spans="2:33" x14ac:dyDescent="0.35">
      <c r="B6" s="159"/>
      <c r="C6" t="s">
        <v>664</v>
      </c>
      <c r="AB6" s="158"/>
    </row>
    <row r="7" spans="2:33" x14ac:dyDescent="0.35">
      <c r="B7" s="159"/>
      <c r="C7" t="s">
        <v>665</v>
      </c>
      <c r="AB7" s="158"/>
    </row>
    <row r="8" spans="2:33" x14ac:dyDescent="0.35">
      <c r="B8" s="160"/>
      <c r="C8" s="161"/>
      <c r="D8" s="161"/>
      <c r="E8" s="161"/>
      <c r="F8" s="161"/>
      <c r="AB8" s="158"/>
    </row>
    <row r="9" spans="2:33" x14ac:dyDescent="0.35"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</row>
    <row r="10" spans="2:33" x14ac:dyDescent="0.35">
      <c r="B10" s="155" t="s">
        <v>666</v>
      </c>
      <c r="C10" s="328"/>
      <c r="D10" s="328"/>
      <c r="E10" s="328"/>
      <c r="F10" s="328"/>
      <c r="AB10" s="158"/>
    </row>
    <row r="11" spans="2:33" x14ac:dyDescent="0.35">
      <c r="B11" s="157"/>
      <c r="C11" t="s">
        <v>667</v>
      </c>
      <c r="E11" s="150" t="s">
        <v>61</v>
      </c>
      <c r="AB11" s="158"/>
    </row>
    <row r="12" spans="2:33" x14ac:dyDescent="0.35">
      <c r="B12" s="157"/>
      <c r="C12" t="s">
        <v>81</v>
      </c>
      <c r="E12" s="150" t="s">
        <v>102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AB12" s="158"/>
    </row>
    <row r="13" spans="2:33" x14ac:dyDescent="0.35">
      <c r="B13" s="157"/>
      <c r="E13" s="626"/>
      <c r="G13" s="633">
        <f>2.05533586601874%</f>
        <v>2.0553358660187402E-2</v>
      </c>
      <c r="H13" t="s">
        <v>668</v>
      </c>
      <c r="AB13" s="158"/>
    </row>
    <row r="14" spans="2:33" x14ac:dyDescent="0.35">
      <c r="B14" s="157"/>
      <c r="C14" s="148"/>
      <c r="G14" s="128">
        <f>(100%+G13)*G12</f>
        <v>46148904.437507473</v>
      </c>
      <c r="H14" t="s">
        <v>669</v>
      </c>
      <c r="AB14" s="158"/>
    </row>
    <row r="15" spans="2:33" x14ac:dyDescent="0.35">
      <c r="B15" s="159"/>
      <c r="C15" t="s">
        <v>670</v>
      </c>
      <c r="E15" s="634" t="s">
        <v>59</v>
      </c>
      <c r="F15" s="169" t="str">
        <f>IF(E15="yes","","If no, enter current locality population below")</f>
        <v/>
      </c>
      <c r="AB15" s="158"/>
    </row>
    <row r="16" spans="2:33" x14ac:dyDescent="0.35">
      <c r="B16" s="159"/>
      <c r="F16" s="169" t="str">
        <f>IF(AND(NOT(ISBLANK(E17)),E15="yes"),"error - change cell above to 'no'","")</f>
        <v/>
      </c>
      <c r="AB16" s="158"/>
    </row>
    <row r="17" spans="2:29" x14ac:dyDescent="0.35">
      <c r="B17" s="159"/>
      <c r="C17" t="str">
        <f>"Manually entered current locality population "&amp;IF(E15="no","","(n/a)")</f>
        <v>Manually entered current locality population (n/a)</v>
      </c>
      <c r="E17" s="635"/>
      <c r="F17" s="689" t="str">
        <f>IF(E15="yes","Leave blue cell on left blank if NICE estimate is used","")</f>
        <v>Leave blue cell on left blank if NICE estimate is used</v>
      </c>
      <c r="AB17" s="158"/>
    </row>
    <row r="18" spans="2:29" x14ac:dyDescent="0.35">
      <c r="B18" s="159"/>
      <c r="F18" s="169" t="str">
        <f>IF(AND(ISBLANK(E17),E15="no"),"error - enter current locality population above","")</f>
        <v/>
      </c>
      <c r="AB18" s="158"/>
    </row>
    <row r="19" spans="2:29" x14ac:dyDescent="0.35">
      <c r="B19" s="159"/>
      <c r="C19" t="s">
        <v>671</v>
      </c>
      <c r="D19" s="151"/>
      <c r="E19" s="633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AB19" s="158"/>
    </row>
    <row r="20" spans="2:29" x14ac:dyDescent="0.35">
      <c r="B20" s="159"/>
      <c r="C20" t="s">
        <v>672</v>
      </c>
      <c r="D20" s="151"/>
      <c r="E20" s="633">
        <v>0</v>
      </c>
      <c r="F20" t="str">
        <f>IF(E20=0,"Enter local value or delete the NICE assumption if required","Local value")</f>
        <v>Enter local value or delete the NICE assumption if required</v>
      </c>
      <c r="AB20" s="158"/>
    </row>
    <row r="21" spans="2:29" x14ac:dyDescent="0.35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2"/>
    </row>
    <row r="23" spans="2:29" x14ac:dyDescent="0.35">
      <c r="B23" s="155" t="s">
        <v>673</v>
      </c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159"/>
    </row>
    <row r="24" spans="2:29" ht="93" customHeight="1" x14ac:dyDescent="0.35">
      <c r="B24" s="157"/>
      <c r="E24" s="285"/>
      <c r="F24" s="237" t="s">
        <v>674</v>
      </c>
      <c r="G24" s="164" t="s">
        <v>675</v>
      </c>
      <c r="H24" s="225" t="s">
        <v>676</v>
      </c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159"/>
    </row>
    <row r="25" spans="2:29" x14ac:dyDescent="0.35">
      <c r="B25" s="157"/>
      <c r="C25" s="236" t="s">
        <v>677</v>
      </c>
      <c r="D25" s="239"/>
      <c r="E25" s="167"/>
      <c r="F25" s="128">
        <f>IF(ISBLANK(E17),G14,'Population selection'!F16)</f>
        <v>46148904.437507473</v>
      </c>
      <c r="G25" s="238"/>
      <c r="H25" s="235" t="s">
        <v>678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59"/>
    </row>
    <row r="26" spans="2:29" x14ac:dyDescent="0.35">
      <c r="B26" s="157"/>
      <c r="C26" s="627" t="s">
        <v>679</v>
      </c>
      <c r="D26" s="240"/>
      <c r="E26" s="763"/>
      <c r="F26" s="205"/>
      <c r="G26" s="128">
        <f>K41</f>
        <v>48417016.421111427</v>
      </c>
      <c r="H26" s="235" t="s">
        <v>678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59"/>
    </row>
    <row r="27" spans="2:29" ht="15" customHeight="1" x14ac:dyDescent="0.35">
      <c r="B27" s="159"/>
      <c r="C27" s="166" t="s">
        <v>680</v>
      </c>
      <c r="D27" s="167"/>
      <c r="E27" s="633">
        <f>0.00266</f>
        <v>2.66E-3</v>
      </c>
      <c r="F27" s="636">
        <f>$F$25*E27</f>
        <v>122756.08580376988</v>
      </c>
      <c r="G27" s="636">
        <f>$G$26*E27</f>
        <v>128789.26368015639</v>
      </c>
      <c r="H27" s="796" t="s">
        <v>681</v>
      </c>
      <c r="I27" s="797"/>
      <c r="J27" s="797"/>
      <c r="K27" s="797"/>
      <c r="L27" s="797"/>
      <c r="M27" s="797"/>
      <c r="N27" s="797"/>
      <c r="O27" s="797"/>
      <c r="P27" s="797"/>
      <c r="Q27" s="797"/>
      <c r="R27" s="797"/>
      <c r="S27" s="797"/>
      <c r="T27" s="194"/>
      <c r="U27" s="194"/>
      <c r="V27" s="194"/>
      <c r="W27" s="194"/>
      <c r="X27" s="194"/>
      <c r="Y27" s="194"/>
      <c r="Z27" s="194"/>
      <c r="AA27" s="194"/>
      <c r="AB27" s="194"/>
      <c r="AC27" s="159"/>
    </row>
    <row r="28" spans="2:29" ht="40" customHeight="1" x14ac:dyDescent="0.35">
      <c r="B28" s="159"/>
      <c r="C28" s="166" t="s">
        <v>1117</v>
      </c>
      <c r="D28" s="167"/>
      <c r="E28" s="633">
        <v>0.85</v>
      </c>
      <c r="F28" s="636">
        <f>F27*E28</f>
        <v>104342.67293320439</v>
      </c>
      <c r="G28" s="636">
        <f>G27*E28</f>
        <v>109470.87412813293</v>
      </c>
      <c r="H28" s="802" t="s">
        <v>1119</v>
      </c>
      <c r="I28" s="801"/>
      <c r="J28" s="801"/>
      <c r="K28" s="801"/>
      <c r="L28" s="801"/>
      <c r="M28" s="801"/>
      <c r="N28" s="801"/>
      <c r="O28" s="801"/>
      <c r="P28" s="801"/>
      <c r="Q28" s="801"/>
      <c r="R28" s="791"/>
      <c r="S28" s="791"/>
      <c r="T28" s="791"/>
      <c r="U28" s="791"/>
      <c r="V28" s="194"/>
      <c r="W28" s="194"/>
      <c r="X28" s="194"/>
      <c r="Y28" s="194"/>
      <c r="Z28" s="194"/>
      <c r="AA28" s="194"/>
      <c r="AB28" s="194"/>
      <c r="AC28" s="159"/>
    </row>
    <row r="29" spans="2:29" ht="43.5" customHeight="1" x14ac:dyDescent="0.35">
      <c r="B29" s="159"/>
      <c r="C29" s="166" t="s">
        <v>1116</v>
      </c>
      <c r="D29" s="167"/>
      <c r="E29" s="633">
        <v>0.25</v>
      </c>
      <c r="F29" s="636">
        <f>$F$27*E29</f>
        <v>30689.02145094247</v>
      </c>
      <c r="G29" s="636">
        <f>$G$27*E29</f>
        <v>32197.315920039098</v>
      </c>
      <c r="H29" s="800" t="s">
        <v>1122</v>
      </c>
      <c r="I29" s="801"/>
      <c r="J29" s="801"/>
      <c r="K29" s="801"/>
      <c r="L29" s="801"/>
      <c r="M29" s="801"/>
      <c r="N29" s="801"/>
      <c r="O29" s="801"/>
      <c r="P29" s="801"/>
      <c r="Q29" s="801"/>
      <c r="R29" s="790"/>
      <c r="S29" s="790"/>
      <c r="T29" s="790"/>
      <c r="U29" s="790"/>
      <c r="V29" s="194"/>
      <c r="W29" s="194"/>
      <c r="X29" s="194"/>
      <c r="Y29" s="194"/>
      <c r="Z29" s="194"/>
      <c r="AA29" s="194"/>
      <c r="AB29" s="194"/>
      <c r="AC29" s="159"/>
    </row>
    <row r="30" spans="2:29" x14ac:dyDescent="0.35">
      <c r="B30" s="159"/>
      <c r="C30" s="166" t="s">
        <v>1118</v>
      </c>
      <c r="D30" s="167"/>
      <c r="E30" s="633">
        <v>0.75</v>
      </c>
      <c r="F30" s="636">
        <f>F28*E30</f>
        <v>78257.004699903293</v>
      </c>
      <c r="G30" s="636">
        <f>G28*E30</f>
        <v>82103.155596099692</v>
      </c>
      <c r="H30" s="789" t="s">
        <v>1121</v>
      </c>
      <c r="I30" s="784"/>
      <c r="J30" s="784"/>
      <c r="K30" s="784"/>
      <c r="L30" s="784"/>
      <c r="M30" s="784"/>
      <c r="N30" s="784"/>
      <c r="O30" s="784"/>
      <c r="P30" s="784"/>
      <c r="Q30" s="784"/>
      <c r="R30" s="784"/>
      <c r="S30" s="784"/>
      <c r="T30" s="784"/>
      <c r="U30" s="784"/>
      <c r="V30" s="194"/>
      <c r="W30" s="194"/>
      <c r="X30" s="194"/>
      <c r="Y30" s="194"/>
      <c r="Z30" s="194"/>
      <c r="AA30" s="194"/>
      <c r="AB30" s="194"/>
      <c r="AC30" s="159"/>
    </row>
    <row r="31" spans="2:29" ht="30" customHeight="1" x14ac:dyDescent="0.35">
      <c r="B31" s="159"/>
      <c r="C31" s="235" t="s">
        <v>682</v>
      </c>
      <c r="D31" s="167"/>
      <c r="E31" s="633">
        <v>0.56000000000000005</v>
      </c>
      <c r="F31" s="636">
        <f>$F$30*E31</f>
        <v>43823.922631945847</v>
      </c>
      <c r="G31" s="636">
        <f>$G$30*E31</f>
        <v>45977.767133815832</v>
      </c>
      <c r="H31" s="354" t="s">
        <v>683</v>
      </c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59"/>
    </row>
    <row r="32" spans="2:29" ht="30" customHeight="1" x14ac:dyDescent="0.35">
      <c r="B32" s="159"/>
      <c r="C32" s="798" t="s">
        <v>1115</v>
      </c>
      <c r="D32" s="799"/>
      <c r="E32" s="792"/>
      <c r="F32" s="788">
        <f>F31</f>
        <v>43823.922631945847</v>
      </c>
      <c r="G32" s="788">
        <f>G31</f>
        <v>45977.767133815832</v>
      </c>
      <c r="H32" s="197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59"/>
    </row>
    <row r="33" spans="2:29" x14ac:dyDescent="0.35">
      <c r="B33" s="159"/>
      <c r="C33" s="358"/>
      <c r="E33" s="359"/>
      <c r="F33" s="360"/>
      <c r="G33" s="360"/>
      <c r="H33" s="188"/>
      <c r="AC33" s="159"/>
    </row>
    <row r="34" spans="2:29" x14ac:dyDescent="0.35">
      <c r="B34" s="159"/>
      <c r="C34" t="s">
        <v>684</v>
      </c>
      <c r="F34" s="634" t="s">
        <v>59</v>
      </c>
      <c r="G34" s="360"/>
      <c r="H34" s="188"/>
      <c r="K34" s="748"/>
      <c r="AC34" s="159"/>
    </row>
    <row r="35" spans="2:29" x14ac:dyDescent="0.35">
      <c r="B35" s="159"/>
      <c r="C35" s="358"/>
      <c r="E35" s="359"/>
      <c r="F35" s="360"/>
      <c r="G35" s="360"/>
      <c r="H35" s="188"/>
      <c r="O35" s="772"/>
      <c r="AC35" s="159"/>
    </row>
    <row r="36" spans="2:29" x14ac:dyDescent="0.35">
      <c r="B36" s="159"/>
      <c r="C36" t="str">
        <f>"Manually entered current eligible population "&amp;IF(F34="no","","(n/a)")</f>
        <v>Manually entered current eligible population (n/a)</v>
      </c>
      <c r="F36" s="637"/>
      <c r="G36" s="685" t="str">
        <f>IF(F34="yes","Leave blue cell on left blank if NICE estimate is used","local value")</f>
        <v>Leave blue cell on left blank if NICE estimate is used</v>
      </c>
      <c r="O36" s="785"/>
      <c r="AC36" s="159"/>
    </row>
    <row r="37" spans="2:29" x14ac:dyDescent="0.35">
      <c r="B37" s="159"/>
      <c r="G37" s="573" t="str">
        <f>IF(AND(F34="yes",F36&gt;0),"error, set the drop down above to be 'no'","")</f>
        <v/>
      </c>
      <c r="O37" s="785"/>
      <c r="P37" s="787"/>
      <c r="AC37" s="159"/>
    </row>
    <row r="38" spans="2:29" ht="43.5" x14ac:dyDescent="0.35">
      <c r="B38" s="159"/>
      <c r="C38" s="161"/>
      <c r="F38" s="233" t="s">
        <v>674</v>
      </c>
      <c r="G38" s="164" t="s">
        <v>685</v>
      </c>
      <c r="H38" s="164" t="s">
        <v>686</v>
      </c>
      <c r="I38" s="234" t="s">
        <v>687</v>
      </c>
      <c r="J38" s="164" t="s">
        <v>688</v>
      </c>
      <c r="K38" s="164" t="s">
        <v>689</v>
      </c>
      <c r="L38" s="574"/>
      <c r="M38" s="574"/>
      <c r="N38" s="574"/>
      <c r="O38" s="786"/>
      <c r="P38" s="188"/>
      <c r="Q38" s="574"/>
      <c r="AC38" s="159"/>
    </row>
    <row r="39" spans="2:29" x14ac:dyDescent="0.35">
      <c r="B39" s="159"/>
      <c r="C39" s="235" t="s">
        <v>690</v>
      </c>
      <c r="D39" s="194"/>
      <c r="E39" s="167"/>
      <c r="F39" s="205"/>
      <c r="G39" s="351">
        <f>IF(E19&lt;&gt;"",E19+100%,100%)</f>
        <v>1.0096418074639288</v>
      </c>
      <c r="H39" s="351">
        <f>IF($E$19&lt;&gt;"",G39*(100%+$E$19),100%)</f>
        <v>1.0193765793790293</v>
      </c>
      <c r="I39" s="351">
        <f>IF($E$19&lt;&gt;"",H39*(100%+$E$19),100%)</f>
        <v>1.0292052120906403</v>
      </c>
      <c r="J39" s="351">
        <f>IF($E$19&lt;&gt;"",I39*(100%+$E$19),100%)</f>
        <v>1.0391286105864903</v>
      </c>
      <c r="K39" s="351">
        <f>IF($E$19&lt;&gt;"",J39*(100%+$E$19),100%)</f>
        <v>1.0491476885800251</v>
      </c>
      <c r="L39" t="s">
        <v>691</v>
      </c>
      <c r="M39" s="567"/>
      <c r="N39" s="567"/>
      <c r="O39" s="567"/>
      <c r="P39" s="567"/>
      <c r="Q39" s="567"/>
      <c r="AC39" s="159"/>
    </row>
    <row r="40" spans="2:29" x14ac:dyDescent="0.35">
      <c r="B40" s="159"/>
      <c r="C40" s="235" t="s">
        <v>692</v>
      </c>
      <c r="D40" s="194"/>
      <c r="E40" s="167"/>
      <c r="F40" s="205"/>
      <c r="G40" s="351">
        <f>IF(E20&lt;&gt;"",E20+100%,100%)</f>
        <v>1</v>
      </c>
      <c r="H40" s="351">
        <f>IF($E$20&lt;&gt;"",G40*(100%+$E$20),100%)</f>
        <v>1</v>
      </c>
      <c r="I40" s="351">
        <f>IF($E$20&lt;&gt;"",H40*(100%+$E$20),100%)</f>
        <v>1</v>
      </c>
      <c r="J40" s="351">
        <f>IF($E$20&lt;&gt;"",I40*(100%+$E$20),100%)</f>
        <v>1</v>
      </c>
      <c r="K40" s="351">
        <f>IF($E$20&lt;&gt;"",J40*(100%+$E$20),100%)</f>
        <v>1</v>
      </c>
      <c r="L40" t="s">
        <v>691</v>
      </c>
      <c r="M40" s="567"/>
      <c r="N40" s="567"/>
      <c r="O40" s="567"/>
      <c r="P40" s="567"/>
      <c r="Q40" s="567"/>
      <c r="AC40" s="159"/>
    </row>
    <row r="41" spans="2:29" x14ac:dyDescent="0.35">
      <c r="B41" s="159"/>
      <c r="C41" s="401" t="str">
        <f>IF('Inputs and eligible population'!E17=0,"Baseline population (inflated by growth(s))","Manually entered locality population (inflated by growth(s))")</f>
        <v>Baseline population (inflated by growth(s))</v>
      </c>
      <c r="D41" s="194"/>
      <c r="E41" s="167"/>
      <c r="F41" s="128">
        <f>IF(ISBLANK(E17),G14,'Population selection'!F16)</f>
        <v>46148904.437507473</v>
      </c>
      <c r="G41" s="128">
        <f>F41*G39</f>
        <v>46593863.28876517</v>
      </c>
      <c r="H41" s="128">
        <f>F41*H39</f>
        <v>47043112.347596072</v>
      </c>
      <c r="I41" s="128">
        <f>F41*I39</f>
        <v>47496692.979355574</v>
      </c>
      <c r="J41" s="128">
        <f>F41*J39</f>
        <v>47954646.948235855</v>
      </c>
      <c r="K41" s="128">
        <f>F41*K39</f>
        <v>48417016.421111427</v>
      </c>
      <c r="M41" s="285"/>
      <c r="N41" s="285"/>
      <c r="O41" s="285"/>
      <c r="P41" s="285"/>
      <c r="Q41" s="285"/>
      <c r="AC41" s="159"/>
    </row>
    <row r="42" spans="2:29" x14ac:dyDescent="0.35">
      <c r="B42" s="159"/>
      <c r="C42" s="224" t="str">
        <f>IF(ISBLANK(F36),"Eligible population, NICE estimate","Eligible population, local estimate")</f>
        <v>Eligible population, NICE estimate</v>
      </c>
      <c r="D42" s="194"/>
      <c r="E42" s="167"/>
      <c r="F42" s="180">
        <f>IF(ISBLANK(F36),F32,F36)</f>
        <v>43823.922631945847</v>
      </c>
      <c r="G42" s="180">
        <f>$F$42*G39*G40</f>
        <v>44246.464456277179</v>
      </c>
      <c r="H42" s="180">
        <f>$F$42*H39*H40</f>
        <v>44673.080347524185</v>
      </c>
      <c r="I42" s="180">
        <f>$F$42*I39*I40</f>
        <v>45103.809587055635</v>
      </c>
      <c r="J42" s="180">
        <f>$F$42*J39*J40</f>
        <v>45538.691834983736</v>
      </c>
      <c r="K42" s="180">
        <f>$F$42*K39*K40</f>
        <v>45977.767133815832</v>
      </c>
      <c r="L42" s="169" t="str">
        <f>IF(F34="no","local estimate used","")</f>
        <v/>
      </c>
      <c r="M42" s="360"/>
      <c r="N42" s="360"/>
      <c r="O42" s="360"/>
      <c r="P42" s="360"/>
      <c r="Q42" s="360"/>
      <c r="AC42" s="159"/>
    </row>
    <row r="43" spans="2:29" x14ac:dyDescent="0.35"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59"/>
    </row>
    <row r="46" spans="2:29" x14ac:dyDescent="0.35">
      <c r="B46" s="155" t="s">
        <v>693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156"/>
    </row>
    <row r="47" spans="2:29" x14ac:dyDescent="0.35">
      <c r="B47" s="157"/>
      <c r="AB47" s="158"/>
    </row>
    <row r="48" spans="2:29" x14ac:dyDescent="0.35">
      <c r="B48" s="159"/>
      <c r="D48" s="151"/>
      <c r="E48" s="151"/>
      <c r="F48" s="151"/>
      <c r="G48" s="151"/>
      <c r="AB48" s="158"/>
    </row>
    <row r="49" spans="2:28" ht="32.15" customHeight="1" x14ac:dyDescent="0.35">
      <c r="B49" s="159"/>
      <c r="C49" s="205" t="s">
        <v>694</v>
      </c>
      <c r="D49" s="210" t="s">
        <v>695</v>
      </c>
      <c r="E49" s="206"/>
      <c r="F49" s="206"/>
      <c r="G49" s="206"/>
      <c r="H49" s="207"/>
      <c r="I49" s="208" t="s">
        <v>696</v>
      </c>
      <c r="J49" s="164" t="s">
        <v>697</v>
      </c>
      <c r="K49" s="208" t="s">
        <v>698</v>
      </c>
      <c r="AB49" s="158"/>
    </row>
    <row r="50" spans="2:28" x14ac:dyDescent="0.35">
      <c r="B50" s="159"/>
      <c r="C50" s="346" t="s">
        <v>699</v>
      </c>
      <c r="D50" s="197" t="s">
        <v>700</v>
      </c>
      <c r="E50" s="198"/>
      <c r="F50" s="198"/>
      <c r="G50" s="198"/>
      <c r="H50" s="194"/>
      <c r="I50" s="639"/>
      <c r="J50" s="640">
        <v>0.2</v>
      </c>
      <c r="K50" s="778" t="s">
        <v>1114</v>
      </c>
      <c r="AB50" s="158"/>
    </row>
    <row r="51" spans="2:28" x14ac:dyDescent="0.35">
      <c r="B51" s="159"/>
      <c r="C51" s="346" t="s">
        <v>701</v>
      </c>
      <c r="D51" s="197" t="s">
        <v>702</v>
      </c>
      <c r="E51" s="198"/>
      <c r="F51" s="198"/>
      <c r="G51" s="198"/>
      <c r="H51" s="194"/>
      <c r="I51" s="639"/>
      <c r="J51" s="640">
        <v>0.2</v>
      </c>
      <c r="K51" s="779" t="s">
        <v>1114</v>
      </c>
      <c r="AB51" s="158"/>
    </row>
    <row r="52" spans="2:28" x14ac:dyDescent="0.35">
      <c r="B52" s="159"/>
      <c r="C52" s="346" t="s">
        <v>703</v>
      </c>
      <c r="D52" s="197" t="s">
        <v>704</v>
      </c>
      <c r="E52" s="198"/>
      <c r="F52" s="198"/>
      <c r="G52" s="198"/>
      <c r="H52" s="194"/>
      <c r="I52" s="639"/>
      <c r="J52" s="640">
        <v>0.2</v>
      </c>
      <c r="K52" s="779" t="s">
        <v>1114</v>
      </c>
      <c r="AB52" s="158"/>
    </row>
    <row r="53" spans="2:28" x14ac:dyDescent="0.35">
      <c r="B53" s="159"/>
      <c r="C53" s="346" t="s">
        <v>705</v>
      </c>
      <c r="D53" s="197" t="s">
        <v>706</v>
      </c>
      <c r="E53" s="198"/>
      <c r="F53" s="198"/>
      <c r="G53" s="198"/>
      <c r="H53" s="194"/>
      <c r="I53" s="639"/>
      <c r="J53" s="640">
        <v>0</v>
      </c>
      <c r="K53" s="779" t="s">
        <v>1114</v>
      </c>
      <c r="AB53" s="158"/>
    </row>
    <row r="54" spans="2:28" x14ac:dyDescent="0.35">
      <c r="B54" s="159"/>
      <c r="C54" s="346" t="s">
        <v>707</v>
      </c>
      <c r="D54" s="197" t="s">
        <v>708</v>
      </c>
      <c r="E54" s="198"/>
      <c r="F54" s="198"/>
      <c r="G54" s="198"/>
      <c r="H54" s="194"/>
      <c r="I54" s="639"/>
      <c r="J54" s="640">
        <v>0</v>
      </c>
      <c r="K54" s="779" t="s">
        <v>1114</v>
      </c>
      <c r="L54" s="568"/>
      <c r="M54" s="568"/>
      <c r="N54" s="568"/>
      <c r="O54" s="568"/>
      <c r="P54" s="568"/>
      <c r="Q54" s="568"/>
      <c r="AB54" s="158"/>
    </row>
    <row r="55" spans="2:28" x14ac:dyDescent="0.35">
      <c r="B55" s="159"/>
      <c r="C55" s="346" t="s">
        <v>709</v>
      </c>
      <c r="D55" s="197" t="s">
        <v>710</v>
      </c>
      <c r="E55" s="198"/>
      <c r="F55" s="198"/>
      <c r="G55" s="198"/>
      <c r="H55" s="194"/>
      <c r="I55" s="639"/>
      <c r="J55" s="640">
        <v>0</v>
      </c>
      <c r="K55" s="779" t="s">
        <v>1114</v>
      </c>
      <c r="L55" s="568"/>
      <c r="M55" s="568"/>
      <c r="N55" s="568"/>
      <c r="O55" s="568"/>
      <c r="P55" s="568"/>
      <c r="Q55" s="568"/>
      <c r="AB55" s="158"/>
    </row>
    <row r="56" spans="2:28" x14ac:dyDescent="0.35">
      <c r="B56" s="159"/>
      <c r="C56" s="346" t="s">
        <v>711</v>
      </c>
      <c r="D56" s="197" t="s">
        <v>712</v>
      </c>
      <c r="E56" s="198"/>
      <c r="F56" s="198"/>
      <c r="G56" s="198"/>
      <c r="H56" s="194"/>
      <c r="I56" s="639"/>
      <c r="J56" s="640">
        <v>0.2</v>
      </c>
      <c r="K56" s="779" t="s">
        <v>1114</v>
      </c>
      <c r="L56" s="568"/>
      <c r="M56" s="568"/>
      <c r="N56" s="568"/>
      <c r="O56" s="568"/>
      <c r="P56" s="568"/>
      <c r="Q56" s="568"/>
      <c r="AB56" s="158"/>
    </row>
    <row r="57" spans="2:28" x14ac:dyDescent="0.35">
      <c r="B57" s="159"/>
      <c r="C57" s="346" t="s">
        <v>1101</v>
      </c>
      <c r="D57" s="197" t="s">
        <v>713</v>
      </c>
      <c r="E57" s="198"/>
      <c r="F57" s="198"/>
      <c r="G57" s="198"/>
      <c r="H57" s="194"/>
      <c r="I57" s="639"/>
      <c r="J57" s="640">
        <v>0</v>
      </c>
      <c r="K57" s="779" t="s">
        <v>1114</v>
      </c>
      <c r="L57" s="568"/>
      <c r="M57" s="568"/>
      <c r="N57" s="568"/>
      <c r="O57" s="568"/>
      <c r="P57" s="568"/>
      <c r="Q57" s="568"/>
      <c r="AB57" s="158"/>
    </row>
    <row r="58" spans="2:28" x14ac:dyDescent="0.35">
      <c r="B58" s="159"/>
      <c r="C58" s="346" t="s">
        <v>714</v>
      </c>
      <c r="D58" s="197" t="s">
        <v>715</v>
      </c>
      <c r="E58" s="198"/>
      <c r="F58" s="198"/>
      <c r="G58" s="198"/>
      <c r="H58" s="194"/>
      <c r="I58" s="639"/>
      <c r="J58" s="640">
        <v>0</v>
      </c>
      <c r="K58" s="779" t="s">
        <v>1114</v>
      </c>
      <c r="L58" s="568"/>
      <c r="M58" s="568"/>
      <c r="N58" s="568"/>
      <c r="O58" s="568"/>
      <c r="P58" s="568"/>
      <c r="Q58" s="568"/>
      <c r="AB58" s="158"/>
    </row>
    <row r="59" spans="2:28" x14ac:dyDescent="0.35">
      <c r="B59" s="159"/>
      <c r="C59" s="346" t="s">
        <v>714</v>
      </c>
      <c r="D59" s="197" t="s">
        <v>716</v>
      </c>
      <c r="E59" s="198"/>
      <c r="F59" s="198"/>
      <c r="G59" s="198"/>
      <c r="H59" s="194"/>
      <c r="I59" s="639"/>
      <c r="J59" s="640">
        <v>0</v>
      </c>
      <c r="K59" s="779" t="s">
        <v>1114</v>
      </c>
      <c r="L59" s="568"/>
      <c r="M59" s="568"/>
      <c r="N59" s="568"/>
      <c r="O59" s="568"/>
      <c r="P59" s="568"/>
      <c r="Q59" s="568"/>
      <c r="AB59" s="158"/>
    </row>
    <row r="60" spans="2:28" x14ac:dyDescent="0.35">
      <c r="B60" s="159"/>
      <c r="C60" s="346" t="s">
        <v>717</v>
      </c>
      <c r="D60" s="197" t="s">
        <v>718</v>
      </c>
      <c r="E60" s="198"/>
      <c r="F60" s="198"/>
      <c r="G60" s="198"/>
      <c r="H60" s="194"/>
      <c r="I60" s="639"/>
      <c r="J60" s="640">
        <v>0</v>
      </c>
      <c r="K60" s="779" t="s">
        <v>1114</v>
      </c>
      <c r="L60" s="568"/>
      <c r="M60" s="568"/>
      <c r="N60" s="568"/>
      <c r="O60" s="568"/>
      <c r="P60" s="568"/>
      <c r="Q60" s="568"/>
      <c r="AB60" s="158"/>
    </row>
    <row r="61" spans="2:28" x14ac:dyDescent="0.35">
      <c r="B61" s="159"/>
      <c r="C61" s="346" t="s">
        <v>719</v>
      </c>
      <c r="D61" s="197" t="s">
        <v>720</v>
      </c>
      <c r="E61" s="198"/>
      <c r="F61" s="198"/>
      <c r="G61" s="198"/>
      <c r="H61" s="194"/>
      <c r="I61" s="639"/>
      <c r="J61" s="640">
        <v>0</v>
      </c>
      <c r="K61" s="779" t="s">
        <v>1114</v>
      </c>
      <c r="L61" s="568"/>
      <c r="M61" s="568"/>
      <c r="N61" s="568"/>
      <c r="O61" s="568"/>
      <c r="P61" s="568"/>
      <c r="Q61" s="568"/>
      <c r="AB61" s="158"/>
    </row>
    <row r="62" spans="2:28" x14ac:dyDescent="0.35">
      <c r="B62" s="159"/>
      <c r="C62" s="346" t="s">
        <v>721</v>
      </c>
      <c r="D62" s="197" t="s">
        <v>722</v>
      </c>
      <c r="E62" s="198"/>
      <c r="F62" s="198"/>
      <c r="G62" s="198"/>
      <c r="H62" s="194"/>
      <c r="I62" s="639"/>
      <c r="J62" s="640">
        <v>0</v>
      </c>
      <c r="K62" s="779" t="s">
        <v>1114</v>
      </c>
      <c r="L62" s="568"/>
      <c r="M62" s="568"/>
      <c r="N62" s="568"/>
      <c r="O62" s="568"/>
      <c r="P62" s="568"/>
      <c r="Q62" s="568"/>
      <c r="AB62" s="158"/>
    </row>
    <row r="63" spans="2:28" x14ac:dyDescent="0.35">
      <c r="B63" s="159"/>
      <c r="C63" s="346" t="s">
        <v>723</v>
      </c>
      <c r="D63" s="197" t="s">
        <v>724</v>
      </c>
      <c r="E63" s="198"/>
      <c r="F63" s="198"/>
      <c r="G63" s="198"/>
      <c r="H63" s="194"/>
      <c r="I63" s="639"/>
      <c r="J63" s="640">
        <v>0</v>
      </c>
      <c r="K63" s="779" t="s">
        <v>1114</v>
      </c>
      <c r="L63" s="568"/>
      <c r="M63" s="568"/>
      <c r="N63" s="568"/>
      <c r="O63" s="568"/>
      <c r="P63" s="568"/>
      <c r="Q63" s="568"/>
      <c r="AB63" s="158"/>
    </row>
    <row r="64" spans="2:28" x14ac:dyDescent="0.35">
      <c r="B64" s="159"/>
      <c r="C64" s="346" t="s">
        <v>725</v>
      </c>
      <c r="D64" s="197" t="s">
        <v>726</v>
      </c>
      <c r="E64" s="198"/>
      <c r="F64" s="198"/>
      <c r="G64" s="198"/>
      <c r="H64" s="194"/>
      <c r="I64" s="639"/>
      <c r="J64" s="640">
        <v>0</v>
      </c>
      <c r="K64" s="779" t="s">
        <v>1114</v>
      </c>
      <c r="L64" s="568"/>
      <c r="M64" s="568"/>
      <c r="N64" s="568"/>
      <c r="O64" s="568"/>
      <c r="P64" s="568"/>
      <c r="Q64" s="568"/>
      <c r="AB64" s="158"/>
    </row>
    <row r="65" spans="2:28" x14ac:dyDescent="0.35">
      <c r="B65" s="159"/>
      <c r="C65" s="346" t="s">
        <v>727</v>
      </c>
      <c r="D65" s="197" t="s">
        <v>728</v>
      </c>
      <c r="E65" s="198"/>
      <c r="F65" s="198"/>
      <c r="G65" s="198"/>
      <c r="H65" s="194"/>
      <c r="I65" s="639"/>
      <c r="J65" s="640">
        <v>0</v>
      </c>
      <c r="K65" s="779" t="s">
        <v>1114</v>
      </c>
      <c r="L65" s="568"/>
      <c r="M65" s="568"/>
      <c r="N65" s="568"/>
      <c r="O65" s="568"/>
      <c r="P65" s="568"/>
      <c r="Q65" s="568"/>
      <c r="AB65" s="158"/>
    </row>
    <row r="66" spans="2:28" x14ac:dyDescent="0.35">
      <c r="B66" s="159"/>
      <c r="C66" s="346" t="s">
        <v>729</v>
      </c>
      <c r="D66" s="197" t="s">
        <v>730</v>
      </c>
      <c r="E66" s="198"/>
      <c r="F66" s="198"/>
      <c r="G66" s="198"/>
      <c r="H66" s="194"/>
      <c r="I66" s="639"/>
      <c r="J66" s="640">
        <v>0</v>
      </c>
      <c r="K66" s="779" t="s">
        <v>1114</v>
      </c>
      <c r="L66" s="568"/>
      <c r="M66" s="568"/>
      <c r="N66" s="568"/>
      <c r="O66" s="568"/>
      <c r="P66" s="568"/>
      <c r="Q66" s="568"/>
      <c r="AB66" s="158"/>
    </row>
    <row r="67" spans="2:28" x14ac:dyDescent="0.35">
      <c r="B67" s="159"/>
      <c r="C67" s="346" t="s">
        <v>731</v>
      </c>
      <c r="D67" s="197" t="s">
        <v>732</v>
      </c>
      <c r="E67" s="198"/>
      <c r="F67" s="198"/>
      <c r="G67" s="198"/>
      <c r="H67" s="194"/>
      <c r="I67" s="639"/>
      <c r="J67" s="640">
        <v>0.2</v>
      </c>
      <c r="K67" s="779" t="s">
        <v>1114</v>
      </c>
      <c r="L67" s="568"/>
      <c r="M67" s="568"/>
      <c r="N67" s="568"/>
      <c r="O67" s="568"/>
      <c r="P67" s="568"/>
      <c r="Q67" s="568"/>
      <c r="AB67" s="158"/>
    </row>
    <row r="68" spans="2:28" x14ac:dyDescent="0.35">
      <c r="B68" s="159"/>
      <c r="C68" s="346" t="s">
        <v>733</v>
      </c>
      <c r="D68" s="197" t="s">
        <v>734</v>
      </c>
      <c r="E68" s="198"/>
      <c r="F68" s="198"/>
      <c r="G68" s="198"/>
      <c r="H68" s="194"/>
      <c r="I68" s="639"/>
      <c r="J68" s="640">
        <v>0</v>
      </c>
      <c r="K68" s="779" t="s">
        <v>1114</v>
      </c>
      <c r="L68" s="568"/>
      <c r="M68" s="568"/>
      <c r="N68" s="568"/>
      <c r="O68" s="568"/>
      <c r="P68" s="568"/>
      <c r="Q68" s="568"/>
      <c r="AB68" s="158"/>
    </row>
    <row r="69" spans="2:28" x14ac:dyDescent="0.35">
      <c r="B69" s="159"/>
      <c r="C69" s="346" t="s">
        <v>735</v>
      </c>
      <c r="D69" s="197" t="s">
        <v>736</v>
      </c>
      <c r="E69" s="198"/>
      <c r="F69" s="198"/>
      <c r="G69" s="198"/>
      <c r="H69" s="194"/>
      <c r="I69" s="639"/>
      <c r="J69" s="640">
        <v>0</v>
      </c>
      <c r="K69" s="779" t="s">
        <v>1114</v>
      </c>
      <c r="L69" s="568"/>
      <c r="M69" s="568"/>
      <c r="N69" s="568"/>
      <c r="O69" s="568"/>
      <c r="P69" s="568"/>
      <c r="Q69" s="568"/>
      <c r="AB69" s="158"/>
    </row>
    <row r="70" spans="2:28" x14ac:dyDescent="0.35">
      <c r="B70" s="159"/>
      <c r="C70" s="188" t="s">
        <v>737</v>
      </c>
      <c r="D70" s="188"/>
      <c r="E70" s="151"/>
      <c r="F70" s="151"/>
      <c r="G70" s="568"/>
      <c r="H70" s="568"/>
      <c r="I70" s="568"/>
      <c r="J70" s="568"/>
      <c r="K70" s="568"/>
      <c r="M70" s="568"/>
      <c r="N70" s="568"/>
      <c r="O70" s="568"/>
      <c r="P70" s="568"/>
      <c r="Q70" s="568"/>
      <c r="AB70" s="158"/>
    </row>
    <row r="71" spans="2:28" x14ac:dyDescent="0.35">
      <c r="B71" s="159"/>
      <c r="C71" s="192"/>
      <c r="D71" s="151"/>
      <c r="E71" s="151"/>
      <c r="F71" s="151"/>
      <c r="G71" s="151"/>
      <c r="AB71" s="158"/>
    </row>
    <row r="72" spans="2:28" x14ac:dyDescent="0.35">
      <c r="B72" s="159"/>
      <c r="D72" s="151"/>
      <c r="E72" s="151"/>
      <c r="F72" s="151"/>
      <c r="G72" s="151"/>
      <c r="AB72" s="158"/>
    </row>
    <row r="73" spans="2:28" x14ac:dyDescent="0.35">
      <c r="B73" s="159"/>
      <c r="C73" s="196" t="s">
        <v>738</v>
      </c>
      <c r="D73" s="641">
        <v>78</v>
      </c>
      <c r="E73" s="769" t="s">
        <v>1103</v>
      </c>
      <c r="F73" s="198"/>
      <c r="G73" s="198"/>
      <c r="H73" s="167"/>
      <c r="AB73" s="158"/>
    </row>
    <row r="74" spans="2:28" ht="16.5" x14ac:dyDescent="0.35">
      <c r="B74" s="159"/>
      <c r="C74" s="196" t="s">
        <v>739</v>
      </c>
      <c r="D74" s="638">
        <v>1.77</v>
      </c>
      <c r="E74" s="770" t="s">
        <v>1104</v>
      </c>
      <c r="F74" s="198"/>
      <c r="G74" s="198"/>
      <c r="H74" s="167"/>
      <c r="AB74" s="158"/>
    </row>
    <row r="75" spans="2:28" x14ac:dyDescent="0.35">
      <c r="B75" s="159"/>
      <c r="AB75" s="158"/>
    </row>
    <row r="76" spans="2:28" x14ac:dyDescent="0.35">
      <c r="B76" s="159"/>
      <c r="C76" s="148" t="s">
        <v>740</v>
      </c>
      <c r="AB76" s="158"/>
    </row>
    <row r="77" spans="2:28" x14ac:dyDescent="0.35">
      <c r="B77" s="159"/>
      <c r="D77" s="362" t="s">
        <v>741</v>
      </c>
      <c r="E77" s="209" t="s">
        <v>742</v>
      </c>
      <c r="F77" s="209" t="s">
        <v>743</v>
      </c>
      <c r="G77" s="209" t="s">
        <v>744</v>
      </c>
      <c r="H77" s="209" t="s">
        <v>745</v>
      </c>
      <c r="I77" s="208" t="s">
        <v>746</v>
      </c>
      <c r="J77" s="208" t="s">
        <v>747</v>
      </c>
      <c r="L77" s="208" t="s">
        <v>742</v>
      </c>
      <c r="M77" s="575" t="s">
        <v>743</v>
      </c>
      <c r="N77" s="209" t="s">
        <v>744</v>
      </c>
      <c r="O77" s="209" t="s">
        <v>745</v>
      </c>
      <c r="P77" s="208" t="s">
        <v>746</v>
      </c>
      <c r="Q77" s="208" t="s">
        <v>747</v>
      </c>
      <c r="AB77" s="158"/>
    </row>
    <row r="78" spans="2:28" x14ac:dyDescent="0.35">
      <c r="B78" s="159"/>
      <c r="D78" s="346" t="s">
        <v>699</v>
      </c>
      <c r="E78" s="642"/>
      <c r="F78" s="642"/>
      <c r="G78" s="642"/>
      <c r="H78" s="642"/>
      <c r="I78" s="642"/>
      <c r="J78" s="642"/>
      <c r="L78" s="771">
        <f t="shared" ref="L78:Q78" si="0">F$42*E78</f>
        <v>0</v>
      </c>
      <c r="M78" s="771">
        <f t="shared" si="0"/>
        <v>0</v>
      </c>
      <c r="N78" s="771">
        <f t="shared" si="0"/>
        <v>0</v>
      </c>
      <c r="O78" s="771">
        <f t="shared" si="0"/>
        <v>0</v>
      </c>
      <c r="P78" s="771">
        <f t="shared" si="0"/>
        <v>0</v>
      </c>
      <c r="Q78" s="771">
        <f t="shared" si="0"/>
        <v>0</v>
      </c>
      <c r="AB78" s="158"/>
    </row>
    <row r="79" spans="2:28" x14ac:dyDescent="0.35">
      <c r="B79" s="159"/>
      <c r="D79" s="346" t="s">
        <v>701</v>
      </c>
      <c r="E79" s="642"/>
      <c r="F79" s="642"/>
      <c r="G79" s="642"/>
      <c r="H79" s="642"/>
      <c r="I79" s="642"/>
      <c r="J79" s="642"/>
      <c r="L79" s="771">
        <f t="shared" ref="L79:L96" si="1">F$42*E79</f>
        <v>0</v>
      </c>
      <c r="M79" s="771">
        <f t="shared" ref="M79:M96" si="2">G$42*F79</f>
        <v>0</v>
      </c>
      <c r="N79" s="771">
        <f t="shared" ref="N79:N96" si="3">H$42*G79</f>
        <v>0</v>
      </c>
      <c r="O79" s="771">
        <f t="shared" ref="O79:O96" si="4">I$42*H79</f>
        <v>0</v>
      </c>
      <c r="P79" s="771">
        <f t="shared" ref="P79:P96" si="5">J$42*I79</f>
        <v>0</v>
      </c>
      <c r="Q79" s="771">
        <f t="shared" ref="Q79:Q96" si="6">K$42*J79</f>
        <v>0</v>
      </c>
      <c r="AB79" s="158"/>
    </row>
    <row r="80" spans="2:28" x14ac:dyDescent="0.35">
      <c r="B80" s="159"/>
      <c r="D80" s="346" t="s">
        <v>703</v>
      </c>
      <c r="E80" s="642"/>
      <c r="F80" s="642"/>
      <c r="G80" s="642"/>
      <c r="H80" s="642"/>
      <c r="I80" s="642"/>
      <c r="J80" s="642"/>
      <c r="L80" s="771">
        <f t="shared" ref="L80:Q80" si="7">F$42*E80</f>
        <v>0</v>
      </c>
      <c r="M80" s="771">
        <f t="shared" si="7"/>
        <v>0</v>
      </c>
      <c r="N80" s="771">
        <f t="shared" si="7"/>
        <v>0</v>
      </c>
      <c r="O80" s="771">
        <f t="shared" si="7"/>
        <v>0</v>
      </c>
      <c r="P80" s="771">
        <f t="shared" si="7"/>
        <v>0</v>
      </c>
      <c r="Q80" s="771">
        <f t="shared" si="7"/>
        <v>0</v>
      </c>
      <c r="AB80" s="158"/>
    </row>
    <row r="81" spans="2:28" x14ac:dyDescent="0.35">
      <c r="B81" s="159"/>
      <c r="D81" s="346" t="s">
        <v>748</v>
      </c>
      <c r="E81" s="642"/>
      <c r="F81" s="642"/>
      <c r="G81" s="642"/>
      <c r="H81" s="642"/>
      <c r="I81" s="642"/>
      <c r="J81" s="642"/>
      <c r="L81" s="771">
        <f t="shared" si="1"/>
        <v>0</v>
      </c>
      <c r="M81" s="771">
        <f t="shared" si="2"/>
        <v>0</v>
      </c>
      <c r="N81" s="771">
        <f t="shared" si="3"/>
        <v>0</v>
      </c>
      <c r="O81" s="771">
        <f t="shared" si="4"/>
        <v>0</v>
      </c>
      <c r="P81" s="771">
        <f t="shared" si="5"/>
        <v>0</v>
      </c>
      <c r="Q81" s="771">
        <f t="shared" si="6"/>
        <v>0</v>
      </c>
      <c r="AB81" s="158"/>
    </row>
    <row r="82" spans="2:28" x14ac:dyDescent="0.35">
      <c r="B82" s="159"/>
      <c r="D82" s="346" t="s">
        <v>749</v>
      </c>
      <c r="E82" s="642"/>
      <c r="F82" s="642"/>
      <c r="G82" s="642"/>
      <c r="H82" s="642"/>
      <c r="I82" s="642"/>
      <c r="J82" s="642"/>
      <c r="L82" s="771">
        <f t="shared" si="1"/>
        <v>0</v>
      </c>
      <c r="M82" s="771">
        <f t="shared" si="2"/>
        <v>0</v>
      </c>
      <c r="N82" s="771">
        <f t="shared" si="3"/>
        <v>0</v>
      </c>
      <c r="O82" s="771">
        <f t="shared" si="4"/>
        <v>0</v>
      </c>
      <c r="P82" s="771">
        <f t="shared" si="5"/>
        <v>0</v>
      </c>
      <c r="Q82" s="771">
        <f t="shared" si="6"/>
        <v>0</v>
      </c>
      <c r="AB82" s="158"/>
    </row>
    <row r="83" spans="2:28" x14ac:dyDescent="0.35">
      <c r="B83" s="159"/>
      <c r="D83" s="346" t="s">
        <v>711</v>
      </c>
      <c r="E83" s="642"/>
      <c r="F83" s="642"/>
      <c r="G83" s="642"/>
      <c r="H83" s="642"/>
      <c r="I83" s="642"/>
      <c r="J83" s="642"/>
      <c r="L83" s="771">
        <f t="shared" si="1"/>
        <v>0</v>
      </c>
      <c r="M83" s="771">
        <f t="shared" si="2"/>
        <v>0</v>
      </c>
      <c r="N83" s="771">
        <f t="shared" si="3"/>
        <v>0</v>
      </c>
      <c r="O83" s="771">
        <f t="shared" si="4"/>
        <v>0</v>
      </c>
      <c r="P83" s="771">
        <f t="shared" si="5"/>
        <v>0</v>
      </c>
      <c r="Q83" s="771">
        <f t="shared" si="6"/>
        <v>0</v>
      </c>
      <c r="AB83" s="158"/>
    </row>
    <row r="84" spans="2:28" x14ac:dyDescent="0.35">
      <c r="B84" s="159"/>
      <c r="D84" s="346" t="s">
        <v>1101</v>
      </c>
      <c r="E84" s="642"/>
      <c r="F84" s="642"/>
      <c r="G84" s="642"/>
      <c r="H84" s="642"/>
      <c r="I84" s="642"/>
      <c r="J84" s="642"/>
      <c r="L84" s="771">
        <f t="shared" ref="L84" si="8">F$42*E84</f>
        <v>0</v>
      </c>
      <c r="M84" s="771">
        <f t="shared" ref="M84" si="9">G$42*F84</f>
        <v>0</v>
      </c>
      <c r="N84" s="771">
        <f t="shared" ref="N84" si="10">H$42*G84</f>
        <v>0</v>
      </c>
      <c r="O84" s="771">
        <f t="shared" ref="O84" si="11">I$42*H84</f>
        <v>0</v>
      </c>
      <c r="P84" s="771">
        <f t="shared" ref="P84" si="12">J$42*I84</f>
        <v>0</v>
      </c>
      <c r="Q84" s="771">
        <f t="shared" ref="Q84" si="13">K$42*J84</f>
        <v>0</v>
      </c>
      <c r="AB84" s="158"/>
    </row>
    <row r="85" spans="2:28" x14ac:dyDescent="0.35">
      <c r="B85" s="159"/>
      <c r="D85" s="346" t="s">
        <v>714</v>
      </c>
      <c r="E85" s="642"/>
      <c r="F85" s="642"/>
      <c r="G85" s="642"/>
      <c r="H85" s="642"/>
      <c r="I85" s="642"/>
      <c r="J85" s="642"/>
      <c r="L85" s="771">
        <f t="shared" si="1"/>
        <v>0</v>
      </c>
      <c r="M85" s="771">
        <f t="shared" si="2"/>
        <v>0</v>
      </c>
      <c r="N85" s="771">
        <f t="shared" si="3"/>
        <v>0</v>
      </c>
      <c r="O85" s="771">
        <f t="shared" si="4"/>
        <v>0</v>
      </c>
      <c r="P85" s="771">
        <f t="shared" si="5"/>
        <v>0</v>
      </c>
      <c r="Q85" s="771">
        <f t="shared" si="6"/>
        <v>0</v>
      </c>
      <c r="AB85" s="158"/>
    </row>
    <row r="86" spans="2:28" x14ac:dyDescent="0.35">
      <c r="B86" s="159"/>
      <c r="D86" s="346" t="s">
        <v>717</v>
      </c>
      <c r="E86" s="642"/>
      <c r="F86" s="642"/>
      <c r="G86" s="642"/>
      <c r="H86" s="642"/>
      <c r="I86" s="642"/>
      <c r="J86" s="642"/>
      <c r="L86" s="771">
        <f t="shared" si="1"/>
        <v>0</v>
      </c>
      <c r="M86" s="771">
        <f t="shared" si="2"/>
        <v>0</v>
      </c>
      <c r="N86" s="771">
        <f t="shared" si="3"/>
        <v>0</v>
      </c>
      <c r="O86" s="771">
        <f t="shared" si="4"/>
        <v>0</v>
      </c>
      <c r="P86" s="771">
        <f t="shared" si="5"/>
        <v>0</v>
      </c>
      <c r="Q86" s="771">
        <f t="shared" si="6"/>
        <v>0</v>
      </c>
      <c r="AB86" s="158"/>
    </row>
    <row r="87" spans="2:28" x14ac:dyDescent="0.35">
      <c r="B87" s="159"/>
      <c r="D87" s="346" t="s">
        <v>719</v>
      </c>
      <c r="E87" s="642"/>
      <c r="F87" s="642"/>
      <c r="G87" s="642"/>
      <c r="H87" s="642"/>
      <c r="I87" s="642"/>
      <c r="J87" s="642"/>
      <c r="L87" s="771">
        <f t="shared" si="1"/>
        <v>0</v>
      </c>
      <c r="M87" s="771">
        <f t="shared" si="2"/>
        <v>0</v>
      </c>
      <c r="N87" s="771">
        <f t="shared" si="3"/>
        <v>0</v>
      </c>
      <c r="O87" s="771">
        <f t="shared" si="4"/>
        <v>0</v>
      </c>
      <c r="P87" s="771">
        <f t="shared" si="5"/>
        <v>0</v>
      </c>
      <c r="Q87" s="771">
        <f t="shared" si="6"/>
        <v>0</v>
      </c>
      <c r="AB87" s="158"/>
    </row>
    <row r="88" spans="2:28" x14ac:dyDescent="0.35">
      <c r="B88" s="159"/>
      <c r="D88" s="346" t="s">
        <v>721</v>
      </c>
      <c r="E88" s="642"/>
      <c r="F88" s="642"/>
      <c r="G88" s="642"/>
      <c r="H88" s="642"/>
      <c r="I88" s="642"/>
      <c r="J88" s="642"/>
      <c r="L88" s="771">
        <f t="shared" si="1"/>
        <v>0</v>
      </c>
      <c r="M88" s="771">
        <f t="shared" si="2"/>
        <v>0</v>
      </c>
      <c r="N88" s="771">
        <f t="shared" si="3"/>
        <v>0</v>
      </c>
      <c r="O88" s="771">
        <f t="shared" si="4"/>
        <v>0</v>
      </c>
      <c r="P88" s="771">
        <f t="shared" si="5"/>
        <v>0</v>
      </c>
      <c r="Q88" s="771">
        <f t="shared" si="6"/>
        <v>0</v>
      </c>
      <c r="AB88" s="158"/>
    </row>
    <row r="89" spans="2:28" x14ac:dyDescent="0.35">
      <c r="B89" s="159"/>
      <c r="D89" s="346" t="s">
        <v>723</v>
      </c>
      <c r="E89" s="642"/>
      <c r="F89" s="642"/>
      <c r="G89" s="642"/>
      <c r="H89" s="642"/>
      <c r="I89" s="642"/>
      <c r="J89" s="642"/>
      <c r="L89" s="771">
        <f t="shared" si="1"/>
        <v>0</v>
      </c>
      <c r="M89" s="771">
        <f t="shared" si="2"/>
        <v>0</v>
      </c>
      <c r="N89" s="771">
        <f t="shared" si="3"/>
        <v>0</v>
      </c>
      <c r="O89" s="771">
        <f t="shared" si="4"/>
        <v>0</v>
      </c>
      <c r="P89" s="771">
        <f t="shared" si="5"/>
        <v>0</v>
      </c>
      <c r="Q89" s="771">
        <f t="shared" si="6"/>
        <v>0</v>
      </c>
      <c r="AB89" s="158"/>
    </row>
    <row r="90" spans="2:28" x14ac:dyDescent="0.35">
      <c r="B90" s="159"/>
      <c r="D90" s="346" t="s">
        <v>725</v>
      </c>
      <c r="E90" s="642"/>
      <c r="F90" s="642"/>
      <c r="G90" s="642"/>
      <c r="H90" s="642"/>
      <c r="I90" s="642"/>
      <c r="J90" s="642"/>
      <c r="L90" s="771">
        <f t="shared" si="1"/>
        <v>0</v>
      </c>
      <c r="M90" s="771">
        <f t="shared" si="2"/>
        <v>0</v>
      </c>
      <c r="N90" s="771">
        <f t="shared" si="3"/>
        <v>0</v>
      </c>
      <c r="O90" s="771">
        <f t="shared" si="4"/>
        <v>0</v>
      </c>
      <c r="P90" s="771">
        <f t="shared" si="5"/>
        <v>0</v>
      </c>
      <c r="Q90" s="771">
        <f t="shared" si="6"/>
        <v>0</v>
      </c>
      <c r="AB90" s="158"/>
    </row>
    <row r="91" spans="2:28" x14ac:dyDescent="0.35">
      <c r="B91" s="159"/>
      <c r="D91" s="346" t="s">
        <v>727</v>
      </c>
      <c r="E91" s="642"/>
      <c r="F91" s="642"/>
      <c r="G91" s="642"/>
      <c r="H91" s="642"/>
      <c r="I91" s="642"/>
      <c r="J91" s="642"/>
      <c r="L91" s="771">
        <f t="shared" si="1"/>
        <v>0</v>
      </c>
      <c r="M91" s="771">
        <f t="shared" si="2"/>
        <v>0</v>
      </c>
      <c r="N91" s="771">
        <f t="shared" si="3"/>
        <v>0</v>
      </c>
      <c r="O91" s="771">
        <f t="shared" si="4"/>
        <v>0</v>
      </c>
      <c r="P91" s="771">
        <f t="shared" si="5"/>
        <v>0</v>
      </c>
      <c r="Q91" s="771">
        <f t="shared" si="6"/>
        <v>0</v>
      </c>
      <c r="AB91" s="158"/>
    </row>
    <row r="92" spans="2:28" x14ac:dyDescent="0.35">
      <c r="B92" s="159"/>
      <c r="D92" s="346" t="s">
        <v>729</v>
      </c>
      <c r="E92" s="642"/>
      <c r="F92" s="642"/>
      <c r="G92" s="642"/>
      <c r="H92" s="642"/>
      <c r="I92" s="642"/>
      <c r="J92" s="642"/>
      <c r="L92" s="771">
        <f t="shared" si="1"/>
        <v>0</v>
      </c>
      <c r="M92" s="771">
        <f t="shared" si="2"/>
        <v>0</v>
      </c>
      <c r="N92" s="771">
        <f t="shared" si="3"/>
        <v>0</v>
      </c>
      <c r="O92" s="771">
        <f t="shared" si="4"/>
        <v>0</v>
      </c>
      <c r="P92" s="771">
        <f t="shared" si="5"/>
        <v>0</v>
      </c>
      <c r="Q92" s="771">
        <f t="shared" si="6"/>
        <v>0</v>
      </c>
      <c r="AB92" s="158"/>
    </row>
    <row r="93" spans="2:28" x14ac:dyDescent="0.35">
      <c r="B93" s="159"/>
      <c r="D93" s="346" t="s">
        <v>731</v>
      </c>
      <c r="E93" s="642"/>
      <c r="F93" s="642"/>
      <c r="G93" s="642"/>
      <c r="H93" s="642"/>
      <c r="I93" s="642"/>
      <c r="J93" s="642"/>
      <c r="L93" s="771">
        <f t="shared" si="1"/>
        <v>0</v>
      </c>
      <c r="M93" s="771">
        <f t="shared" si="2"/>
        <v>0</v>
      </c>
      <c r="N93" s="771">
        <f t="shared" si="3"/>
        <v>0</v>
      </c>
      <c r="O93" s="771">
        <f t="shared" si="4"/>
        <v>0</v>
      </c>
      <c r="P93" s="771">
        <f t="shared" si="5"/>
        <v>0</v>
      </c>
      <c r="Q93" s="771">
        <f t="shared" si="6"/>
        <v>0</v>
      </c>
      <c r="AB93" s="158"/>
    </row>
    <row r="94" spans="2:28" x14ac:dyDescent="0.35">
      <c r="B94" s="159"/>
      <c r="D94" s="346" t="s">
        <v>733</v>
      </c>
      <c r="E94" s="642"/>
      <c r="F94" s="642"/>
      <c r="G94" s="642"/>
      <c r="H94" s="642"/>
      <c r="I94" s="642"/>
      <c r="J94" s="642"/>
      <c r="L94" s="771">
        <f t="shared" si="1"/>
        <v>0</v>
      </c>
      <c r="M94" s="771">
        <f t="shared" si="2"/>
        <v>0</v>
      </c>
      <c r="N94" s="771">
        <f t="shared" si="3"/>
        <v>0</v>
      </c>
      <c r="O94" s="771">
        <f t="shared" si="4"/>
        <v>0</v>
      </c>
      <c r="P94" s="771">
        <f t="shared" si="5"/>
        <v>0</v>
      </c>
      <c r="Q94" s="771">
        <f t="shared" si="6"/>
        <v>0</v>
      </c>
      <c r="AB94" s="158"/>
    </row>
    <row r="95" spans="2:28" x14ac:dyDescent="0.35">
      <c r="B95" s="159"/>
      <c r="D95" s="346" t="s">
        <v>735</v>
      </c>
      <c r="E95" s="642"/>
      <c r="F95" s="642"/>
      <c r="G95" s="642"/>
      <c r="H95" s="642"/>
      <c r="I95" s="642"/>
      <c r="J95" s="642"/>
      <c r="L95" s="771">
        <f t="shared" si="1"/>
        <v>0</v>
      </c>
      <c r="M95" s="771">
        <f t="shared" si="2"/>
        <v>0</v>
      </c>
      <c r="N95" s="771">
        <f t="shared" si="3"/>
        <v>0</v>
      </c>
      <c r="O95" s="771">
        <f t="shared" si="4"/>
        <v>0</v>
      </c>
      <c r="P95" s="771">
        <f t="shared" si="5"/>
        <v>0</v>
      </c>
      <c r="Q95" s="771">
        <f t="shared" si="6"/>
        <v>0</v>
      </c>
      <c r="AB95" s="158"/>
    </row>
    <row r="96" spans="2:28" x14ac:dyDescent="0.35">
      <c r="B96" s="159"/>
      <c r="D96" s="346" t="s">
        <v>750</v>
      </c>
      <c r="E96" s="642"/>
      <c r="F96" s="642"/>
      <c r="G96" s="642"/>
      <c r="H96" s="642"/>
      <c r="I96" s="642"/>
      <c r="J96" s="642"/>
      <c r="L96" s="771">
        <f t="shared" si="1"/>
        <v>0</v>
      </c>
      <c r="M96" s="771">
        <f t="shared" si="2"/>
        <v>0</v>
      </c>
      <c r="N96" s="771">
        <f t="shared" si="3"/>
        <v>0</v>
      </c>
      <c r="O96" s="771">
        <f t="shared" si="4"/>
        <v>0</v>
      </c>
      <c r="P96" s="771">
        <f t="shared" si="5"/>
        <v>0</v>
      </c>
      <c r="Q96" s="771">
        <f t="shared" si="6"/>
        <v>0</v>
      </c>
      <c r="AB96" s="158"/>
    </row>
    <row r="97" spans="2:28" x14ac:dyDescent="0.35">
      <c r="B97" s="159"/>
      <c r="E97" s="741">
        <f t="shared" ref="E97:J97" si="14">SUM(E78:E96)</f>
        <v>0</v>
      </c>
      <c r="F97" s="741">
        <f t="shared" si="14"/>
        <v>0</v>
      </c>
      <c r="G97" s="741">
        <f t="shared" si="14"/>
        <v>0</v>
      </c>
      <c r="H97" s="741">
        <f t="shared" si="14"/>
        <v>0</v>
      </c>
      <c r="I97" s="741">
        <f t="shared" si="14"/>
        <v>0</v>
      </c>
      <c r="J97" s="741">
        <f t="shared" si="14"/>
        <v>0</v>
      </c>
      <c r="L97" s="352">
        <f t="shared" ref="L97:Q97" si="15">SUM(L78:L96)</f>
        <v>0</v>
      </c>
      <c r="M97" s="352">
        <f t="shared" si="15"/>
        <v>0</v>
      </c>
      <c r="N97" s="352">
        <f t="shared" si="15"/>
        <v>0</v>
      </c>
      <c r="O97" s="352">
        <f t="shared" si="15"/>
        <v>0</v>
      </c>
      <c r="P97" s="352">
        <f t="shared" si="15"/>
        <v>0</v>
      </c>
      <c r="Q97" s="352">
        <f t="shared" si="15"/>
        <v>0</v>
      </c>
      <c r="AB97" s="158"/>
    </row>
    <row r="98" spans="2:28" x14ac:dyDescent="0.35">
      <c r="B98" s="159"/>
      <c r="E98" s="355"/>
      <c r="F98" s="355"/>
      <c r="G98" s="355"/>
      <c r="H98" s="355"/>
      <c r="I98" s="355"/>
      <c r="J98" s="355"/>
      <c r="AB98" s="158"/>
    </row>
    <row r="99" spans="2:28" x14ac:dyDescent="0.35">
      <c r="B99" s="159"/>
      <c r="C99" t="s">
        <v>751</v>
      </c>
      <c r="E99" s="552"/>
      <c r="F99" s="552"/>
      <c r="G99" s="552"/>
      <c r="H99" s="552"/>
      <c r="I99" s="552"/>
      <c r="J99" s="552"/>
      <c r="AB99" s="158"/>
    </row>
    <row r="100" spans="2:28" x14ac:dyDescent="0.35">
      <c r="B100" s="160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2"/>
    </row>
    <row r="101" spans="2:28" x14ac:dyDescent="0.35">
      <c r="D101" s="194"/>
      <c r="K101" s="194"/>
    </row>
    <row r="102" spans="2:28" x14ac:dyDescent="0.35">
      <c r="B102" s="155" t="s">
        <v>752</v>
      </c>
      <c r="C102" s="328"/>
      <c r="E102" s="328"/>
      <c r="F102" s="328"/>
      <c r="G102" s="328"/>
      <c r="H102" s="328"/>
      <c r="I102" s="328"/>
      <c r="J102" s="328"/>
      <c r="L102" s="328"/>
      <c r="M102" s="328"/>
      <c r="N102" s="328"/>
      <c r="O102" s="328"/>
      <c r="P102" s="328"/>
      <c r="Q102" s="328"/>
      <c r="R102" s="328"/>
      <c r="S102" s="328"/>
      <c r="T102" s="328"/>
      <c r="U102" s="328"/>
      <c r="V102" s="328"/>
      <c r="W102" s="328"/>
      <c r="X102" s="328"/>
      <c r="Y102" s="328"/>
      <c r="Z102" s="328"/>
      <c r="AA102" s="328"/>
      <c r="AB102" s="156"/>
    </row>
    <row r="103" spans="2:28" x14ac:dyDescent="0.35">
      <c r="B103" s="159" t="s">
        <v>753</v>
      </c>
      <c r="AB103" s="158"/>
    </row>
    <row r="104" spans="2:28" x14ac:dyDescent="0.35">
      <c r="B104" s="159" t="s">
        <v>754</v>
      </c>
      <c r="AB104" s="158"/>
    </row>
    <row r="105" spans="2:28" x14ac:dyDescent="0.35">
      <c r="B105" s="159"/>
      <c r="C105" s="353"/>
      <c r="D105" s="211"/>
      <c r="E105" s="211"/>
      <c r="F105" s="211"/>
      <c r="Z105" s="754" t="s">
        <v>755</v>
      </c>
      <c r="AB105" s="158"/>
    </row>
    <row r="106" spans="2:28" ht="43" customHeight="1" x14ac:dyDescent="0.35">
      <c r="B106" s="159"/>
      <c r="C106" s="410" t="s">
        <v>756</v>
      </c>
      <c r="D106" s="410" t="s">
        <v>757</v>
      </c>
      <c r="E106" s="410" t="s">
        <v>758</v>
      </c>
      <c r="F106" s="410" t="s">
        <v>699</v>
      </c>
      <c r="G106" s="410" t="s">
        <v>701</v>
      </c>
      <c r="H106" s="410" t="s">
        <v>703</v>
      </c>
      <c r="I106" s="410" t="s">
        <v>705</v>
      </c>
      <c r="J106" s="410" t="s">
        <v>759</v>
      </c>
      <c r="K106" s="410" t="s">
        <v>711</v>
      </c>
      <c r="L106" s="410" t="s">
        <v>1101</v>
      </c>
      <c r="M106" s="410" t="s">
        <v>714</v>
      </c>
      <c r="N106" s="410" t="s">
        <v>717</v>
      </c>
      <c r="O106" s="410" t="s">
        <v>719</v>
      </c>
      <c r="P106" s="410" t="s">
        <v>721</v>
      </c>
      <c r="Q106" s="410" t="s">
        <v>723</v>
      </c>
      <c r="R106" s="410" t="s">
        <v>725</v>
      </c>
      <c r="S106" s="410" t="s">
        <v>727</v>
      </c>
      <c r="T106" s="410" t="s">
        <v>729</v>
      </c>
      <c r="U106" s="410" t="s">
        <v>731</v>
      </c>
      <c r="V106" s="410" t="s">
        <v>733</v>
      </c>
      <c r="W106" s="410" t="s">
        <v>735</v>
      </c>
      <c r="X106" s="410" t="s">
        <v>760</v>
      </c>
      <c r="Z106" s="410" t="s">
        <v>761</v>
      </c>
      <c r="AA106" s="410" t="s">
        <v>762</v>
      </c>
      <c r="AB106" s="158"/>
    </row>
    <row r="107" spans="2:28" ht="29" hidden="1" x14ac:dyDescent="0.35">
      <c r="B107" s="159"/>
      <c r="C107" s="412" t="s">
        <v>763</v>
      </c>
      <c r="D107" s="164" t="s">
        <v>764</v>
      </c>
      <c r="E107" s="164" t="s">
        <v>765</v>
      </c>
      <c r="F107" s="643"/>
      <c r="G107" s="643"/>
      <c r="H107" s="643"/>
      <c r="I107" s="643"/>
      <c r="J107" s="643"/>
      <c r="K107" s="643"/>
      <c r="L107" s="643"/>
      <c r="M107" s="643"/>
      <c r="N107" s="643"/>
      <c r="O107" s="643"/>
      <c r="P107" s="643"/>
      <c r="Q107" s="643"/>
      <c r="R107" s="643"/>
      <c r="S107" s="643"/>
      <c r="T107" s="643"/>
      <c r="U107" s="643"/>
      <c r="V107" s="643"/>
      <c r="W107" s="643"/>
      <c r="X107" s="643"/>
      <c r="Z107" s="205"/>
      <c r="AA107" s="205"/>
      <c r="AB107" s="158"/>
    </row>
    <row r="108" spans="2:28" ht="43.5" hidden="1" x14ac:dyDescent="0.35">
      <c r="B108" s="159"/>
      <c r="C108" s="412" t="s">
        <v>763</v>
      </c>
      <c r="D108" s="164" t="s">
        <v>766</v>
      </c>
      <c r="E108" s="164" t="s">
        <v>767</v>
      </c>
      <c r="F108" s="638"/>
      <c r="G108" s="638"/>
      <c r="H108" s="638"/>
      <c r="I108" s="638"/>
      <c r="J108" s="638"/>
      <c r="K108" s="638"/>
      <c r="L108" s="638"/>
      <c r="M108" s="638"/>
      <c r="N108" s="638"/>
      <c r="O108" s="638"/>
      <c r="P108" s="638"/>
      <c r="Q108" s="638"/>
      <c r="R108" s="638"/>
      <c r="S108" s="638"/>
      <c r="T108" s="638"/>
      <c r="U108" s="638"/>
      <c r="V108" s="638"/>
      <c r="W108" s="638"/>
      <c r="X108" s="638"/>
      <c r="Z108" s="647" t="s">
        <v>768</v>
      </c>
      <c r="AA108" s="648">
        <f>VLOOKUP(Z108,payscales!B:K,10,0)</f>
        <v>122.51</v>
      </c>
      <c r="AB108" s="158"/>
    </row>
    <row r="109" spans="2:28" ht="30" customHeight="1" x14ac:dyDescent="0.35">
      <c r="B109" s="159"/>
      <c r="C109" s="412" t="s">
        <v>769</v>
      </c>
      <c r="D109" s="164" t="s">
        <v>770</v>
      </c>
      <c r="E109" s="164" t="s">
        <v>765</v>
      </c>
      <c r="F109" s="638">
        <v>1</v>
      </c>
      <c r="G109" s="638">
        <v>1</v>
      </c>
      <c r="H109" s="638">
        <v>1</v>
      </c>
      <c r="I109" s="638">
        <v>1</v>
      </c>
      <c r="J109" s="638">
        <v>1</v>
      </c>
      <c r="K109" s="638">
        <v>1</v>
      </c>
      <c r="L109" s="638">
        <v>2</v>
      </c>
      <c r="M109" s="638">
        <v>2</v>
      </c>
      <c r="N109" s="638">
        <v>1</v>
      </c>
      <c r="O109" s="638">
        <v>1</v>
      </c>
      <c r="P109" s="638">
        <v>1</v>
      </c>
      <c r="Q109" s="638">
        <v>1</v>
      </c>
      <c r="R109" s="638">
        <v>1</v>
      </c>
      <c r="S109" s="638">
        <v>1</v>
      </c>
      <c r="T109" s="638">
        <v>1</v>
      </c>
      <c r="U109" s="638">
        <v>1</v>
      </c>
      <c r="V109" s="638">
        <v>2</v>
      </c>
      <c r="W109" s="638">
        <v>2</v>
      </c>
      <c r="X109" s="638">
        <v>1</v>
      </c>
      <c r="Z109" s="205"/>
      <c r="AA109" s="205"/>
      <c r="AB109" s="158"/>
    </row>
    <row r="110" spans="2:28" ht="45" customHeight="1" x14ac:dyDescent="0.35">
      <c r="B110" s="159"/>
      <c r="C110" s="412" t="s">
        <v>769</v>
      </c>
      <c r="D110" s="164" t="s">
        <v>771</v>
      </c>
      <c r="E110" s="164" t="s">
        <v>767</v>
      </c>
      <c r="F110" s="638">
        <v>15</v>
      </c>
      <c r="G110" s="638">
        <v>15</v>
      </c>
      <c r="H110" s="638">
        <v>15</v>
      </c>
      <c r="I110" s="638">
        <v>15</v>
      </c>
      <c r="J110" s="638">
        <v>15</v>
      </c>
      <c r="K110" s="638">
        <v>15</v>
      </c>
      <c r="L110" s="638">
        <v>15</v>
      </c>
      <c r="M110" s="638">
        <v>15</v>
      </c>
      <c r="N110" s="638">
        <v>15</v>
      </c>
      <c r="O110" s="638">
        <v>15</v>
      </c>
      <c r="P110" s="638">
        <v>15</v>
      </c>
      <c r="Q110" s="638">
        <v>15</v>
      </c>
      <c r="R110" s="638">
        <v>15</v>
      </c>
      <c r="S110" s="638">
        <v>15</v>
      </c>
      <c r="T110" s="638">
        <v>15</v>
      </c>
      <c r="U110" s="638">
        <v>15</v>
      </c>
      <c r="V110" s="638">
        <v>15</v>
      </c>
      <c r="W110" s="638">
        <v>15</v>
      </c>
      <c r="X110" s="638">
        <v>15</v>
      </c>
      <c r="Z110" s="647" t="s">
        <v>768</v>
      </c>
      <c r="AA110" s="648">
        <f>VLOOKUP(Z110,payscales!B:K,10,0)</f>
        <v>122.51</v>
      </c>
      <c r="AB110" s="158"/>
    </row>
    <row r="111" spans="2:28" ht="30" customHeight="1" x14ac:dyDescent="0.35">
      <c r="B111" s="159"/>
      <c r="C111" s="408" t="s">
        <v>772</v>
      </c>
      <c r="D111" s="164" t="s">
        <v>773</v>
      </c>
      <c r="E111" s="164" t="s">
        <v>765</v>
      </c>
      <c r="F111" s="644">
        <v>120</v>
      </c>
      <c r="G111" s="742">
        <v>180</v>
      </c>
      <c r="H111" s="764">
        <v>10</v>
      </c>
      <c r="I111" s="644">
        <v>0</v>
      </c>
      <c r="J111" s="644">
        <v>0</v>
      </c>
      <c r="K111" s="742">
        <v>60</v>
      </c>
      <c r="L111" s="764">
        <v>0</v>
      </c>
      <c r="M111" s="644">
        <v>0</v>
      </c>
      <c r="N111" s="644">
        <v>0</v>
      </c>
      <c r="O111" s="742">
        <v>0</v>
      </c>
      <c r="P111" s="742">
        <v>0</v>
      </c>
      <c r="Q111" s="742">
        <v>0</v>
      </c>
      <c r="R111" s="742">
        <v>0</v>
      </c>
      <c r="S111" s="742">
        <v>0</v>
      </c>
      <c r="T111" s="742">
        <v>0</v>
      </c>
      <c r="U111" s="742">
        <v>60</v>
      </c>
      <c r="V111" s="742">
        <v>0</v>
      </c>
      <c r="W111" s="742">
        <v>0</v>
      </c>
      <c r="X111" s="742">
        <v>0</v>
      </c>
      <c r="Z111" s="647" t="s">
        <v>774</v>
      </c>
      <c r="AA111" s="648">
        <f>VLOOKUP(Z111,payscales!B:K,10,0)</f>
        <v>42.84</v>
      </c>
      <c r="AB111" s="158"/>
    </row>
    <row r="112" spans="2:28" ht="30" customHeight="1" x14ac:dyDescent="0.35">
      <c r="B112" s="159"/>
      <c r="C112" s="408" t="s">
        <v>772</v>
      </c>
      <c r="D112" s="164" t="s">
        <v>775</v>
      </c>
      <c r="E112" s="164" t="s">
        <v>765</v>
      </c>
      <c r="F112" s="644">
        <v>60</v>
      </c>
      <c r="G112" s="743">
        <v>60</v>
      </c>
      <c r="H112" s="764">
        <v>10</v>
      </c>
      <c r="I112" s="644">
        <v>0</v>
      </c>
      <c r="J112" s="644">
        <v>0</v>
      </c>
      <c r="K112" s="743">
        <v>30</v>
      </c>
      <c r="L112" s="764">
        <v>0</v>
      </c>
      <c r="M112" s="644">
        <v>0</v>
      </c>
      <c r="N112" s="644">
        <v>0</v>
      </c>
      <c r="O112" s="743">
        <v>0</v>
      </c>
      <c r="P112" s="743">
        <v>0</v>
      </c>
      <c r="Q112" s="743">
        <v>0</v>
      </c>
      <c r="R112" s="743">
        <v>0</v>
      </c>
      <c r="S112" s="743">
        <v>0</v>
      </c>
      <c r="T112" s="743">
        <v>0</v>
      </c>
      <c r="U112" s="743">
        <v>30</v>
      </c>
      <c r="V112" s="743">
        <v>0</v>
      </c>
      <c r="W112" s="743">
        <v>0</v>
      </c>
      <c r="X112" s="743">
        <v>0</v>
      </c>
      <c r="Z112" s="647" t="s">
        <v>774</v>
      </c>
      <c r="AA112" s="648">
        <f>VLOOKUP(Z112,payscales!B:K,10,0)</f>
        <v>42.84</v>
      </c>
      <c r="AB112" s="158"/>
    </row>
    <row r="113" spans="2:28" ht="30" customHeight="1" x14ac:dyDescent="0.35">
      <c r="B113" s="159"/>
      <c r="C113" s="408" t="s">
        <v>772</v>
      </c>
      <c r="D113" s="164" t="s">
        <v>776</v>
      </c>
      <c r="E113" s="164" t="s">
        <v>765</v>
      </c>
      <c r="F113" s="644">
        <v>60</v>
      </c>
      <c r="G113" s="743">
        <v>60</v>
      </c>
      <c r="H113" s="764">
        <v>10</v>
      </c>
      <c r="I113" s="644">
        <v>0</v>
      </c>
      <c r="J113" s="644">
        <v>0</v>
      </c>
      <c r="K113" s="743">
        <v>30</v>
      </c>
      <c r="L113" s="764">
        <v>0</v>
      </c>
      <c r="M113" s="644">
        <v>0</v>
      </c>
      <c r="N113" s="644">
        <v>0</v>
      </c>
      <c r="O113" s="743">
        <v>0</v>
      </c>
      <c r="P113" s="743">
        <v>0</v>
      </c>
      <c r="Q113" s="743">
        <v>0</v>
      </c>
      <c r="R113" s="743">
        <v>0</v>
      </c>
      <c r="S113" s="743">
        <v>0</v>
      </c>
      <c r="T113" s="743">
        <v>0</v>
      </c>
      <c r="U113" s="743">
        <v>30</v>
      </c>
      <c r="V113" s="743">
        <v>0</v>
      </c>
      <c r="W113" s="743">
        <v>0</v>
      </c>
      <c r="X113" s="743">
        <v>0</v>
      </c>
      <c r="Z113" s="647" t="s">
        <v>774</v>
      </c>
      <c r="AA113" s="648">
        <f>VLOOKUP(Z113,payscales!B:K,10,0)</f>
        <v>42.84</v>
      </c>
      <c r="AB113" s="158"/>
    </row>
    <row r="114" spans="2:28" ht="29" hidden="1" x14ac:dyDescent="0.35">
      <c r="B114" s="159"/>
      <c r="C114" s="409" t="s">
        <v>777</v>
      </c>
      <c r="D114" s="164" t="s">
        <v>778</v>
      </c>
      <c r="E114" s="164" t="s">
        <v>765</v>
      </c>
      <c r="F114" s="645"/>
      <c r="G114" s="744"/>
      <c r="H114" s="765"/>
      <c r="I114" s="645"/>
      <c r="J114" s="645"/>
      <c r="K114" s="744"/>
      <c r="L114" s="765"/>
      <c r="M114" s="645"/>
      <c r="N114" s="645"/>
      <c r="O114" s="744"/>
      <c r="P114" s="744"/>
      <c r="Q114" s="744"/>
      <c r="R114" s="744"/>
      <c r="S114" s="744"/>
      <c r="T114" s="744"/>
      <c r="U114" s="744"/>
      <c r="V114" s="744"/>
      <c r="W114" s="744"/>
      <c r="X114" s="744"/>
      <c r="Z114" s="647" t="s">
        <v>779</v>
      </c>
      <c r="AA114" s="648">
        <f>VLOOKUP(Z114,payscales!B:K,10,0)</f>
        <v>47.51</v>
      </c>
      <c r="AB114" s="158"/>
    </row>
    <row r="115" spans="2:28" hidden="1" x14ac:dyDescent="0.35">
      <c r="B115" s="159"/>
      <c r="C115" s="411" t="s">
        <v>780</v>
      </c>
      <c r="D115" s="164" t="s">
        <v>781</v>
      </c>
      <c r="E115" s="164" t="s">
        <v>782</v>
      </c>
      <c r="F115" s="638"/>
      <c r="G115" s="638"/>
      <c r="H115" s="638"/>
      <c r="I115" s="638"/>
      <c r="J115" s="638"/>
      <c r="K115" s="638"/>
      <c r="L115" s="638"/>
      <c r="M115" s="638"/>
      <c r="N115" s="638"/>
      <c r="O115" s="638"/>
      <c r="P115" s="638"/>
      <c r="Q115" s="638"/>
      <c r="R115" s="638"/>
      <c r="S115" s="638"/>
      <c r="T115" s="638"/>
      <c r="U115" s="638"/>
      <c r="V115" s="638"/>
      <c r="W115" s="638"/>
      <c r="X115" s="638"/>
      <c r="Z115" s="205"/>
      <c r="AA115" s="205"/>
      <c r="AB115" s="158"/>
    </row>
    <row r="116" spans="2:28" ht="43.5" hidden="1" x14ac:dyDescent="0.35">
      <c r="B116" s="159"/>
      <c r="C116" s="411" t="s">
        <v>780</v>
      </c>
      <c r="D116" s="164" t="s">
        <v>781</v>
      </c>
      <c r="E116" s="164" t="s">
        <v>767</v>
      </c>
      <c r="F116" s="638"/>
      <c r="G116" s="638"/>
      <c r="H116" s="638"/>
      <c r="I116" s="638"/>
      <c r="J116" s="638"/>
      <c r="K116" s="638"/>
      <c r="L116" s="638"/>
      <c r="M116" s="638"/>
      <c r="N116" s="638"/>
      <c r="O116" s="638"/>
      <c r="P116" s="638"/>
      <c r="Q116" s="638"/>
      <c r="R116" s="638"/>
      <c r="S116" s="638"/>
      <c r="T116" s="638"/>
      <c r="U116" s="638"/>
      <c r="V116" s="638"/>
      <c r="W116" s="638"/>
      <c r="X116" s="638"/>
      <c r="Z116" s="647" t="s">
        <v>768</v>
      </c>
      <c r="AA116" s="648">
        <f>VLOOKUP(Z116,payscales!B:K,10,0)</f>
        <v>122.51</v>
      </c>
      <c r="AB116" s="158"/>
    </row>
    <row r="117" spans="2:28" ht="30" customHeight="1" x14ac:dyDescent="0.35">
      <c r="B117" s="159"/>
      <c r="C117" s="413" t="s">
        <v>783</v>
      </c>
      <c r="D117" s="164" t="s">
        <v>784</v>
      </c>
      <c r="E117" s="164" t="s">
        <v>782</v>
      </c>
      <c r="F117" s="644">
        <v>2</v>
      </c>
      <c r="G117" s="644">
        <v>2</v>
      </c>
      <c r="H117" s="644">
        <v>2</v>
      </c>
      <c r="I117" s="644">
        <v>1</v>
      </c>
      <c r="J117" s="644">
        <v>2</v>
      </c>
      <c r="K117" s="644">
        <v>2</v>
      </c>
      <c r="L117" s="644">
        <v>2</v>
      </c>
      <c r="M117" s="644">
        <v>4</v>
      </c>
      <c r="N117" s="644">
        <v>4</v>
      </c>
      <c r="O117" s="644">
        <v>2</v>
      </c>
      <c r="P117" s="644">
        <v>1</v>
      </c>
      <c r="Q117" s="644">
        <v>1</v>
      </c>
      <c r="R117" s="644">
        <v>1</v>
      </c>
      <c r="S117" s="644">
        <v>1</v>
      </c>
      <c r="T117" s="644">
        <v>1</v>
      </c>
      <c r="U117" s="644">
        <v>2</v>
      </c>
      <c r="V117" s="644">
        <v>2</v>
      </c>
      <c r="W117" s="644">
        <v>1</v>
      </c>
      <c r="X117" s="644">
        <v>1</v>
      </c>
      <c r="Z117" s="205"/>
      <c r="AA117" s="205"/>
      <c r="AB117" s="158"/>
    </row>
    <row r="118" spans="2:28" ht="30" customHeight="1" x14ac:dyDescent="0.35">
      <c r="B118" s="159"/>
      <c r="C118" s="413" t="s">
        <v>783</v>
      </c>
      <c r="D118" s="164" t="s">
        <v>784</v>
      </c>
      <c r="E118" s="164" t="s">
        <v>785</v>
      </c>
      <c r="F118" s="644"/>
      <c r="G118" s="644"/>
      <c r="H118" s="644"/>
      <c r="I118" s="644"/>
      <c r="J118" s="644"/>
      <c r="K118" s="644"/>
      <c r="L118" s="644"/>
      <c r="M118" s="644"/>
      <c r="N118" s="644"/>
      <c r="O118" s="644"/>
      <c r="P118" s="644"/>
      <c r="Q118" s="644"/>
      <c r="R118" s="644"/>
      <c r="S118" s="644"/>
      <c r="T118" s="644"/>
      <c r="U118" s="644"/>
      <c r="V118" s="644"/>
      <c r="W118" s="644"/>
      <c r="X118" s="644"/>
      <c r="Z118" s="647" t="s">
        <v>774</v>
      </c>
      <c r="AA118" s="648">
        <f>VLOOKUP(Z118,payscales!B:K,10,0)</f>
        <v>42.84</v>
      </c>
      <c r="AB118" s="158"/>
    </row>
    <row r="119" spans="2:28" ht="30" customHeight="1" x14ac:dyDescent="0.35">
      <c r="B119" s="159"/>
      <c r="C119" s="413" t="s">
        <v>783</v>
      </c>
      <c r="D119" s="164" t="s">
        <v>786</v>
      </c>
      <c r="E119" s="164" t="s">
        <v>782</v>
      </c>
      <c r="F119" s="644">
        <v>1</v>
      </c>
      <c r="G119" s="646">
        <v>1</v>
      </c>
      <c r="H119" s="644">
        <v>1</v>
      </c>
      <c r="I119" s="644">
        <v>1</v>
      </c>
      <c r="J119" s="644">
        <v>1</v>
      </c>
      <c r="K119" s="646">
        <v>3</v>
      </c>
      <c r="L119" s="644">
        <v>3</v>
      </c>
      <c r="M119" s="644">
        <v>2</v>
      </c>
      <c r="N119" s="644">
        <v>2</v>
      </c>
      <c r="O119" s="646">
        <v>3</v>
      </c>
      <c r="P119" s="646">
        <v>2</v>
      </c>
      <c r="Q119" s="646">
        <v>1</v>
      </c>
      <c r="R119" s="646">
        <v>1</v>
      </c>
      <c r="S119" s="646">
        <v>1</v>
      </c>
      <c r="T119" s="646">
        <v>1</v>
      </c>
      <c r="U119" s="646">
        <v>3</v>
      </c>
      <c r="V119" s="646">
        <v>4</v>
      </c>
      <c r="W119" s="646">
        <v>5</v>
      </c>
      <c r="X119" s="646">
        <v>1</v>
      </c>
      <c r="Z119" s="205"/>
      <c r="AA119" s="205"/>
      <c r="AB119" s="158"/>
    </row>
    <row r="120" spans="2:28" ht="30" customHeight="1" x14ac:dyDescent="0.35">
      <c r="B120" s="159"/>
      <c r="C120" s="413" t="s">
        <v>783</v>
      </c>
      <c r="D120" s="164" t="s">
        <v>786</v>
      </c>
      <c r="E120" s="164" t="s">
        <v>785</v>
      </c>
      <c r="F120" s="644"/>
      <c r="G120" s="646"/>
      <c r="H120" s="644"/>
      <c r="I120" s="644"/>
      <c r="J120" s="644"/>
      <c r="K120" s="646"/>
      <c r="L120" s="644"/>
      <c r="M120" s="644"/>
      <c r="N120" s="644"/>
      <c r="O120" s="646"/>
      <c r="P120" s="646"/>
      <c r="Q120" s="646"/>
      <c r="R120" s="646"/>
      <c r="S120" s="646"/>
      <c r="T120" s="646"/>
      <c r="U120" s="646"/>
      <c r="V120" s="646"/>
      <c r="W120" s="646"/>
      <c r="X120" s="646"/>
      <c r="Z120" s="647" t="s">
        <v>787</v>
      </c>
      <c r="AA120" s="648">
        <f>VLOOKUP(Z120,payscales!B:K,10,0)</f>
        <v>34.700000000000003</v>
      </c>
      <c r="AB120" s="158"/>
    </row>
    <row r="121" spans="2:28" ht="30" customHeight="1" x14ac:dyDescent="0.35">
      <c r="B121" s="159"/>
      <c r="C121" s="413" t="s">
        <v>783</v>
      </c>
      <c r="D121" s="164" t="s">
        <v>788</v>
      </c>
      <c r="E121" s="164" t="s">
        <v>789</v>
      </c>
      <c r="F121" s="644">
        <v>1</v>
      </c>
      <c r="G121" s="646">
        <v>1</v>
      </c>
      <c r="H121" s="644">
        <v>1</v>
      </c>
      <c r="I121" s="644">
        <v>1</v>
      </c>
      <c r="J121" s="646">
        <v>1</v>
      </c>
      <c r="K121" s="644">
        <v>1</v>
      </c>
      <c r="L121" s="644">
        <v>1</v>
      </c>
      <c r="M121" s="646">
        <v>1</v>
      </c>
      <c r="N121" s="644">
        <v>1</v>
      </c>
      <c r="O121" s="646">
        <v>1</v>
      </c>
      <c r="P121" s="644">
        <v>1</v>
      </c>
      <c r="Q121" s="646">
        <v>1</v>
      </c>
      <c r="R121" s="644">
        <v>1</v>
      </c>
      <c r="S121" s="646">
        <v>1</v>
      </c>
      <c r="T121" s="644">
        <v>1</v>
      </c>
      <c r="U121" s="646">
        <v>1</v>
      </c>
      <c r="V121" s="644">
        <v>1</v>
      </c>
      <c r="W121" s="646">
        <v>1</v>
      </c>
      <c r="X121" s="644">
        <v>1</v>
      </c>
      <c r="Z121" s="205"/>
      <c r="AA121" s="205"/>
      <c r="AB121" s="158"/>
    </row>
    <row r="122" spans="2:28" ht="30" customHeight="1" x14ac:dyDescent="0.35">
      <c r="B122" s="159"/>
      <c r="C122" s="413" t="s">
        <v>783</v>
      </c>
      <c r="D122" s="164" t="s">
        <v>788</v>
      </c>
      <c r="E122" s="164" t="s">
        <v>785</v>
      </c>
      <c r="F122" s="644"/>
      <c r="G122" s="646"/>
      <c r="H122" s="644"/>
      <c r="I122" s="644"/>
      <c r="J122" s="644"/>
      <c r="K122" s="646"/>
      <c r="L122" s="644"/>
      <c r="M122" s="644"/>
      <c r="N122" s="644"/>
      <c r="O122" s="646"/>
      <c r="P122" s="646"/>
      <c r="Q122" s="646"/>
      <c r="R122" s="646"/>
      <c r="S122" s="646"/>
      <c r="T122" s="646"/>
      <c r="U122" s="646"/>
      <c r="V122" s="646"/>
      <c r="W122" s="646"/>
      <c r="X122" s="781"/>
      <c r="Z122" s="647" t="s">
        <v>774</v>
      </c>
      <c r="AA122" s="648">
        <f>VLOOKUP(Z122,payscales!B:K,10,0)</f>
        <v>42.84</v>
      </c>
      <c r="AB122" s="158"/>
    </row>
    <row r="123" spans="2:28" ht="30" customHeight="1" x14ac:dyDescent="0.35">
      <c r="B123" s="159"/>
      <c r="C123" s="361" t="s">
        <v>790</v>
      </c>
      <c r="D123" s="361" t="s">
        <v>791</v>
      </c>
      <c r="E123" s="164" t="s">
        <v>782</v>
      </c>
      <c r="F123" s="780" t="s">
        <v>792</v>
      </c>
      <c r="G123" s="780" t="s">
        <v>792</v>
      </c>
      <c r="H123" s="780" t="s">
        <v>792</v>
      </c>
      <c r="I123" s="780" t="s">
        <v>792</v>
      </c>
      <c r="J123" s="780" t="s">
        <v>792</v>
      </c>
      <c r="K123" s="780" t="s">
        <v>792</v>
      </c>
      <c r="L123" s="780" t="s">
        <v>792</v>
      </c>
      <c r="M123" s="780" t="s">
        <v>792</v>
      </c>
      <c r="N123" s="780" t="s">
        <v>792</v>
      </c>
      <c r="O123" s="780" t="s">
        <v>792</v>
      </c>
      <c r="P123" s="780" t="s">
        <v>792</v>
      </c>
      <c r="Q123" s="780" t="s">
        <v>792</v>
      </c>
      <c r="R123" s="780" t="s">
        <v>792</v>
      </c>
      <c r="S123" s="780" t="s">
        <v>792</v>
      </c>
      <c r="T123" s="780" t="s">
        <v>792</v>
      </c>
      <c r="U123" s="780" t="s">
        <v>792</v>
      </c>
      <c r="V123" s="780" t="s">
        <v>792</v>
      </c>
      <c r="W123" s="780" t="s">
        <v>792</v>
      </c>
      <c r="X123" s="782" t="s">
        <v>792</v>
      </c>
      <c r="Z123" s="208"/>
      <c r="AA123" s="205"/>
      <c r="AB123" s="158"/>
    </row>
    <row r="124" spans="2:28" x14ac:dyDescent="0.35">
      <c r="B124" s="159"/>
      <c r="C124" s="353"/>
      <c r="D124" s="211"/>
      <c r="E124" s="211"/>
      <c r="F124" s="211"/>
      <c r="AB124" s="158"/>
    </row>
    <row r="125" spans="2:28" x14ac:dyDescent="0.35">
      <c r="B125" s="159"/>
      <c r="C125" s="195" t="s">
        <v>793</v>
      </c>
      <c r="D125" s="151"/>
      <c r="AB125" s="158"/>
    </row>
    <row r="126" spans="2:28" x14ac:dyDescent="0.35">
      <c r="B126" s="159"/>
      <c r="C126" s="188" t="s">
        <v>1125</v>
      </c>
      <c r="D126" s="151"/>
      <c r="AB126" s="158"/>
    </row>
    <row r="127" spans="2:28" x14ac:dyDescent="0.35">
      <c r="B127" s="159"/>
      <c r="C127" s="354" t="s">
        <v>794</v>
      </c>
      <c r="D127" s="151"/>
      <c r="AB127" s="158"/>
    </row>
    <row r="128" spans="2:28" x14ac:dyDescent="0.35">
      <c r="B128" s="159"/>
      <c r="C128" t="s">
        <v>795</v>
      </c>
      <c r="D128" s="151"/>
      <c r="AB128" s="158"/>
    </row>
    <row r="129" spans="2:28" x14ac:dyDescent="0.35">
      <c r="B129" s="159"/>
      <c r="C129" t="s">
        <v>796</v>
      </c>
      <c r="D129" s="151"/>
      <c r="H129" s="524"/>
      <c r="AB129" s="158"/>
    </row>
    <row r="130" spans="2:28" x14ac:dyDescent="0.35">
      <c r="B130" s="159"/>
      <c r="C130" s="211" t="s">
        <v>797</v>
      </c>
      <c r="D130" s="151"/>
      <c r="AB130" s="158"/>
    </row>
    <row r="131" spans="2:28" x14ac:dyDescent="0.35">
      <c r="B131" s="160"/>
      <c r="C131" s="161"/>
      <c r="D131" s="163"/>
      <c r="E131" s="163"/>
      <c r="F131" s="163"/>
      <c r="G131" s="163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2"/>
    </row>
    <row r="132" spans="2:28" x14ac:dyDescent="0.35">
      <c r="D132" s="151"/>
      <c r="E132" s="151"/>
      <c r="F132" s="151"/>
      <c r="G132" s="151"/>
    </row>
    <row r="133" spans="2:28" x14ac:dyDescent="0.35">
      <c r="B133" s="404" t="s">
        <v>798</v>
      </c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226"/>
    </row>
    <row r="134" spans="2:28" x14ac:dyDescent="0.35">
      <c r="B134" s="230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31"/>
    </row>
    <row r="135" spans="2:28" x14ac:dyDescent="0.35">
      <c r="B135" s="230"/>
      <c r="C135" s="691" t="s">
        <v>799</v>
      </c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31"/>
    </row>
    <row r="136" spans="2:28" x14ac:dyDescent="0.35">
      <c r="B136" s="230"/>
      <c r="C136" s="686" t="s">
        <v>800</v>
      </c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23"/>
      <c r="X136" s="223"/>
      <c r="Y136" s="223"/>
      <c r="Z136" s="223"/>
      <c r="AA136" s="223"/>
      <c r="AB136" s="231"/>
    </row>
    <row r="137" spans="2:28" x14ac:dyDescent="0.35">
      <c r="B137" s="230"/>
      <c r="C137" s="686" t="s">
        <v>801</v>
      </c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  <c r="W137" s="223"/>
      <c r="X137" s="223"/>
      <c r="Y137" s="223"/>
      <c r="Z137" s="223"/>
      <c r="AA137" s="223"/>
      <c r="AB137" s="231"/>
    </row>
    <row r="138" spans="2:28" x14ac:dyDescent="0.35">
      <c r="B138" s="230"/>
      <c r="C138" s="474" t="s">
        <v>802</v>
      </c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31"/>
    </row>
    <row r="139" spans="2:28" x14ac:dyDescent="0.35">
      <c r="B139" s="230"/>
      <c r="C139" s="474" t="s">
        <v>803</v>
      </c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31"/>
    </row>
    <row r="140" spans="2:28" x14ac:dyDescent="0.35">
      <c r="B140" s="230"/>
      <c r="C140" s="474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  <c r="W140" s="223"/>
      <c r="X140" s="223"/>
      <c r="Y140" s="223"/>
      <c r="Z140" s="223"/>
      <c r="AA140" s="223"/>
      <c r="AB140" s="231"/>
    </row>
    <row r="141" spans="2:28" x14ac:dyDescent="0.35">
      <c r="B141" s="230"/>
      <c r="C141" s="690" t="s">
        <v>804</v>
      </c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  <c r="W141" s="223"/>
      <c r="X141" s="223"/>
      <c r="Y141" s="223"/>
      <c r="Z141" s="223"/>
      <c r="AA141" s="223"/>
      <c r="AB141" s="231"/>
    </row>
    <row r="142" spans="2:28" x14ac:dyDescent="0.35">
      <c r="B142" s="230"/>
      <c r="C142" s="686" t="s">
        <v>805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31"/>
    </row>
    <row r="143" spans="2:28" x14ac:dyDescent="0.35">
      <c r="B143" s="230"/>
      <c r="C143" s="474" t="s">
        <v>806</v>
      </c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223"/>
      <c r="Z143" s="223"/>
      <c r="AA143" s="223"/>
      <c r="AB143" s="231"/>
    </row>
    <row r="144" spans="2:28" x14ac:dyDescent="0.35">
      <c r="B144" s="230"/>
      <c r="C144" s="474" t="s">
        <v>807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  <c r="W144" s="223"/>
      <c r="X144" s="223"/>
      <c r="Y144" s="223"/>
      <c r="Z144" s="223"/>
      <c r="AA144" s="223"/>
      <c r="AB144" s="231"/>
    </row>
    <row r="145" spans="2:28" x14ac:dyDescent="0.35">
      <c r="B145" s="230"/>
      <c r="C145" s="474" t="s">
        <v>808</v>
      </c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  <c r="W145" s="223"/>
      <c r="X145" s="223"/>
      <c r="Y145" s="223"/>
      <c r="Z145" s="223"/>
      <c r="AA145" s="223"/>
      <c r="AB145" s="231"/>
    </row>
    <row r="146" spans="2:28" x14ac:dyDescent="0.35">
      <c r="B146" s="228"/>
      <c r="C146" s="232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9"/>
    </row>
  </sheetData>
  <sheetProtection algorithmName="SHA-512" hashValue="hUpHAqkqeqSF9a/aV3E4dHPKNY0mnvfSdh7wxFSe73jxhnvs1qi7nbdRfEzt1lFzp8FrT09RRUWXJhUZjpOwSg==" saltValue="ol+yQ58QGAMCbJd6XR2Org==" spinCount="100000" sheet="1" objects="1" scenarios="1"/>
  <protectedRanges>
    <protectedRange sqref="E11:E13 E15 E17 E19:E20 D73:D74 F34 E32:F33 E35:F35 G37 G105:H105 F36 G32:G35 H124 E27:G28 L78:Q96 F107:X122 E31:G31 F29:G30 E78:J96 I50:J69" name="Range1"/>
    <protectedRange sqref="E29:E30" name="Range1_1"/>
  </protectedRanges>
  <mergeCells count="4">
    <mergeCell ref="H27:S27"/>
    <mergeCell ref="C32:D32"/>
    <mergeCell ref="H29:Q29"/>
    <mergeCell ref="H28:Q28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27" r:id="rId1" display="Duration of administrations as per SmPC" xr:uid="{70C73DD3-4E20-4FE6-B042-D5BE210B36F5}"/>
    <hyperlink ref="C136" r:id="rId2" display="Office for National Statistics Population Estimates, England and Wales: mid-2022" xr:uid="{E5307553-7A6C-4E4A-A884-E27CF8AE4772}"/>
    <hyperlink ref="C137" r:id="rId3" xr:uid="{7973B0A5-0DDC-4D6E-A615-7910C6E2CF4A}"/>
    <hyperlink ref="C142" r:id="rId4" xr:uid="{EDC70E40-643A-4353-80EE-8CAA529E12F0}"/>
    <hyperlink ref="H27" r:id="rId5" display="https://mstrust.org.uk/information-support/about-ms/how-common-multiple-sclerosis" xr:uid="{65AF467E-9D04-485C-B597-9763D8A8DC5F}"/>
    <hyperlink ref="H31" r:id="rId6" xr:uid="{F158B0D8-F1CB-4460-B259-2BC32E0B89C6}"/>
    <hyperlink ref="E73" r:id="rId7" xr:uid="{6E21FA31-55A1-4B1D-B66D-CFF51E8C08CF}"/>
    <hyperlink ref="E74" r:id="rId8" xr:uid="{0364289E-B1DC-4DC6-9311-DC565167AEDF}"/>
    <hyperlink ref="H28" r:id="rId9" display="https://www.mssociety.org.uk/about-ms/types-of-ms/relapsing-remitting-ms" xr:uid="{4B4B51CA-E3D8-49ED-A759-819A07CF415F}"/>
  </hyperlinks>
  <pageMargins left="0.7" right="0.7" top="0.75" bottom="0.75" header="0.3" footer="0.3"/>
  <pageSetup paperSize="9" scale="49" orientation="portrait" r:id="rId10"/>
  <rowBreaks count="1" manualBreakCount="1">
    <brk id="75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F34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Z108 Z110:Z114 Z116 Z118 Z120 Z122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AC202"/>
  <sheetViews>
    <sheetView showGridLines="0" zoomScale="80" zoomScaleNormal="80" workbookViewId="0">
      <selection activeCell="I163" sqref="I163"/>
    </sheetView>
  </sheetViews>
  <sheetFormatPr defaultColWidth="9.1796875" defaultRowHeight="12.5" x14ac:dyDescent="0.25"/>
  <cols>
    <col min="1" max="1" width="3.54296875" style="3" customWidth="1"/>
    <col min="2" max="2" width="61.26953125" style="3" customWidth="1"/>
    <col min="3" max="3" width="19" style="3" customWidth="1"/>
    <col min="4" max="4" width="15.7265625" style="3" customWidth="1"/>
    <col min="5" max="5" width="18.1796875" style="3" customWidth="1"/>
    <col min="6" max="6" width="13.1796875" style="3" customWidth="1"/>
    <col min="7" max="7" width="11.26953125" style="3" customWidth="1"/>
    <col min="8" max="8" width="13.453125" style="3" customWidth="1"/>
    <col min="9" max="9" width="12.1796875" style="3" customWidth="1"/>
    <col min="10" max="10" width="12.7265625" style="3" customWidth="1"/>
    <col min="11" max="11" width="10.54296875" style="3" customWidth="1"/>
    <col min="12" max="12" width="11.81640625" style="3" customWidth="1"/>
    <col min="13" max="13" width="13.26953125" style="3" customWidth="1"/>
    <col min="14" max="16" width="12.453125" style="3" customWidth="1"/>
    <col min="17" max="18" width="12.1796875" style="3" customWidth="1"/>
    <col min="19" max="19" width="12.81640625" style="3" customWidth="1"/>
    <col min="20" max="20" width="14.453125" style="3" customWidth="1"/>
    <col min="21" max="21" width="12.81640625" style="3" customWidth="1"/>
    <col min="22" max="22" width="9" style="3" customWidth="1"/>
    <col min="23" max="23" width="12.26953125" style="3" customWidth="1"/>
    <col min="24" max="24" width="9.453125" style="3" customWidth="1"/>
    <col min="25" max="16384" width="9.1796875" style="3"/>
  </cols>
  <sheetData>
    <row r="1" spans="1:23" ht="30" customHeight="1" x14ac:dyDescent="0.5">
      <c r="A1" s="190"/>
      <c r="B1" s="554" t="str">
        <f>'Inputs and eligible population'!B1</f>
        <v>Cladribine for treating active relapsing forms of multiple sclerosis</v>
      </c>
      <c r="C1" s="147"/>
      <c r="D1" s="131"/>
      <c r="E1" s="131"/>
      <c r="F1" s="131"/>
      <c r="G1" s="131"/>
      <c r="H1" s="131"/>
      <c r="I1" s="131"/>
      <c r="J1" s="131" t="s">
        <v>809</v>
      </c>
      <c r="K1" s="131" t="s">
        <v>809</v>
      </c>
      <c r="L1" s="131" t="s">
        <v>809</v>
      </c>
      <c r="M1" s="131" t="s">
        <v>809</v>
      </c>
      <c r="N1" s="152"/>
      <c r="O1" s="152"/>
      <c r="P1" s="152"/>
      <c r="Q1" s="190"/>
      <c r="R1" s="190"/>
      <c r="S1" s="190"/>
      <c r="T1" s="190"/>
      <c r="U1" s="190"/>
      <c r="V1" s="190"/>
      <c r="W1" s="190"/>
    </row>
    <row r="2" spans="1:23" ht="26.25" customHeight="1" x14ac:dyDescent="0.5">
      <c r="A2" s="190"/>
      <c r="B2" s="145" t="s">
        <v>47</v>
      </c>
      <c r="C2" s="146" t="s">
        <v>809</v>
      </c>
      <c r="D2" s="131" t="s">
        <v>809</v>
      </c>
      <c r="E2" s="152"/>
      <c r="F2" s="131" t="s">
        <v>809</v>
      </c>
      <c r="G2" s="131" t="s">
        <v>809</v>
      </c>
      <c r="H2" s="131" t="s">
        <v>809</v>
      </c>
      <c r="I2" s="131" t="s">
        <v>809</v>
      </c>
      <c r="J2" s="131" t="s">
        <v>809</v>
      </c>
      <c r="K2" s="132" t="s">
        <v>809</v>
      </c>
      <c r="L2" s="132"/>
      <c r="M2" s="132"/>
      <c r="N2" s="132"/>
      <c r="O2" s="132"/>
      <c r="P2" s="132"/>
      <c r="Q2" s="190"/>
      <c r="R2" s="190"/>
      <c r="S2" s="190"/>
      <c r="T2" s="190"/>
      <c r="U2" s="190"/>
      <c r="V2" s="190"/>
      <c r="W2" s="190"/>
    </row>
    <row r="3" spans="1:23" ht="14.5" customHeight="1" x14ac:dyDescent="0.5">
      <c r="A3" s="190"/>
      <c r="B3" s="129"/>
      <c r="C3" s="147"/>
      <c r="D3" s="131"/>
      <c r="E3" s="131"/>
      <c r="F3" s="131"/>
      <c r="G3" s="131" t="s">
        <v>809</v>
      </c>
      <c r="H3" s="131" t="s">
        <v>809</v>
      </c>
      <c r="I3" s="131" t="s">
        <v>809</v>
      </c>
      <c r="J3" s="131" t="s">
        <v>809</v>
      </c>
      <c r="K3" s="132" t="s">
        <v>809</v>
      </c>
      <c r="L3" s="132"/>
      <c r="M3" s="132"/>
      <c r="N3" s="132"/>
      <c r="O3" s="132"/>
      <c r="P3" s="132"/>
      <c r="Q3" s="190"/>
      <c r="R3" s="190"/>
      <c r="S3" s="190"/>
      <c r="T3" s="190"/>
      <c r="U3" s="190"/>
      <c r="V3" s="190"/>
      <c r="W3" s="190"/>
    </row>
    <row r="4" spans="1:23" ht="14.5" customHeight="1" x14ac:dyDescent="0.5">
      <c r="A4" s="190"/>
      <c r="B4" t="s">
        <v>810</v>
      </c>
      <c r="C4" s="147"/>
      <c r="D4" s="131"/>
      <c r="E4" s="131"/>
      <c r="F4" s="131"/>
      <c r="G4" s="131" t="s">
        <v>809</v>
      </c>
      <c r="H4" s="131" t="s">
        <v>809</v>
      </c>
      <c r="I4" s="131" t="s">
        <v>809</v>
      </c>
      <c r="J4" s="131" t="s">
        <v>809</v>
      </c>
      <c r="K4" s="132" t="s">
        <v>809</v>
      </c>
      <c r="L4" s="131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</row>
    <row r="5" spans="1:23" ht="14.5" customHeight="1" x14ac:dyDescent="0.5">
      <c r="A5" s="190"/>
      <c r="B5" t="s">
        <v>664</v>
      </c>
      <c r="C5" s="147"/>
      <c r="D5" s="131"/>
      <c r="E5" s="131"/>
      <c r="F5" s="131"/>
      <c r="G5" s="131"/>
      <c r="H5" s="131" t="s">
        <v>809</v>
      </c>
      <c r="I5" s="131" t="s">
        <v>809</v>
      </c>
      <c r="J5" s="131" t="s">
        <v>809</v>
      </c>
      <c r="K5" s="132" t="s">
        <v>809</v>
      </c>
      <c r="L5" s="131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</row>
    <row r="6" spans="1:23" ht="14.5" customHeight="1" x14ac:dyDescent="0.5">
      <c r="A6" s="190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spans="1:23" ht="14.5" customHeight="1" x14ac:dyDescent="0.5">
      <c r="A7" s="190"/>
      <c r="B7" s="242" t="s">
        <v>811</v>
      </c>
      <c r="C7" s="147"/>
      <c r="D7" s="131"/>
      <c r="E7" s="131"/>
      <c r="F7" s="131"/>
      <c r="G7" s="131"/>
      <c r="H7" s="131"/>
      <c r="I7" s="131"/>
      <c r="J7" s="131"/>
      <c r="K7" s="132"/>
      <c r="L7" s="131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</row>
    <row r="8" spans="1:23" ht="75" customHeight="1" x14ac:dyDescent="0.35">
      <c r="A8" s="190"/>
      <c r="B8" s="768" t="s">
        <v>812</v>
      </c>
      <c r="C8" s="248" t="s">
        <v>699</v>
      </c>
      <c r="D8" s="248" t="s">
        <v>701</v>
      </c>
      <c r="E8" s="248" t="s">
        <v>703</v>
      </c>
      <c r="F8" s="248" t="s">
        <v>705</v>
      </c>
      <c r="G8" s="248" t="s">
        <v>759</v>
      </c>
      <c r="H8" s="248" t="s">
        <v>711</v>
      </c>
      <c r="I8" s="248" t="s">
        <v>1101</v>
      </c>
      <c r="J8" s="248" t="s">
        <v>714</v>
      </c>
      <c r="K8" s="248" t="s">
        <v>717</v>
      </c>
      <c r="L8" s="248" t="s">
        <v>719</v>
      </c>
      <c r="M8" s="248" t="s">
        <v>721</v>
      </c>
      <c r="N8" s="248" t="s">
        <v>723</v>
      </c>
      <c r="O8" s="248" t="s">
        <v>725</v>
      </c>
      <c r="P8" s="248" t="s">
        <v>727</v>
      </c>
      <c r="Q8" s="248" t="s">
        <v>729</v>
      </c>
      <c r="R8" s="248" t="s">
        <v>731</v>
      </c>
      <c r="S8" s="248" t="s">
        <v>733</v>
      </c>
      <c r="T8" s="248" t="s">
        <v>735</v>
      </c>
      <c r="U8" s="248" t="s">
        <v>760</v>
      </c>
      <c r="V8" s="132"/>
      <c r="W8" s="132"/>
    </row>
    <row r="9" spans="1:23" ht="14.5" customHeight="1" x14ac:dyDescent="0.35">
      <c r="A9" s="190"/>
      <c r="B9" s="767" t="s">
        <v>813</v>
      </c>
      <c r="C9" s="759">
        <f>Q17</f>
        <v>0</v>
      </c>
      <c r="D9" s="759">
        <f>Q24</f>
        <v>0</v>
      </c>
      <c r="E9" s="759">
        <f>Q29</f>
        <v>0</v>
      </c>
      <c r="F9" s="759">
        <f>Q37</f>
        <v>0</v>
      </c>
      <c r="G9" s="759">
        <f>Q44</f>
        <v>0</v>
      </c>
      <c r="H9" s="759">
        <f>Q50</f>
        <v>0</v>
      </c>
      <c r="I9" s="759">
        <f>Q54</f>
        <v>0</v>
      </c>
      <c r="J9" s="759">
        <f>Q61</f>
        <v>0</v>
      </c>
      <c r="K9" s="759">
        <f>Q68</f>
        <v>0</v>
      </c>
      <c r="L9" s="759">
        <f>Q72</f>
        <v>0</v>
      </c>
      <c r="M9" s="759">
        <f>Q76</f>
        <v>0</v>
      </c>
      <c r="N9" s="759">
        <f>Q80</f>
        <v>0</v>
      </c>
      <c r="O9" s="759">
        <f>Q84</f>
        <v>0</v>
      </c>
      <c r="P9" s="759">
        <f>Q88</f>
        <v>0</v>
      </c>
      <c r="Q9" s="759">
        <f>Q92</f>
        <v>0</v>
      </c>
      <c r="R9" s="759">
        <f>Q96</f>
        <v>0</v>
      </c>
      <c r="S9" s="759">
        <f>Q100</f>
        <v>0</v>
      </c>
      <c r="T9" s="759">
        <f>Q104</f>
        <v>0</v>
      </c>
      <c r="U9" s="759">
        <v>0</v>
      </c>
      <c r="V9" s="766"/>
      <c r="W9" s="132"/>
    </row>
    <row r="10" spans="1:23" ht="14.5" customHeight="1" x14ac:dyDescent="0.5">
      <c r="A10" s="190"/>
      <c r="B10"/>
      <c r="C10" s="147"/>
      <c r="D10" s="131"/>
      <c r="E10" s="131"/>
      <c r="F10" s="131"/>
      <c r="G10" s="131"/>
      <c r="H10" s="131"/>
      <c r="I10" s="131"/>
      <c r="J10" s="131"/>
      <c r="K10" s="132"/>
      <c r="L10" s="131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spans="1:23" ht="14.5" customHeight="1" thickBot="1" x14ac:dyDescent="0.55000000000000004">
      <c r="A11" s="190"/>
      <c r="B11"/>
      <c r="C11" s="147"/>
      <c r="D11" s="131"/>
      <c r="E11" s="131"/>
      <c r="F11" s="131"/>
      <c r="G11" s="131"/>
      <c r="H11" s="131"/>
      <c r="I11" s="131"/>
      <c r="J11" s="131"/>
      <c r="K11" s="132"/>
      <c r="L11" s="13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spans="1:23" ht="14.5" customHeight="1" x14ac:dyDescent="0.35">
      <c r="A12" s="190"/>
      <c r="B12" s="242" t="s">
        <v>814</v>
      </c>
      <c r="C12" s="246"/>
      <c r="D12" s="671" t="s">
        <v>815</v>
      </c>
      <c r="E12" s="672"/>
      <c r="F12" s="672"/>
      <c r="G12" s="672"/>
      <c r="H12" s="673"/>
      <c r="I12" s="671" t="s">
        <v>816</v>
      </c>
      <c r="J12" s="672"/>
      <c r="K12" s="672"/>
      <c r="L12" s="672"/>
      <c r="M12" s="672"/>
      <c r="N12" s="672"/>
      <c r="O12" s="672"/>
      <c r="P12" s="672"/>
      <c r="Q12" s="673"/>
      <c r="R12" s="132"/>
      <c r="S12" s="132"/>
      <c r="T12" s="246"/>
      <c r="U12" s="246"/>
      <c r="V12" s="246"/>
      <c r="W12" s="246"/>
    </row>
    <row r="13" spans="1:23" ht="63.75" customHeight="1" x14ac:dyDescent="0.35">
      <c r="A13" s="190"/>
      <c r="B13" s="245" t="s">
        <v>817</v>
      </c>
      <c r="C13" s="247" t="s">
        <v>818</v>
      </c>
      <c r="D13" s="674" t="s">
        <v>819</v>
      </c>
      <c r="E13" s="248" t="s">
        <v>820</v>
      </c>
      <c r="F13" s="248" t="s">
        <v>821</v>
      </c>
      <c r="G13" s="248" t="s">
        <v>822</v>
      </c>
      <c r="H13" s="675" t="s">
        <v>823</v>
      </c>
      <c r="I13" s="674" t="s">
        <v>824</v>
      </c>
      <c r="J13" s="248" t="s">
        <v>825</v>
      </c>
      <c r="K13" s="248" t="s">
        <v>826</v>
      </c>
      <c r="L13" s="248" t="s">
        <v>827</v>
      </c>
      <c r="M13" s="678" t="s">
        <v>828</v>
      </c>
      <c r="N13" s="678" t="s">
        <v>829</v>
      </c>
      <c r="O13" s="678" t="s">
        <v>830</v>
      </c>
      <c r="P13" s="245" t="s">
        <v>831</v>
      </c>
      <c r="Q13" s="675" t="s">
        <v>832</v>
      </c>
      <c r="R13" s="246"/>
      <c r="S13" s="246"/>
      <c r="T13" s="246"/>
      <c r="U13" s="246"/>
      <c r="V13" s="246"/>
      <c r="W13" s="246"/>
    </row>
    <row r="14" spans="1:23" ht="29" x14ac:dyDescent="0.35">
      <c r="A14" s="190"/>
      <c r="B14" s="738" t="s">
        <v>833</v>
      </c>
      <c r="C14" s="670" t="s">
        <v>699</v>
      </c>
      <c r="D14" s="676" t="s">
        <v>8</v>
      </c>
      <c r="E14" s="650" t="s">
        <v>834</v>
      </c>
      <c r="F14" s="651">
        <v>150</v>
      </c>
      <c r="G14" s="651">
        <v>1</v>
      </c>
      <c r="H14" s="677">
        <f>G14*F14</f>
        <v>150</v>
      </c>
      <c r="I14" s="680">
        <v>150</v>
      </c>
      <c r="J14" s="649">
        <v>1</v>
      </c>
      <c r="K14" s="651">
        <f>I14*J14</f>
        <v>150</v>
      </c>
      <c r="L14" s="649">
        <v>1</v>
      </c>
      <c r="M14" s="649">
        <f>L14*J14*K14</f>
        <v>150</v>
      </c>
      <c r="N14" s="649">
        <f>M14/H14</f>
        <v>1</v>
      </c>
      <c r="O14" s="652">
        <f>'Inputs and eligible population'!I50</f>
        <v>0</v>
      </c>
      <c r="P14" s="653">
        <f>'Inputs and eligible population'!J50</f>
        <v>0.2</v>
      </c>
      <c r="Q14" s="681">
        <f>N14*O14*(100%+P14)</f>
        <v>0</v>
      </c>
      <c r="R14" s="667"/>
      <c r="S14" s="246"/>
      <c r="T14" s="246"/>
      <c r="U14" s="246"/>
      <c r="V14" s="246"/>
      <c r="W14" s="246"/>
    </row>
    <row r="15" spans="1:23" ht="32.5" customHeight="1" x14ac:dyDescent="0.35">
      <c r="A15" s="190"/>
      <c r="B15" s="738" t="s">
        <v>835</v>
      </c>
      <c r="C15" s="670" t="s">
        <v>699</v>
      </c>
      <c r="D15" s="676" t="s">
        <v>8</v>
      </c>
      <c r="E15" s="650" t="s">
        <v>834</v>
      </c>
      <c r="F15" s="651">
        <v>150</v>
      </c>
      <c r="G15" s="651">
        <v>1</v>
      </c>
      <c r="H15" s="677">
        <v>150</v>
      </c>
      <c r="I15" s="680">
        <v>450</v>
      </c>
      <c r="J15" s="649">
        <v>1</v>
      </c>
      <c r="K15" s="651">
        <f>I15*J15</f>
        <v>450</v>
      </c>
      <c r="L15" s="740">
        <v>3</v>
      </c>
      <c r="M15" s="649">
        <f>L15*J15*K15</f>
        <v>1350</v>
      </c>
      <c r="N15" s="740">
        <f>M15/H15</f>
        <v>9</v>
      </c>
      <c r="O15" s="652">
        <f>'Inputs and eligible population'!I50</f>
        <v>0</v>
      </c>
      <c r="P15" s="653">
        <f>'Inputs and eligible population'!J50</f>
        <v>0.2</v>
      </c>
      <c r="Q15" s="681">
        <f>N15*O15*(100%+P15)</f>
        <v>0</v>
      </c>
      <c r="R15" s="667"/>
      <c r="S15" s="246"/>
      <c r="T15" s="246"/>
      <c r="U15" s="246"/>
      <c r="V15" s="246"/>
      <c r="W15" s="246"/>
    </row>
    <row r="16" spans="1:23" ht="14.5" customHeight="1" thickBot="1" x14ac:dyDescent="0.4">
      <c r="A16" s="190"/>
      <c r="B16" s="738" t="s">
        <v>1108</v>
      </c>
      <c r="C16" s="670" t="s">
        <v>699</v>
      </c>
      <c r="D16" s="676" t="s">
        <v>8</v>
      </c>
      <c r="E16" s="650" t="s">
        <v>834</v>
      </c>
      <c r="F16" s="651">
        <v>150</v>
      </c>
      <c r="G16" s="651">
        <v>1</v>
      </c>
      <c r="H16" s="677">
        <v>150</v>
      </c>
      <c r="I16" s="680">
        <v>450</v>
      </c>
      <c r="J16" s="649">
        <v>1</v>
      </c>
      <c r="K16" s="651">
        <f>I16*J16</f>
        <v>450</v>
      </c>
      <c r="L16" s="740">
        <v>2</v>
      </c>
      <c r="M16" s="649">
        <f>L16*J16*K16</f>
        <v>900</v>
      </c>
      <c r="N16" s="740">
        <f>M16/H16</f>
        <v>6</v>
      </c>
      <c r="O16" s="652">
        <f>'Inputs and eligible population'!I50</f>
        <v>0</v>
      </c>
      <c r="P16" s="653">
        <f>'Inputs and eligible population'!J50</f>
        <v>0.2</v>
      </c>
      <c r="Q16" s="681">
        <f>N16*O16*(100%+P16)</f>
        <v>0</v>
      </c>
      <c r="R16" s="667"/>
      <c r="S16" s="246"/>
      <c r="T16" s="246"/>
      <c r="U16" s="246"/>
      <c r="V16" s="246"/>
      <c r="W16" s="246"/>
    </row>
    <row r="17" spans="1:26" ht="14.5" customHeight="1" thickBot="1" x14ac:dyDescent="0.4">
      <c r="A17" s="190"/>
      <c r="B17" s="242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749">
        <f>((Q14+Q15)*0.3)+((Q16)*0.7)</f>
        <v>0</v>
      </c>
      <c r="R17" s="246" t="s">
        <v>1105</v>
      </c>
      <c r="S17" s="190"/>
      <c r="T17" s="190"/>
      <c r="U17" s="246"/>
      <c r="V17" s="246"/>
      <c r="W17" s="246"/>
    </row>
    <row r="18" spans="1:26" ht="14.5" customHeight="1" thickBot="1" x14ac:dyDescent="0.55000000000000004">
      <c r="A18" s="190"/>
      <c r="B18"/>
      <c r="C18" s="147"/>
      <c r="D18" s="131"/>
      <c r="E18" s="131"/>
      <c r="F18" s="131"/>
      <c r="G18" s="131"/>
      <c r="H18" s="131"/>
      <c r="I18" s="131"/>
      <c r="J18" s="131"/>
      <c r="K18" s="132"/>
      <c r="L18" s="131"/>
      <c r="M18" s="132"/>
      <c r="N18" s="132"/>
      <c r="O18" s="132"/>
      <c r="P18" s="132"/>
      <c r="Q18" s="132"/>
      <c r="R18" s="132"/>
      <c r="S18" s="132"/>
      <c r="T18" s="132"/>
      <c r="U18" s="132"/>
      <c r="V18" s="246"/>
      <c r="W18" s="132"/>
    </row>
    <row r="19" spans="1:26" s="244" customFormat="1" ht="14.5" x14ac:dyDescent="0.35">
      <c r="A19" s="246"/>
      <c r="B19" s="242"/>
      <c r="C19" s="246"/>
      <c r="D19" s="671" t="s">
        <v>815</v>
      </c>
      <c r="E19" s="672"/>
      <c r="F19" s="672"/>
      <c r="G19" s="672"/>
      <c r="H19" s="673"/>
      <c r="I19" s="671" t="s">
        <v>816</v>
      </c>
      <c r="J19" s="672"/>
      <c r="K19" s="672"/>
      <c r="L19" s="672"/>
      <c r="M19" s="672"/>
      <c r="N19" s="672"/>
      <c r="O19" s="672"/>
      <c r="P19" s="672"/>
      <c r="Q19" s="673"/>
      <c r="R19" s="132"/>
      <c r="S19" s="132"/>
      <c r="T19" s="246"/>
      <c r="U19" s="246"/>
      <c r="V19" s="246"/>
      <c r="W19" s="246"/>
      <c r="Z19" s="3"/>
    </row>
    <row r="20" spans="1:26" s="244" customFormat="1" ht="63" customHeight="1" x14ac:dyDescent="0.35">
      <c r="A20" s="246"/>
      <c r="B20" s="245" t="s">
        <v>817</v>
      </c>
      <c r="C20" s="247" t="s">
        <v>818</v>
      </c>
      <c r="D20" s="674" t="s">
        <v>819</v>
      </c>
      <c r="E20" s="248" t="s">
        <v>820</v>
      </c>
      <c r="F20" s="248" t="s">
        <v>821</v>
      </c>
      <c r="G20" s="248" t="s">
        <v>822</v>
      </c>
      <c r="H20" s="675" t="s">
        <v>823</v>
      </c>
      <c r="I20" s="674" t="s">
        <v>824</v>
      </c>
      <c r="J20" s="248" t="s">
        <v>825</v>
      </c>
      <c r="K20" s="248" t="s">
        <v>826</v>
      </c>
      <c r="L20" s="248" t="s">
        <v>827</v>
      </c>
      <c r="M20" s="678" t="s">
        <v>828</v>
      </c>
      <c r="N20" s="678" t="s">
        <v>829</v>
      </c>
      <c r="O20" s="678" t="s">
        <v>830</v>
      </c>
      <c r="P20" s="245" t="s">
        <v>831</v>
      </c>
      <c r="Q20" s="675" t="s">
        <v>832</v>
      </c>
      <c r="R20" s="246"/>
      <c r="S20" s="246"/>
      <c r="T20" s="246"/>
      <c r="U20" s="246"/>
      <c r="V20" s="246"/>
      <c r="W20" s="246"/>
      <c r="X20" s="3"/>
    </row>
    <row r="21" spans="1:26" s="244" customFormat="1" ht="14.5" x14ac:dyDescent="0.35">
      <c r="A21" s="246"/>
      <c r="B21" s="738" t="s">
        <v>836</v>
      </c>
      <c r="C21" s="670" t="s">
        <v>837</v>
      </c>
      <c r="D21" s="676" t="s">
        <v>8</v>
      </c>
      <c r="E21" s="650" t="s">
        <v>834</v>
      </c>
      <c r="F21" s="651">
        <v>300</v>
      </c>
      <c r="G21" s="651">
        <v>1</v>
      </c>
      <c r="H21" s="677">
        <f>G21*F21</f>
        <v>300</v>
      </c>
      <c r="I21" s="680">
        <v>300</v>
      </c>
      <c r="J21" s="649">
        <v>1</v>
      </c>
      <c r="K21" s="651">
        <f>I21</f>
        <v>300</v>
      </c>
      <c r="L21" s="649">
        <v>2</v>
      </c>
      <c r="M21" s="649">
        <f>L21*J21*K21</f>
        <v>600</v>
      </c>
      <c r="N21" s="739">
        <f>M21/H21</f>
        <v>2</v>
      </c>
      <c r="O21" s="652">
        <f>'Inputs and eligible population'!I51</f>
        <v>0</v>
      </c>
      <c r="P21" s="653">
        <f>'Inputs and eligible population'!J51</f>
        <v>0.2</v>
      </c>
      <c r="Q21" s="681">
        <f>N21*O21*(100%+P21)</f>
        <v>0</v>
      </c>
      <c r="R21" s="667"/>
      <c r="S21" s="246"/>
      <c r="T21" s="246"/>
      <c r="U21" s="246"/>
      <c r="V21" s="246"/>
      <c r="W21" s="246"/>
      <c r="X21" s="3"/>
    </row>
    <row r="22" spans="1:26" s="244" customFormat="1" ht="14.5" x14ac:dyDescent="0.35">
      <c r="A22" s="246"/>
      <c r="B22" s="738" t="s">
        <v>838</v>
      </c>
      <c r="C22" s="670" t="s">
        <v>837</v>
      </c>
      <c r="D22" s="676" t="s">
        <v>8</v>
      </c>
      <c r="E22" s="650" t="s">
        <v>834</v>
      </c>
      <c r="F22" s="651">
        <v>300</v>
      </c>
      <c r="G22" s="651">
        <v>1</v>
      </c>
      <c r="H22" s="677">
        <f>G22*F22</f>
        <v>300</v>
      </c>
      <c r="I22" s="680">
        <v>600</v>
      </c>
      <c r="J22" s="649">
        <v>1</v>
      </c>
      <c r="K22" s="651">
        <f>I22</f>
        <v>600</v>
      </c>
      <c r="L22" s="649">
        <v>1</v>
      </c>
      <c r="M22" s="649">
        <f>L22*J22*K22</f>
        <v>600</v>
      </c>
      <c r="N22" s="739">
        <f>M22/H22</f>
        <v>2</v>
      </c>
      <c r="O22" s="652">
        <f>'Inputs and eligible population'!I51</f>
        <v>0</v>
      </c>
      <c r="P22" s="653">
        <f>'Inputs and eligible population'!J51</f>
        <v>0.2</v>
      </c>
      <c r="Q22" s="681">
        <f>N22*O22*(100%+P22)</f>
        <v>0</v>
      </c>
      <c r="R22" s="667"/>
      <c r="S22" s="246"/>
      <c r="T22" s="246"/>
      <c r="U22" s="246"/>
      <c r="V22" s="246"/>
      <c r="W22" s="246"/>
      <c r="X22" s="3"/>
    </row>
    <row r="23" spans="1:26" s="244" customFormat="1" ht="15" thickBot="1" x14ac:dyDescent="0.4">
      <c r="A23" s="246"/>
      <c r="B23" s="738" t="s">
        <v>839</v>
      </c>
      <c r="C23" s="670" t="s">
        <v>837</v>
      </c>
      <c r="D23" s="676" t="s">
        <v>8</v>
      </c>
      <c r="E23" s="650" t="s">
        <v>834</v>
      </c>
      <c r="F23" s="651">
        <v>300</v>
      </c>
      <c r="G23" s="651">
        <v>1</v>
      </c>
      <c r="H23" s="677">
        <f>G23*F23</f>
        <v>300</v>
      </c>
      <c r="I23" s="680">
        <v>600</v>
      </c>
      <c r="J23" s="649">
        <v>1</v>
      </c>
      <c r="K23" s="651">
        <f>I23</f>
        <v>600</v>
      </c>
      <c r="L23" s="649">
        <v>2</v>
      </c>
      <c r="M23" s="649">
        <f>L23*J23*K23</f>
        <v>1200</v>
      </c>
      <c r="N23" s="739">
        <f>M23/H23</f>
        <v>4</v>
      </c>
      <c r="O23" s="652">
        <f>'Inputs and eligible population'!I51</f>
        <v>0</v>
      </c>
      <c r="P23" s="653">
        <f>'Inputs and eligible population'!J51</f>
        <v>0.2</v>
      </c>
      <c r="Q23" s="746">
        <f>N23*O23*(100%+P23)</f>
        <v>0</v>
      </c>
      <c r="R23" s="667"/>
      <c r="S23" s="246"/>
      <c r="T23" s="246"/>
      <c r="U23" s="246"/>
      <c r="V23" s="246"/>
      <c r="W23" s="246"/>
      <c r="X23" s="3"/>
    </row>
    <row r="24" spans="1:26" s="244" customFormat="1" ht="15" thickBot="1" x14ac:dyDescent="0.4">
      <c r="A24" s="246"/>
      <c r="B24" s="242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749">
        <f>((Q21+Q22)*0.3)+((Q23)*0.7)</f>
        <v>0</v>
      </c>
      <c r="R24" s="246" t="s">
        <v>1105</v>
      </c>
      <c r="S24" s="246"/>
      <c r="T24" s="246"/>
      <c r="U24" s="246"/>
      <c r="V24" s="246"/>
      <c r="W24" s="246"/>
      <c r="X24" s="3"/>
    </row>
    <row r="25" spans="1:26" s="244" customFormat="1" ht="15" thickBot="1" x14ac:dyDescent="0.4">
      <c r="A25" s="246"/>
      <c r="B25" s="242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679"/>
      <c r="T25" s="246"/>
      <c r="U25" s="246"/>
      <c r="V25" s="246"/>
      <c r="W25" s="246"/>
      <c r="Z25" s="3"/>
    </row>
    <row r="26" spans="1:26" s="244" customFormat="1" ht="14.5" x14ac:dyDescent="0.35">
      <c r="A26" s="246"/>
      <c r="B26" s="242"/>
      <c r="C26" s="246"/>
      <c r="D26" s="671" t="s">
        <v>815</v>
      </c>
      <c r="E26" s="672"/>
      <c r="F26" s="672"/>
      <c r="G26" s="672"/>
      <c r="H26" s="673"/>
      <c r="I26" s="671" t="s">
        <v>816</v>
      </c>
      <c r="J26" s="672"/>
      <c r="K26" s="672"/>
      <c r="L26" s="672"/>
      <c r="M26" s="672"/>
      <c r="N26" s="672"/>
      <c r="O26" s="672"/>
      <c r="P26" s="672"/>
      <c r="Q26" s="673"/>
      <c r="R26" s="132"/>
      <c r="S26" s="132"/>
      <c r="T26" s="246"/>
      <c r="U26" s="246"/>
      <c r="V26" s="246"/>
      <c r="W26" s="246"/>
      <c r="Z26" s="3"/>
    </row>
    <row r="27" spans="1:26" s="244" customFormat="1" ht="43.5" x14ac:dyDescent="0.35">
      <c r="A27" s="246"/>
      <c r="B27" s="245" t="s">
        <v>817</v>
      </c>
      <c r="C27" s="247" t="s">
        <v>818</v>
      </c>
      <c r="D27" s="674" t="s">
        <v>819</v>
      </c>
      <c r="E27" s="248" t="s">
        <v>820</v>
      </c>
      <c r="F27" s="248" t="s">
        <v>821</v>
      </c>
      <c r="G27" s="248" t="s">
        <v>822</v>
      </c>
      <c r="H27" s="675" t="s">
        <v>823</v>
      </c>
      <c r="I27" s="674" t="s">
        <v>824</v>
      </c>
      <c r="J27" s="248" t="s">
        <v>825</v>
      </c>
      <c r="K27" s="248" t="s">
        <v>826</v>
      </c>
      <c r="L27" s="248" t="s">
        <v>827</v>
      </c>
      <c r="M27" s="678" t="s">
        <v>828</v>
      </c>
      <c r="N27" s="678" t="s">
        <v>829</v>
      </c>
      <c r="O27" s="678" t="s">
        <v>830</v>
      </c>
      <c r="P27" s="245" t="s">
        <v>831</v>
      </c>
      <c r="Q27" s="675" t="s">
        <v>832</v>
      </c>
      <c r="R27" s="246"/>
      <c r="S27" s="246"/>
      <c r="T27" s="246"/>
      <c r="U27" s="246"/>
      <c r="V27" s="246"/>
      <c r="W27" s="246"/>
      <c r="X27" s="3"/>
    </row>
    <row r="28" spans="1:26" s="244" customFormat="1" ht="15" thickBot="1" x14ac:dyDescent="0.4">
      <c r="A28" s="246"/>
      <c r="B28" s="738" t="s">
        <v>840</v>
      </c>
      <c r="C28" s="670" t="s">
        <v>837</v>
      </c>
      <c r="D28" s="676" t="s">
        <v>841</v>
      </c>
      <c r="E28" s="650" t="s">
        <v>842</v>
      </c>
      <c r="F28" s="651">
        <v>920</v>
      </c>
      <c r="G28" s="651">
        <v>1</v>
      </c>
      <c r="H28" s="677">
        <f>G28*F28</f>
        <v>920</v>
      </c>
      <c r="I28" s="680">
        <v>920</v>
      </c>
      <c r="J28" s="649">
        <v>1</v>
      </c>
      <c r="K28" s="651">
        <f>I28</f>
        <v>920</v>
      </c>
      <c r="L28" s="649">
        <v>2</v>
      </c>
      <c r="M28" s="649">
        <f>L28*J28*K28</f>
        <v>1840</v>
      </c>
      <c r="N28" s="739">
        <f>M28/H28</f>
        <v>2</v>
      </c>
      <c r="O28" s="652">
        <f>'Inputs and eligible population'!I52</f>
        <v>0</v>
      </c>
      <c r="P28" s="653">
        <f>'Inputs and eligible population'!J52</f>
        <v>0.2</v>
      </c>
      <c r="Q28" s="681">
        <f>N28*O28*(100%+P28)</f>
        <v>0</v>
      </c>
      <c r="R28" s="246"/>
      <c r="S28" s="246"/>
      <c r="T28" s="246"/>
      <c r="U28" s="246"/>
      <c r="V28" s="246"/>
      <c r="W28" s="246"/>
      <c r="X28" s="3"/>
    </row>
    <row r="29" spans="1:26" s="244" customFormat="1" ht="15" thickBot="1" x14ac:dyDescent="0.4">
      <c r="A29" s="246"/>
      <c r="B29" s="242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749">
        <f>Q28</f>
        <v>0</v>
      </c>
      <c r="R29" s="246"/>
      <c r="S29" s="246"/>
      <c r="T29" s="246"/>
      <c r="U29" s="246"/>
      <c r="V29" s="246"/>
      <c r="W29" s="246"/>
      <c r="X29" s="3"/>
    </row>
    <row r="30" spans="1:26" s="244" customFormat="1" ht="15" thickBot="1" x14ac:dyDescent="0.4">
      <c r="A30" s="246"/>
      <c r="B30" s="242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Z30" s="3"/>
    </row>
    <row r="31" spans="1:26" s="244" customFormat="1" ht="14.5" x14ac:dyDescent="0.35">
      <c r="A31" s="246"/>
      <c r="B31" s="242"/>
      <c r="C31" s="246"/>
      <c r="D31" s="671" t="s">
        <v>815</v>
      </c>
      <c r="E31" s="672"/>
      <c r="F31" s="672"/>
      <c r="G31" s="672"/>
      <c r="H31" s="673"/>
      <c r="I31" s="671" t="s">
        <v>816</v>
      </c>
      <c r="J31" s="672"/>
      <c r="K31" s="672"/>
      <c r="L31" s="672"/>
      <c r="M31" s="672"/>
      <c r="N31" s="672"/>
      <c r="O31" s="672"/>
      <c r="P31" s="672"/>
      <c r="Q31" s="673"/>
      <c r="R31" s="246"/>
      <c r="S31" s="246"/>
      <c r="T31" s="246"/>
      <c r="U31" s="246"/>
      <c r="V31" s="246"/>
      <c r="W31" s="246"/>
      <c r="Z31" s="3"/>
    </row>
    <row r="32" spans="1:26" s="244" customFormat="1" ht="43.5" x14ac:dyDescent="0.35">
      <c r="A32" s="246"/>
      <c r="B32" s="245" t="s">
        <v>817</v>
      </c>
      <c r="C32" s="247" t="s">
        <v>818</v>
      </c>
      <c r="D32" s="674" t="s">
        <v>819</v>
      </c>
      <c r="E32" s="248" t="s">
        <v>820</v>
      </c>
      <c r="F32" s="248" t="s">
        <v>821</v>
      </c>
      <c r="G32" s="248" t="s">
        <v>822</v>
      </c>
      <c r="H32" s="675" t="s">
        <v>823</v>
      </c>
      <c r="I32" s="674" t="s">
        <v>824</v>
      </c>
      <c r="J32" s="248" t="s">
        <v>825</v>
      </c>
      <c r="K32" s="248" t="s">
        <v>826</v>
      </c>
      <c r="L32" s="248" t="s">
        <v>827</v>
      </c>
      <c r="M32" s="678" t="s">
        <v>828</v>
      </c>
      <c r="N32" s="678" t="s">
        <v>829</v>
      </c>
      <c r="O32" s="678" t="s">
        <v>830</v>
      </c>
      <c r="P32" s="245" t="s">
        <v>831</v>
      </c>
      <c r="Q32" s="675" t="s">
        <v>832</v>
      </c>
      <c r="R32" s="246"/>
      <c r="S32" s="246"/>
      <c r="T32" s="246"/>
      <c r="U32" s="246"/>
      <c r="V32" s="246"/>
      <c r="W32" s="246"/>
      <c r="X32" s="3"/>
    </row>
    <row r="33" spans="1:26" s="244" customFormat="1" ht="14.5" x14ac:dyDescent="0.35">
      <c r="A33" s="246"/>
      <c r="B33" s="738" t="s">
        <v>1106</v>
      </c>
      <c r="C33" s="670" t="s">
        <v>705</v>
      </c>
      <c r="D33" s="747" t="s">
        <v>841</v>
      </c>
      <c r="E33" s="650" t="s">
        <v>842</v>
      </c>
      <c r="F33" s="651">
        <v>20</v>
      </c>
      <c r="G33" s="651">
        <v>1</v>
      </c>
      <c r="H33" s="677">
        <f>G33*F33</f>
        <v>20</v>
      </c>
      <c r="I33" s="680">
        <v>20</v>
      </c>
      <c r="J33" s="649">
        <v>1</v>
      </c>
      <c r="K33" s="651">
        <f>I33</f>
        <v>20</v>
      </c>
      <c r="L33" s="654">
        <v>1</v>
      </c>
      <c r="M33" s="739">
        <f>L33*J33*K33</f>
        <v>20</v>
      </c>
      <c r="N33" s="739">
        <f>M33/H33</f>
        <v>1</v>
      </c>
      <c r="O33" s="652">
        <f>'Inputs and eligible population'!I53</f>
        <v>0</v>
      </c>
      <c r="P33" s="653">
        <v>0.2</v>
      </c>
      <c r="Q33" s="681">
        <f>N33*O33*(100%+P33)</f>
        <v>0</v>
      </c>
      <c r="R33" s="246"/>
      <c r="S33" s="246"/>
      <c r="T33" s="246"/>
      <c r="U33" s="246"/>
      <c r="V33" s="246"/>
      <c r="W33" s="246"/>
      <c r="X33" s="3"/>
    </row>
    <row r="34" spans="1:26" s="244" customFormat="1" ht="14.5" x14ac:dyDescent="0.35">
      <c r="A34" s="246"/>
      <c r="B34" s="738" t="s">
        <v>1107</v>
      </c>
      <c r="C34" s="670" t="s">
        <v>705</v>
      </c>
      <c r="D34" s="747" t="s">
        <v>841</v>
      </c>
      <c r="E34" s="650" t="s">
        <v>842</v>
      </c>
      <c r="F34" s="651">
        <v>20</v>
      </c>
      <c r="G34" s="651">
        <v>1</v>
      </c>
      <c r="H34" s="677">
        <f>G34*F34</f>
        <v>20</v>
      </c>
      <c r="I34" s="680">
        <v>20</v>
      </c>
      <c r="J34" s="649">
        <v>1</v>
      </c>
      <c r="K34" s="651">
        <f>I34</f>
        <v>20</v>
      </c>
      <c r="L34" s="654">
        <v>2</v>
      </c>
      <c r="M34" s="739">
        <f>L34*J34*K34</f>
        <v>40</v>
      </c>
      <c r="N34" s="739">
        <f>M34/H34</f>
        <v>2</v>
      </c>
      <c r="O34" s="652">
        <f>'Inputs and eligible population'!I53</f>
        <v>0</v>
      </c>
      <c r="P34" s="653">
        <v>0.2</v>
      </c>
      <c r="Q34" s="681">
        <f>N34*O34*(100%+P34)</f>
        <v>0</v>
      </c>
      <c r="R34" s="246"/>
      <c r="S34" s="246"/>
      <c r="T34" s="246"/>
      <c r="U34" s="246"/>
      <c r="V34" s="246"/>
      <c r="W34" s="246"/>
      <c r="X34" s="3"/>
    </row>
    <row r="35" spans="1:26" s="244" customFormat="1" ht="29" x14ac:dyDescent="0.35">
      <c r="A35" s="246"/>
      <c r="B35" s="738" t="s">
        <v>843</v>
      </c>
      <c r="C35" s="670" t="s">
        <v>705</v>
      </c>
      <c r="D35" s="747" t="s">
        <v>841</v>
      </c>
      <c r="E35" s="650" t="s">
        <v>842</v>
      </c>
      <c r="F35" s="651">
        <v>20</v>
      </c>
      <c r="G35" s="651">
        <v>1</v>
      </c>
      <c r="H35" s="677">
        <f>G35*F35</f>
        <v>20</v>
      </c>
      <c r="I35" s="680">
        <v>20</v>
      </c>
      <c r="J35" s="649">
        <v>1</v>
      </c>
      <c r="K35" s="651">
        <f>I35</f>
        <v>20</v>
      </c>
      <c r="L35" s="654">
        <v>12</v>
      </c>
      <c r="M35" s="739">
        <f>L35*J35*K35</f>
        <v>240</v>
      </c>
      <c r="N35" s="739">
        <f>M35/H35</f>
        <v>12</v>
      </c>
      <c r="O35" s="652">
        <f>'Inputs and eligible population'!I53</f>
        <v>0</v>
      </c>
      <c r="P35" s="653">
        <f>'Inputs and eligible population'!$J$53</f>
        <v>0</v>
      </c>
      <c r="Q35" s="681">
        <f>N35*O35*(100%+P35)</f>
        <v>0</v>
      </c>
      <c r="R35" s="246"/>
      <c r="S35" s="246"/>
      <c r="T35" s="246"/>
      <c r="U35" s="246"/>
      <c r="V35" s="246"/>
      <c r="W35" s="246"/>
      <c r="X35" s="3"/>
    </row>
    <row r="36" spans="1:26" s="244" customFormat="1" ht="29.25" customHeight="1" thickBot="1" x14ac:dyDescent="0.4">
      <c r="A36" s="246"/>
      <c r="B36" s="738" t="s">
        <v>844</v>
      </c>
      <c r="C36" s="670" t="s">
        <v>705</v>
      </c>
      <c r="D36" s="747" t="s">
        <v>841</v>
      </c>
      <c r="E36" s="650" t="s">
        <v>842</v>
      </c>
      <c r="F36" s="651">
        <v>20</v>
      </c>
      <c r="G36" s="651">
        <v>1</v>
      </c>
      <c r="H36" s="677">
        <f>G36*F36</f>
        <v>20</v>
      </c>
      <c r="I36" s="680">
        <v>20</v>
      </c>
      <c r="J36" s="649">
        <v>1</v>
      </c>
      <c r="K36" s="651">
        <f>I36</f>
        <v>20</v>
      </c>
      <c r="L36" s="654">
        <v>12</v>
      </c>
      <c r="M36" s="739">
        <f>L36*J36*K36</f>
        <v>240</v>
      </c>
      <c r="N36" s="739">
        <f>M36/H36</f>
        <v>12</v>
      </c>
      <c r="O36" s="652">
        <f>'Inputs and eligible population'!I53</f>
        <v>0</v>
      </c>
      <c r="P36" s="653">
        <f>'Inputs and eligible population'!$J$53</f>
        <v>0</v>
      </c>
      <c r="Q36" s="681">
        <f>N36*O36*(100%+P36)</f>
        <v>0</v>
      </c>
      <c r="R36" s="246"/>
      <c r="S36" s="246"/>
      <c r="T36" s="246"/>
      <c r="U36" s="246"/>
      <c r="V36" s="246"/>
      <c r="W36" s="246"/>
      <c r="X36" s="3"/>
    </row>
    <row r="37" spans="1:26" s="244" customFormat="1" ht="41.5" customHeight="1" thickBot="1" x14ac:dyDescent="0.4">
      <c r="A37" s="246"/>
      <c r="B37" s="242"/>
      <c r="C37" s="246"/>
      <c r="D37" s="246"/>
      <c r="E37" s="246"/>
      <c r="F37" s="246"/>
      <c r="G37" s="246"/>
      <c r="H37" s="246"/>
      <c r="I37" s="246"/>
      <c r="J37" s="246"/>
      <c r="K37" s="246"/>
      <c r="L37" s="632"/>
      <c r="M37" s="632"/>
      <c r="N37" s="632"/>
      <c r="O37" s="246"/>
      <c r="P37" s="246"/>
      <c r="Q37" s="749">
        <f>((Q33+Q34+Q35)*0.3)+((Q36)*0.7)</f>
        <v>0</v>
      </c>
      <c r="R37" s="246" t="s">
        <v>1105</v>
      </c>
      <c r="S37" s="246"/>
      <c r="T37" s="246"/>
      <c r="U37" s="246"/>
      <c r="V37" s="246"/>
      <c r="W37" s="246"/>
      <c r="X37" s="3"/>
    </row>
    <row r="38" spans="1:26" s="244" customFormat="1" ht="15" thickBot="1" x14ac:dyDescent="0.4">
      <c r="A38" s="246"/>
      <c r="B38" s="242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632"/>
      <c r="O38" s="632"/>
      <c r="P38" s="632"/>
      <c r="Q38" s="246"/>
      <c r="R38" s="246"/>
      <c r="S38" s="667"/>
      <c r="T38" s="246"/>
      <c r="U38" s="246"/>
      <c r="V38" s="246"/>
      <c r="W38" s="246"/>
      <c r="Z38" s="3"/>
    </row>
    <row r="39" spans="1:26" s="244" customFormat="1" ht="14.5" x14ac:dyDescent="0.35">
      <c r="A39" s="246"/>
      <c r="B39" s="242"/>
      <c r="C39" s="246"/>
      <c r="D39" s="671" t="s">
        <v>815</v>
      </c>
      <c r="E39" s="672"/>
      <c r="F39" s="672"/>
      <c r="G39" s="672"/>
      <c r="H39" s="673"/>
      <c r="I39" s="671" t="s">
        <v>816</v>
      </c>
      <c r="J39" s="672"/>
      <c r="K39" s="672"/>
      <c r="L39" s="672"/>
      <c r="M39" s="672"/>
      <c r="N39" s="672"/>
      <c r="O39" s="672"/>
      <c r="P39" s="672"/>
      <c r="Q39" s="673"/>
      <c r="R39" s="246"/>
      <c r="S39" s="667"/>
      <c r="T39" s="246"/>
      <c r="U39" s="246"/>
      <c r="V39" s="246"/>
      <c r="W39" s="246"/>
      <c r="Z39" s="3"/>
    </row>
    <row r="40" spans="1:26" s="244" customFormat="1" ht="43.5" x14ac:dyDescent="0.35">
      <c r="A40" s="246"/>
      <c r="B40" s="245" t="s">
        <v>817</v>
      </c>
      <c r="C40" s="247" t="s">
        <v>818</v>
      </c>
      <c r="D40" s="674" t="s">
        <v>819</v>
      </c>
      <c r="E40" s="248" t="s">
        <v>820</v>
      </c>
      <c r="F40" s="248" t="s">
        <v>821</v>
      </c>
      <c r="G40" s="248" t="s">
        <v>822</v>
      </c>
      <c r="H40" s="675" t="s">
        <v>823</v>
      </c>
      <c r="I40" s="674" t="s">
        <v>824</v>
      </c>
      <c r="J40" s="248" t="s">
        <v>825</v>
      </c>
      <c r="K40" s="248" t="s">
        <v>826</v>
      </c>
      <c r="L40" s="248" t="s">
        <v>827</v>
      </c>
      <c r="M40" s="678" t="s">
        <v>828</v>
      </c>
      <c r="N40" s="678" t="s">
        <v>829</v>
      </c>
      <c r="O40" s="678" t="s">
        <v>830</v>
      </c>
      <c r="P40" s="245" t="s">
        <v>831</v>
      </c>
      <c r="Q40" s="675" t="s">
        <v>832</v>
      </c>
      <c r="R40" s="246"/>
      <c r="S40" s="667"/>
      <c r="T40" s="246"/>
      <c r="U40" s="246"/>
      <c r="V40" s="246"/>
      <c r="W40" s="246"/>
      <c r="X40" s="3"/>
    </row>
    <row r="41" spans="1:26" s="244" customFormat="1" ht="56.15" customHeight="1" x14ac:dyDescent="0.35">
      <c r="A41" s="246"/>
      <c r="B41" s="738" t="s">
        <v>845</v>
      </c>
      <c r="C41" s="670" t="s">
        <v>759</v>
      </c>
      <c r="D41" s="747" t="s">
        <v>846</v>
      </c>
      <c r="E41" s="650" t="s">
        <v>847</v>
      </c>
      <c r="F41" s="651" t="s">
        <v>848</v>
      </c>
      <c r="G41" s="651">
        <v>14</v>
      </c>
      <c r="H41" s="677">
        <v>83</v>
      </c>
      <c r="I41" s="680">
        <f>83/14</f>
        <v>5.9285714285714288</v>
      </c>
      <c r="J41" s="649">
        <v>14</v>
      </c>
      <c r="K41" s="651">
        <f>I41</f>
        <v>5.9285714285714288</v>
      </c>
      <c r="L41" s="654">
        <v>1</v>
      </c>
      <c r="M41" s="651">
        <f>L41*J41*K41</f>
        <v>83</v>
      </c>
      <c r="N41" s="740">
        <f>M41/H41</f>
        <v>1</v>
      </c>
      <c r="O41" s="652">
        <f>'Inputs and eligible population'!I54</f>
        <v>0</v>
      </c>
      <c r="P41" s="653">
        <f>'Inputs and eligible population'!J54</f>
        <v>0</v>
      </c>
      <c r="Q41" s="681">
        <f>N41*O41*(100%+P41)</f>
        <v>0</v>
      </c>
      <c r="R41" s="246"/>
      <c r="S41" s="667"/>
      <c r="T41" s="246"/>
      <c r="U41" s="246"/>
      <c r="V41" s="246"/>
      <c r="W41" s="246"/>
      <c r="X41" s="3"/>
    </row>
    <row r="42" spans="1:26" s="244" customFormat="1" ht="14.5" x14ac:dyDescent="0.35">
      <c r="A42" s="246"/>
      <c r="B42" s="649" t="s">
        <v>849</v>
      </c>
      <c r="C42" s="670" t="s">
        <v>759</v>
      </c>
      <c r="D42" s="747" t="s">
        <v>846</v>
      </c>
      <c r="E42" s="650" t="s">
        <v>847</v>
      </c>
      <c r="F42" s="651">
        <v>20</v>
      </c>
      <c r="G42" s="651">
        <v>28</v>
      </c>
      <c r="H42" s="677">
        <f>G42*F42</f>
        <v>560</v>
      </c>
      <c r="I42" s="680">
        <v>20</v>
      </c>
      <c r="J42" s="649">
        <v>1</v>
      </c>
      <c r="K42" s="651">
        <f>I42</f>
        <v>20</v>
      </c>
      <c r="L42" s="740">
        <f>365-14</f>
        <v>351</v>
      </c>
      <c r="M42" s="651">
        <f>L42*J42*K42</f>
        <v>7020</v>
      </c>
      <c r="N42" s="740">
        <f>M42/H42</f>
        <v>12.535714285714286</v>
      </c>
      <c r="O42" s="652">
        <f>'Inputs and eligible population'!I55</f>
        <v>0</v>
      </c>
      <c r="P42" s="653">
        <f>'Inputs and eligible population'!J55</f>
        <v>0</v>
      </c>
      <c r="Q42" s="746">
        <f>N42*O42*(100%+P42)</f>
        <v>0</v>
      </c>
      <c r="R42" s="246"/>
      <c r="S42" s="667"/>
      <c r="T42" s="246"/>
      <c r="U42" s="246"/>
      <c r="V42" s="246"/>
      <c r="W42" s="246"/>
      <c r="X42" s="3"/>
    </row>
    <row r="43" spans="1:26" s="244" customFormat="1" ht="15" thickBot="1" x14ac:dyDescent="0.4">
      <c r="A43" s="246"/>
      <c r="B43" s="649" t="s">
        <v>850</v>
      </c>
      <c r="C43" s="670" t="s">
        <v>759</v>
      </c>
      <c r="D43" s="747" t="s">
        <v>846</v>
      </c>
      <c r="E43" s="650" t="s">
        <v>847</v>
      </c>
      <c r="F43" s="651">
        <v>20</v>
      </c>
      <c r="G43" s="651">
        <v>28</v>
      </c>
      <c r="H43" s="677">
        <f>G43*F43</f>
        <v>560</v>
      </c>
      <c r="I43" s="680">
        <v>20</v>
      </c>
      <c r="J43" s="649">
        <v>1</v>
      </c>
      <c r="K43" s="651">
        <f>I43</f>
        <v>20</v>
      </c>
      <c r="L43" s="740">
        <v>365</v>
      </c>
      <c r="M43" s="651">
        <f>L43*J43*K43</f>
        <v>7300</v>
      </c>
      <c r="N43" s="740">
        <f>M43/H43</f>
        <v>13.035714285714286</v>
      </c>
      <c r="O43" s="652">
        <f>'Inputs and eligible population'!I55</f>
        <v>0</v>
      </c>
      <c r="P43" s="653">
        <f>'Inputs and eligible population'!J55</f>
        <v>0</v>
      </c>
      <c r="Q43" s="746">
        <f>N43*O43*(100%+P43)</f>
        <v>0</v>
      </c>
      <c r="R43" s="246"/>
      <c r="S43" s="667"/>
      <c r="T43" s="246"/>
      <c r="U43" s="246"/>
      <c r="V43" s="246"/>
      <c r="W43" s="246"/>
      <c r="X43" s="3"/>
    </row>
    <row r="44" spans="1:26" s="244" customFormat="1" ht="15" thickBot="1" x14ac:dyDescent="0.4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749">
        <f>((Q41+Q42)+(Q43))/2</f>
        <v>0</v>
      </c>
      <c r="R44" s="246"/>
      <c r="S44" s="246"/>
      <c r="T44" s="246"/>
      <c r="U44" s="246"/>
      <c r="V44" s="246"/>
      <c r="W44" s="246"/>
      <c r="X44" s="3"/>
    </row>
    <row r="45" spans="1:26" s="244" customFormat="1" ht="15" thickBot="1" x14ac:dyDescent="0.4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679"/>
      <c r="T45" s="246"/>
      <c r="U45" s="246"/>
      <c r="V45" s="246"/>
      <c r="W45" s="246"/>
      <c r="Z45" s="3"/>
    </row>
    <row r="46" spans="1:26" s="244" customFormat="1" ht="14.5" x14ac:dyDescent="0.35">
      <c r="A46" s="246"/>
      <c r="B46" s="246"/>
      <c r="C46" s="246"/>
      <c r="D46" s="671" t="s">
        <v>815</v>
      </c>
      <c r="E46" s="672"/>
      <c r="F46" s="672"/>
      <c r="G46" s="672"/>
      <c r="H46" s="673"/>
      <c r="I46" s="671" t="s">
        <v>816</v>
      </c>
      <c r="J46" s="672"/>
      <c r="K46" s="672"/>
      <c r="L46" s="672"/>
      <c r="M46" s="672"/>
      <c r="N46" s="672"/>
      <c r="O46" s="672"/>
      <c r="P46" s="672"/>
      <c r="Q46" s="673"/>
      <c r="R46" s="246"/>
      <c r="S46" s="667"/>
      <c r="T46" s="246"/>
      <c r="U46" s="246"/>
      <c r="V46" s="246"/>
      <c r="W46" s="246"/>
      <c r="Z46" s="3"/>
    </row>
    <row r="47" spans="1:26" s="244" customFormat="1" ht="43.5" x14ac:dyDescent="0.35">
      <c r="A47" s="246"/>
      <c r="B47" s="245" t="s">
        <v>817</v>
      </c>
      <c r="C47" s="247" t="s">
        <v>818</v>
      </c>
      <c r="D47" s="674" t="s">
        <v>819</v>
      </c>
      <c r="E47" s="248" t="s">
        <v>820</v>
      </c>
      <c r="F47" s="248" t="s">
        <v>821</v>
      </c>
      <c r="G47" s="248" t="s">
        <v>822</v>
      </c>
      <c r="H47" s="675" t="s">
        <v>823</v>
      </c>
      <c r="I47" s="674" t="s">
        <v>824</v>
      </c>
      <c r="J47" s="248" t="s">
        <v>825</v>
      </c>
      <c r="K47" s="248" t="s">
        <v>826</v>
      </c>
      <c r="L47" s="248" t="s">
        <v>827</v>
      </c>
      <c r="M47" s="678" t="s">
        <v>828</v>
      </c>
      <c r="N47" s="678" t="s">
        <v>829</v>
      </c>
      <c r="O47" s="678" t="s">
        <v>830</v>
      </c>
      <c r="P47" s="245" t="s">
        <v>831</v>
      </c>
      <c r="Q47" s="675" t="s">
        <v>832</v>
      </c>
      <c r="R47" s="246"/>
      <c r="S47" s="246"/>
      <c r="T47" s="246"/>
      <c r="U47" s="246"/>
      <c r="V47" s="246"/>
      <c r="W47" s="246"/>
      <c r="X47" s="3"/>
    </row>
    <row r="48" spans="1:26" s="244" customFormat="1" ht="14.5" x14ac:dyDescent="0.35">
      <c r="A48" s="246"/>
      <c r="B48" s="738" t="s">
        <v>851</v>
      </c>
      <c r="C48" s="670" t="s">
        <v>711</v>
      </c>
      <c r="D48" s="676" t="s">
        <v>8</v>
      </c>
      <c r="E48" s="650" t="s">
        <v>834</v>
      </c>
      <c r="F48" s="651">
        <v>12</v>
      </c>
      <c r="G48" s="651">
        <v>1</v>
      </c>
      <c r="H48" s="677">
        <f>G48*F48</f>
        <v>12</v>
      </c>
      <c r="I48" s="680">
        <v>12</v>
      </c>
      <c r="J48" s="649">
        <v>5</v>
      </c>
      <c r="K48" s="651">
        <f>I48</f>
        <v>12</v>
      </c>
      <c r="L48" s="649">
        <v>1</v>
      </c>
      <c r="M48" s="649">
        <f>L48*J48*K48</f>
        <v>60</v>
      </c>
      <c r="N48" s="739">
        <f>M48/H48</f>
        <v>5</v>
      </c>
      <c r="O48" s="652">
        <f>'Inputs and eligible population'!I56</f>
        <v>0</v>
      </c>
      <c r="P48" s="653">
        <f>'Inputs and eligible population'!J56</f>
        <v>0.2</v>
      </c>
      <c r="Q48" s="681">
        <f>N48*O48*(100%+P48)</f>
        <v>0</v>
      </c>
      <c r="R48" s="246"/>
      <c r="S48" s="246"/>
      <c r="T48" s="246"/>
      <c r="U48" s="246"/>
      <c r="V48" s="246"/>
      <c r="W48" s="246"/>
      <c r="X48" s="3"/>
    </row>
    <row r="49" spans="1:26" s="244" customFormat="1" ht="44" thickBot="1" x14ac:dyDescent="0.4">
      <c r="A49" s="246"/>
      <c r="B49" s="738" t="s">
        <v>852</v>
      </c>
      <c r="C49" s="670" t="s">
        <v>711</v>
      </c>
      <c r="D49" s="676" t="s">
        <v>8</v>
      </c>
      <c r="E49" s="650" t="s">
        <v>834</v>
      </c>
      <c r="F49" s="651">
        <v>12</v>
      </c>
      <c r="G49" s="651">
        <v>1</v>
      </c>
      <c r="H49" s="677">
        <f>G49*F49</f>
        <v>12</v>
      </c>
      <c r="I49" s="680">
        <v>12</v>
      </c>
      <c r="J49" s="649">
        <v>3</v>
      </c>
      <c r="K49" s="651">
        <f>I49</f>
        <v>12</v>
      </c>
      <c r="L49" s="649">
        <v>1</v>
      </c>
      <c r="M49" s="649">
        <f>L49*J49*K49</f>
        <v>36</v>
      </c>
      <c r="N49" s="649">
        <f>M49/H49</f>
        <v>3</v>
      </c>
      <c r="O49" s="652">
        <f>'Inputs and eligible population'!I56</f>
        <v>0</v>
      </c>
      <c r="P49" s="653">
        <f>'Inputs and eligible population'!J56</f>
        <v>0.2</v>
      </c>
      <c r="Q49" s="681">
        <f>N49*O49*(100%+P49)</f>
        <v>0</v>
      </c>
      <c r="R49" s="246"/>
      <c r="S49" s="246"/>
      <c r="T49" s="246"/>
      <c r="U49" s="246"/>
      <c r="V49" s="246"/>
      <c r="W49" s="246"/>
      <c r="X49" s="3"/>
    </row>
    <row r="50" spans="1:26" s="244" customFormat="1" ht="15" thickBot="1" x14ac:dyDescent="0.4">
      <c r="A50" s="246"/>
      <c r="B50" s="242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749">
        <f>(Q49+Q48)/2</f>
        <v>0</v>
      </c>
      <c r="R50" s="246"/>
      <c r="S50" s="246"/>
      <c r="T50" s="246"/>
      <c r="U50" s="246"/>
      <c r="V50" s="246"/>
      <c r="W50" s="246"/>
      <c r="X50" s="3"/>
    </row>
    <row r="51" spans="1:26" s="244" customFormat="1" ht="15" thickBot="1" x14ac:dyDescent="0.4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679"/>
      <c r="T51" s="246"/>
      <c r="U51" s="246"/>
      <c r="V51" s="246"/>
      <c r="W51" s="246"/>
      <c r="Z51" s="3"/>
    </row>
    <row r="52" spans="1:26" s="244" customFormat="1" ht="14.5" x14ac:dyDescent="0.35">
      <c r="A52" s="246"/>
      <c r="B52" s="242"/>
      <c r="C52" s="246"/>
      <c r="D52" s="671" t="s">
        <v>815</v>
      </c>
      <c r="E52" s="672"/>
      <c r="F52" s="672"/>
      <c r="G52" s="672"/>
      <c r="H52" s="673"/>
      <c r="I52" s="671" t="s">
        <v>816</v>
      </c>
      <c r="J52" s="672"/>
      <c r="K52" s="672"/>
      <c r="L52" s="672"/>
      <c r="M52" s="672"/>
      <c r="N52" s="672"/>
      <c r="O52" s="672"/>
      <c r="P52" s="672"/>
      <c r="Q52" s="673"/>
      <c r="R52" s="246"/>
      <c r="S52" s="667"/>
      <c r="T52" s="246"/>
      <c r="U52" s="246"/>
      <c r="V52" s="246"/>
      <c r="W52" s="246"/>
      <c r="Z52" s="3"/>
    </row>
    <row r="53" spans="1:26" s="244" customFormat="1" ht="43.5" x14ac:dyDescent="0.35">
      <c r="A53" s="246"/>
      <c r="B53" s="245" t="s">
        <v>817</v>
      </c>
      <c r="C53" s="247" t="s">
        <v>818</v>
      </c>
      <c r="D53" s="674" t="s">
        <v>819</v>
      </c>
      <c r="E53" s="248" t="s">
        <v>820</v>
      </c>
      <c r="F53" s="248" t="s">
        <v>821</v>
      </c>
      <c r="G53" s="248" t="s">
        <v>822</v>
      </c>
      <c r="H53" s="675" t="s">
        <v>823</v>
      </c>
      <c r="I53" s="674" t="s">
        <v>824</v>
      </c>
      <c r="J53" s="248" t="s">
        <v>825</v>
      </c>
      <c r="K53" s="248" t="s">
        <v>826</v>
      </c>
      <c r="L53" s="248" t="s">
        <v>827</v>
      </c>
      <c r="M53" s="678" t="s">
        <v>828</v>
      </c>
      <c r="N53" s="678" t="s">
        <v>829</v>
      </c>
      <c r="O53" s="678" t="s">
        <v>830</v>
      </c>
      <c r="P53" s="245" t="s">
        <v>831</v>
      </c>
      <c r="Q53" s="675" t="s">
        <v>832</v>
      </c>
      <c r="R53" s="246"/>
      <c r="S53" s="246"/>
      <c r="T53" s="246"/>
      <c r="U53" s="246"/>
      <c r="V53" s="246"/>
      <c r="W53" s="246"/>
      <c r="X53" s="3"/>
    </row>
    <row r="54" spans="1:26" s="244" customFormat="1" ht="46.5" customHeight="1" x14ac:dyDescent="0.35">
      <c r="A54" s="246"/>
      <c r="B54" s="738" t="s">
        <v>853</v>
      </c>
      <c r="C54" s="670" t="s">
        <v>1101</v>
      </c>
      <c r="D54" s="747" t="s">
        <v>846</v>
      </c>
      <c r="E54" s="650" t="s">
        <v>847</v>
      </c>
      <c r="F54" s="651">
        <v>10</v>
      </c>
      <c r="G54" s="651">
        <v>6</v>
      </c>
      <c r="H54" s="677">
        <f>G54*F54</f>
        <v>60</v>
      </c>
      <c r="I54" s="680">
        <v>20</v>
      </c>
      <c r="J54" s="649">
        <v>3.5</v>
      </c>
      <c r="K54" s="651">
        <f>I54</f>
        <v>20</v>
      </c>
      <c r="L54" s="654">
        <v>2</v>
      </c>
      <c r="M54" s="651">
        <f>L54*J54*K54</f>
        <v>140</v>
      </c>
      <c r="N54" s="740">
        <f>M54/H54</f>
        <v>2.3333333333333335</v>
      </c>
      <c r="O54" s="652">
        <f>'Inputs and eligible population'!I57</f>
        <v>0</v>
      </c>
      <c r="P54" s="653">
        <f>'Inputs and eligible population'!J57</f>
        <v>0</v>
      </c>
      <c r="Q54" s="681">
        <f>N54*O54*(100%+P54)</f>
        <v>0</v>
      </c>
      <c r="R54" s="246"/>
      <c r="S54" s="246"/>
      <c r="T54" s="246"/>
      <c r="U54" s="246"/>
      <c r="V54" s="246"/>
      <c r="W54" s="246"/>
      <c r="X54" s="3"/>
    </row>
    <row r="55" spans="1:26" s="244" customFormat="1" ht="15" thickBot="1" x14ac:dyDescent="0.4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679"/>
      <c r="T55" s="246"/>
      <c r="U55" s="246"/>
      <c r="V55" s="246"/>
      <c r="W55" s="246"/>
      <c r="Z55" s="3"/>
    </row>
    <row r="56" spans="1:26" s="244" customFormat="1" ht="14.5" x14ac:dyDescent="0.35">
      <c r="A56" s="246"/>
      <c r="B56" s="242"/>
      <c r="C56" s="246"/>
      <c r="D56" s="671" t="s">
        <v>815</v>
      </c>
      <c r="E56" s="672"/>
      <c r="F56" s="672"/>
      <c r="G56" s="672"/>
      <c r="H56" s="673"/>
      <c r="I56" s="671" t="s">
        <v>816</v>
      </c>
      <c r="J56" s="672"/>
      <c r="K56" s="672"/>
      <c r="L56" s="672"/>
      <c r="M56" s="672"/>
      <c r="N56" s="672"/>
      <c r="O56" s="672"/>
      <c r="P56" s="672"/>
      <c r="Q56" s="673"/>
      <c r="R56" s="246"/>
      <c r="S56" s="667"/>
      <c r="T56" s="246"/>
      <c r="U56" s="246"/>
      <c r="V56" s="246"/>
      <c r="W56" s="246"/>
      <c r="Z56" s="3"/>
    </row>
    <row r="57" spans="1:26" s="244" customFormat="1" ht="43.5" x14ac:dyDescent="0.35">
      <c r="A57" s="246"/>
      <c r="B57" s="245" t="s">
        <v>817</v>
      </c>
      <c r="C57" s="247" t="s">
        <v>818</v>
      </c>
      <c r="D57" s="674" t="s">
        <v>819</v>
      </c>
      <c r="E57" s="248" t="s">
        <v>820</v>
      </c>
      <c r="F57" s="248" t="s">
        <v>821</v>
      </c>
      <c r="G57" s="248" t="s">
        <v>822</v>
      </c>
      <c r="H57" s="675" t="s">
        <v>823</v>
      </c>
      <c r="I57" s="674" t="s">
        <v>824</v>
      </c>
      <c r="J57" s="248" t="s">
        <v>825</v>
      </c>
      <c r="K57" s="248" t="s">
        <v>826</v>
      </c>
      <c r="L57" s="248" t="s">
        <v>827</v>
      </c>
      <c r="M57" s="678" t="s">
        <v>828</v>
      </c>
      <c r="N57" s="678" t="s">
        <v>829</v>
      </c>
      <c r="O57" s="678" t="s">
        <v>830</v>
      </c>
      <c r="P57" s="245" t="s">
        <v>831</v>
      </c>
      <c r="Q57" s="675" t="s">
        <v>832</v>
      </c>
      <c r="R57" s="246"/>
      <c r="S57" s="246"/>
      <c r="T57" s="246"/>
      <c r="U57" s="246"/>
      <c r="V57" s="246"/>
      <c r="W57" s="246"/>
      <c r="X57" s="3"/>
    </row>
    <row r="58" spans="1:26" s="244" customFormat="1" ht="14.5" x14ac:dyDescent="0.35">
      <c r="A58" s="246"/>
      <c r="B58" s="738" t="s">
        <v>854</v>
      </c>
      <c r="C58" s="670" t="s">
        <v>714</v>
      </c>
      <c r="D58" s="747" t="s">
        <v>846</v>
      </c>
      <c r="E58" s="650" t="s">
        <v>847</v>
      </c>
      <c r="F58" s="651">
        <v>120</v>
      </c>
      <c r="G58" s="651">
        <v>14</v>
      </c>
      <c r="H58" s="677">
        <f>G58*F58</f>
        <v>1680</v>
      </c>
      <c r="I58" s="680">
        <v>120</v>
      </c>
      <c r="J58" s="649">
        <v>2</v>
      </c>
      <c r="K58" s="651">
        <f>I58</f>
        <v>120</v>
      </c>
      <c r="L58" s="654">
        <v>7</v>
      </c>
      <c r="M58" s="651">
        <f>L58*J58*K58</f>
        <v>1680</v>
      </c>
      <c r="N58" s="740">
        <f>M58/H58</f>
        <v>1</v>
      </c>
      <c r="O58" s="652">
        <f>'Inputs and eligible population'!I58</f>
        <v>0</v>
      </c>
      <c r="P58" s="653">
        <f>'Inputs and eligible population'!J58</f>
        <v>0</v>
      </c>
      <c r="Q58" s="681">
        <f>N58*O58*(100%+P58)</f>
        <v>0</v>
      </c>
      <c r="R58" s="246"/>
      <c r="S58" s="246"/>
      <c r="T58" s="246"/>
      <c r="U58" s="246"/>
      <c r="V58" s="246"/>
      <c r="W58" s="246"/>
      <c r="X58" s="3"/>
    </row>
    <row r="59" spans="1:26" s="244" customFormat="1" ht="14.5" x14ac:dyDescent="0.35">
      <c r="A59" s="246"/>
      <c r="B59" s="649" t="s">
        <v>855</v>
      </c>
      <c r="C59" s="670" t="s">
        <v>714</v>
      </c>
      <c r="D59" s="747" t="s">
        <v>846</v>
      </c>
      <c r="E59" s="650" t="s">
        <v>847</v>
      </c>
      <c r="F59" s="651">
        <v>240</v>
      </c>
      <c r="G59" s="651">
        <v>56</v>
      </c>
      <c r="H59" s="677">
        <f>G59*F59</f>
        <v>13440</v>
      </c>
      <c r="I59" s="680">
        <v>240</v>
      </c>
      <c r="J59" s="649">
        <v>2</v>
      </c>
      <c r="K59" s="651">
        <f>I59</f>
        <v>240</v>
      </c>
      <c r="L59" s="740">
        <f>365-7</f>
        <v>358</v>
      </c>
      <c r="M59" s="651">
        <f>L59*J59*K59</f>
        <v>171840</v>
      </c>
      <c r="N59" s="740">
        <f>M59/H59</f>
        <v>12.785714285714286</v>
      </c>
      <c r="O59" s="652">
        <f>'Inputs and eligible population'!I59</f>
        <v>0</v>
      </c>
      <c r="P59" s="653">
        <f>'Inputs and eligible population'!J59</f>
        <v>0</v>
      </c>
      <c r="Q59" s="746">
        <f>N59*O59*(100%+P59)</f>
        <v>0</v>
      </c>
      <c r="R59" s="246"/>
      <c r="S59" s="246"/>
      <c r="T59" s="246"/>
      <c r="U59" s="246"/>
      <c r="V59" s="246"/>
      <c r="W59" s="246"/>
      <c r="X59" s="3"/>
    </row>
    <row r="60" spans="1:26" s="244" customFormat="1" ht="15" thickBot="1" x14ac:dyDescent="0.4">
      <c r="A60" s="246"/>
      <c r="B60" s="649" t="s">
        <v>856</v>
      </c>
      <c r="C60" s="670" t="s">
        <v>714</v>
      </c>
      <c r="D60" s="747" t="s">
        <v>846</v>
      </c>
      <c r="E60" s="650" t="s">
        <v>847</v>
      </c>
      <c r="F60" s="651">
        <v>240</v>
      </c>
      <c r="G60" s="651">
        <v>56</v>
      </c>
      <c r="H60" s="677">
        <f>G60*F60</f>
        <v>13440</v>
      </c>
      <c r="I60" s="680">
        <v>240</v>
      </c>
      <c r="J60" s="649">
        <v>2</v>
      </c>
      <c r="K60" s="651">
        <f>I60</f>
        <v>240</v>
      </c>
      <c r="L60" s="740">
        <v>365</v>
      </c>
      <c r="M60" s="651">
        <f>L60*J60*K60</f>
        <v>175200</v>
      </c>
      <c r="N60" s="740">
        <f>M60/H60</f>
        <v>13.035714285714286</v>
      </c>
      <c r="O60" s="652">
        <f>'Inputs and eligible population'!I59</f>
        <v>0</v>
      </c>
      <c r="P60" s="653">
        <f>'Inputs and eligible population'!J59</f>
        <v>0</v>
      </c>
      <c r="Q60" s="746">
        <f>N60*O60*(100%+P60)</f>
        <v>0</v>
      </c>
      <c r="R60" s="246"/>
      <c r="S60" s="246"/>
      <c r="T60" s="246"/>
      <c r="U60" s="246"/>
      <c r="V60" s="246"/>
      <c r="W60" s="246"/>
      <c r="X60" s="3"/>
    </row>
    <row r="61" spans="1:26" s="244" customFormat="1" ht="15" thickBot="1" x14ac:dyDescent="0.4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749">
        <f>((Q58+Q59)+(Q60))/2</f>
        <v>0</v>
      </c>
      <c r="R61" s="246"/>
      <c r="S61" s="246"/>
      <c r="T61" s="246"/>
      <c r="U61" s="246"/>
      <c r="V61" s="246"/>
      <c r="W61" s="246"/>
      <c r="X61" s="3"/>
    </row>
    <row r="62" spans="1:26" s="244" customFormat="1" ht="15" thickBot="1" x14ac:dyDescent="0.4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679"/>
      <c r="T62" s="246"/>
      <c r="U62" s="246"/>
      <c r="V62" s="246"/>
      <c r="W62" s="246"/>
      <c r="Z62" s="3"/>
    </row>
    <row r="63" spans="1:26" s="244" customFormat="1" ht="14.5" x14ac:dyDescent="0.35">
      <c r="A63" s="246"/>
      <c r="B63" s="242"/>
      <c r="C63" s="246"/>
      <c r="D63" s="671" t="s">
        <v>815</v>
      </c>
      <c r="E63" s="672"/>
      <c r="F63" s="672"/>
      <c r="G63" s="672"/>
      <c r="H63" s="673"/>
      <c r="I63" s="671" t="s">
        <v>816</v>
      </c>
      <c r="J63" s="672"/>
      <c r="K63" s="672"/>
      <c r="L63" s="672"/>
      <c r="M63" s="672"/>
      <c r="N63" s="672"/>
      <c r="O63" s="672"/>
      <c r="P63" s="672"/>
      <c r="Q63" s="673"/>
      <c r="R63" s="246"/>
      <c r="S63" s="667"/>
      <c r="T63" s="246"/>
      <c r="U63" s="246"/>
      <c r="V63" s="246"/>
      <c r="W63" s="246"/>
      <c r="Z63" s="3"/>
    </row>
    <row r="64" spans="1:26" s="244" customFormat="1" ht="43.5" x14ac:dyDescent="0.35">
      <c r="A64" s="246"/>
      <c r="B64" s="245" t="s">
        <v>817</v>
      </c>
      <c r="C64" s="247" t="s">
        <v>818</v>
      </c>
      <c r="D64" s="674" t="s">
        <v>819</v>
      </c>
      <c r="E64" s="248" t="s">
        <v>820</v>
      </c>
      <c r="F64" s="248" t="s">
        <v>821</v>
      </c>
      <c r="G64" s="248" t="s">
        <v>822</v>
      </c>
      <c r="H64" s="675" t="s">
        <v>823</v>
      </c>
      <c r="I64" s="674" t="s">
        <v>824</v>
      </c>
      <c r="J64" s="248" t="s">
        <v>825</v>
      </c>
      <c r="K64" s="248" t="s">
        <v>826</v>
      </c>
      <c r="L64" s="248" t="s">
        <v>827</v>
      </c>
      <c r="M64" s="678" t="s">
        <v>828</v>
      </c>
      <c r="N64" s="678" t="s">
        <v>829</v>
      </c>
      <c r="O64" s="678" t="s">
        <v>830</v>
      </c>
      <c r="P64" s="245" t="s">
        <v>831</v>
      </c>
      <c r="Q64" s="675" t="s">
        <v>832</v>
      </c>
      <c r="R64" s="246"/>
      <c r="S64" s="246"/>
      <c r="T64" s="246"/>
      <c r="U64" s="246"/>
      <c r="V64" s="246"/>
      <c r="W64" s="246"/>
      <c r="X64" s="3"/>
    </row>
    <row r="65" spans="1:26" s="244" customFormat="1" ht="14.5" x14ac:dyDescent="0.35">
      <c r="A65" s="246"/>
      <c r="B65" s="738" t="s">
        <v>857</v>
      </c>
      <c r="C65" s="670" t="s">
        <v>717</v>
      </c>
      <c r="D65" s="747" t="s">
        <v>846</v>
      </c>
      <c r="E65" s="650" t="s">
        <v>847</v>
      </c>
      <c r="F65" s="651">
        <v>231</v>
      </c>
      <c r="G65" s="651">
        <v>120</v>
      </c>
      <c r="H65" s="677">
        <f>G65*F65</f>
        <v>27720</v>
      </c>
      <c r="I65" s="680">
        <v>231</v>
      </c>
      <c r="J65" s="649">
        <v>2</v>
      </c>
      <c r="K65" s="651">
        <f>I65</f>
        <v>231</v>
      </c>
      <c r="L65" s="654">
        <v>7</v>
      </c>
      <c r="M65" s="651">
        <f>L65*J65*K65</f>
        <v>3234</v>
      </c>
      <c r="N65" s="740">
        <f>M65/H65</f>
        <v>0.11666666666666667</v>
      </c>
      <c r="O65" s="652">
        <f>'Inputs and eligible population'!I60</f>
        <v>0</v>
      </c>
      <c r="P65" s="653">
        <f>'Inputs and eligible population'!J60</f>
        <v>0</v>
      </c>
      <c r="Q65" s="681">
        <f>N65*O65*(100%+P65)</f>
        <v>0</v>
      </c>
      <c r="R65" s="246"/>
      <c r="S65" s="246"/>
      <c r="T65" s="246"/>
      <c r="U65" s="246"/>
      <c r="V65" s="246"/>
      <c r="W65" s="246"/>
      <c r="X65" s="3"/>
    </row>
    <row r="66" spans="1:26" s="244" customFormat="1" ht="14.5" x14ac:dyDescent="0.35">
      <c r="A66" s="246"/>
      <c r="B66" s="649" t="s">
        <v>858</v>
      </c>
      <c r="C66" s="670" t="s">
        <v>717</v>
      </c>
      <c r="D66" s="747" t="s">
        <v>846</v>
      </c>
      <c r="E66" s="650" t="s">
        <v>847</v>
      </c>
      <c r="F66" s="651">
        <v>231</v>
      </c>
      <c r="G66" s="651">
        <v>120</v>
      </c>
      <c r="H66" s="677">
        <f>G66*F66</f>
        <v>27720</v>
      </c>
      <c r="I66" s="680">
        <v>462</v>
      </c>
      <c r="J66" s="649">
        <v>2</v>
      </c>
      <c r="K66" s="651">
        <f>I66</f>
        <v>462</v>
      </c>
      <c r="L66" s="740">
        <f>365-7</f>
        <v>358</v>
      </c>
      <c r="M66" s="651">
        <f>L66*J66*K66</f>
        <v>330792</v>
      </c>
      <c r="N66" s="740">
        <f>M66/H66</f>
        <v>11.933333333333334</v>
      </c>
      <c r="O66" s="652">
        <f>'Inputs and eligible population'!I60</f>
        <v>0</v>
      </c>
      <c r="P66" s="653">
        <f>'Inputs and eligible population'!J60</f>
        <v>0</v>
      </c>
      <c r="Q66" s="746">
        <f>N66*O66*(100%+P66)</f>
        <v>0</v>
      </c>
      <c r="R66" s="246"/>
      <c r="S66" s="246"/>
      <c r="T66" s="246"/>
      <c r="U66" s="246"/>
      <c r="V66" s="246"/>
      <c r="W66" s="246"/>
      <c r="X66" s="3"/>
    </row>
    <row r="67" spans="1:26" s="244" customFormat="1" ht="15" thickBot="1" x14ac:dyDescent="0.4">
      <c r="A67" s="246"/>
      <c r="B67" s="649" t="s">
        <v>859</v>
      </c>
      <c r="C67" s="670" t="s">
        <v>717</v>
      </c>
      <c r="D67" s="747" t="s">
        <v>846</v>
      </c>
      <c r="E67" s="650" t="s">
        <v>847</v>
      </c>
      <c r="F67" s="651">
        <v>231</v>
      </c>
      <c r="G67" s="651">
        <v>120</v>
      </c>
      <c r="H67" s="677">
        <f>G67*F67</f>
        <v>27720</v>
      </c>
      <c r="I67" s="680">
        <v>462</v>
      </c>
      <c r="J67" s="649">
        <v>2</v>
      </c>
      <c r="K67" s="651">
        <f>I67</f>
        <v>462</v>
      </c>
      <c r="L67" s="740">
        <v>365</v>
      </c>
      <c r="M67" s="651">
        <f>L67*J67*K67</f>
        <v>337260</v>
      </c>
      <c r="N67" s="740">
        <f>M67/H67</f>
        <v>12.166666666666666</v>
      </c>
      <c r="O67" s="652">
        <f>'Inputs and eligible population'!I60</f>
        <v>0</v>
      </c>
      <c r="P67" s="653">
        <f>'Inputs and eligible population'!J60</f>
        <v>0</v>
      </c>
      <c r="Q67" s="746">
        <f>N67*O67*(100%+P67)</f>
        <v>0</v>
      </c>
      <c r="R67" s="246"/>
      <c r="S67" s="246"/>
      <c r="T67" s="246"/>
      <c r="U67" s="246"/>
      <c r="V67" s="246"/>
      <c r="W67" s="246"/>
      <c r="X67" s="3"/>
    </row>
    <row r="68" spans="1:26" s="244" customFormat="1" ht="15" thickBot="1" x14ac:dyDescent="0.4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749">
        <f>((Q65+Q66)+(Q67))/2</f>
        <v>0</v>
      </c>
      <c r="R68" s="246"/>
      <c r="S68" s="246"/>
      <c r="T68" s="246"/>
      <c r="U68" s="246"/>
      <c r="V68" s="246"/>
      <c r="W68" s="246"/>
      <c r="X68" s="3"/>
    </row>
    <row r="69" spans="1:26" s="244" customFormat="1" ht="15" thickBot="1" x14ac:dyDescent="0.4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751"/>
      <c r="P69" s="752"/>
      <c r="Q69" s="246"/>
      <c r="R69" s="246"/>
      <c r="S69" s="679"/>
      <c r="T69" s="246"/>
      <c r="U69" s="246"/>
      <c r="V69" s="246"/>
      <c r="W69" s="246"/>
      <c r="Z69" s="3"/>
    </row>
    <row r="70" spans="1:26" s="244" customFormat="1" ht="14.5" x14ac:dyDescent="0.35">
      <c r="A70" s="246"/>
      <c r="B70" s="242"/>
      <c r="C70" s="246"/>
      <c r="D70" s="671" t="s">
        <v>815</v>
      </c>
      <c r="E70" s="672"/>
      <c r="F70" s="672"/>
      <c r="G70" s="672"/>
      <c r="H70" s="673"/>
      <c r="I70" s="671" t="s">
        <v>816</v>
      </c>
      <c r="J70" s="672"/>
      <c r="K70" s="672"/>
      <c r="L70" s="672"/>
      <c r="M70" s="672"/>
      <c r="N70" s="672"/>
      <c r="O70" s="672"/>
      <c r="P70" s="672"/>
      <c r="Q70" s="673"/>
      <c r="R70" s="246"/>
      <c r="S70" s="667"/>
      <c r="T70" s="246"/>
      <c r="U70" s="246"/>
      <c r="V70" s="246"/>
      <c r="W70" s="246"/>
      <c r="Z70" s="3"/>
    </row>
    <row r="71" spans="1:26" s="244" customFormat="1" ht="43.5" x14ac:dyDescent="0.35">
      <c r="A71" s="246"/>
      <c r="B71" s="245" t="s">
        <v>817</v>
      </c>
      <c r="C71" s="247" t="s">
        <v>818</v>
      </c>
      <c r="D71" s="674" t="s">
        <v>819</v>
      </c>
      <c r="E71" s="248" t="s">
        <v>820</v>
      </c>
      <c r="F71" s="248" t="s">
        <v>821</v>
      </c>
      <c r="G71" s="248" t="s">
        <v>822</v>
      </c>
      <c r="H71" s="675" t="s">
        <v>823</v>
      </c>
      <c r="I71" s="674" t="s">
        <v>824</v>
      </c>
      <c r="J71" s="248" t="s">
        <v>825</v>
      </c>
      <c r="K71" s="248" t="s">
        <v>826</v>
      </c>
      <c r="L71" s="248" t="s">
        <v>827</v>
      </c>
      <c r="M71" s="678" t="s">
        <v>828</v>
      </c>
      <c r="N71" s="678" t="s">
        <v>829</v>
      </c>
      <c r="O71" s="678" t="s">
        <v>830</v>
      </c>
      <c r="P71" s="245" t="s">
        <v>831</v>
      </c>
      <c r="Q71" s="675" t="s">
        <v>832</v>
      </c>
      <c r="R71" s="246"/>
      <c r="S71" s="246"/>
      <c r="T71" s="246"/>
      <c r="U71" s="246"/>
      <c r="V71" s="246"/>
      <c r="W71" s="246"/>
      <c r="X71" s="3"/>
    </row>
    <row r="72" spans="1:26" s="244" customFormat="1" ht="14.5" x14ac:dyDescent="0.35">
      <c r="A72" s="246"/>
      <c r="B72" s="738" t="s">
        <v>860</v>
      </c>
      <c r="C72" s="670" t="s">
        <v>719</v>
      </c>
      <c r="D72" s="747" t="s">
        <v>846</v>
      </c>
      <c r="E72" s="650" t="s">
        <v>847</v>
      </c>
      <c r="F72" s="651">
        <v>500</v>
      </c>
      <c r="G72" s="651">
        <v>28</v>
      </c>
      <c r="H72" s="677">
        <f>G72*F72</f>
        <v>14000</v>
      </c>
      <c r="I72" s="680">
        <v>500</v>
      </c>
      <c r="J72" s="649">
        <v>7</v>
      </c>
      <c r="K72" s="651">
        <f>I72</f>
        <v>500</v>
      </c>
      <c r="L72" s="654">
        <v>52</v>
      </c>
      <c r="M72" s="651">
        <f>L72*J72*K72</f>
        <v>182000</v>
      </c>
      <c r="N72" s="740">
        <f>M72/H72</f>
        <v>13</v>
      </c>
      <c r="O72" s="652">
        <f>'Inputs and eligible population'!I61</f>
        <v>0</v>
      </c>
      <c r="P72" s="653">
        <f>'Inputs and eligible population'!J61</f>
        <v>0</v>
      </c>
      <c r="Q72" s="681">
        <f>N72*O72*(100%+P72)</f>
        <v>0</v>
      </c>
      <c r="R72" s="246"/>
      <c r="S72" s="246"/>
      <c r="T72" s="246"/>
      <c r="U72" s="246"/>
      <c r="V72" s="246"/>
      <c r="W72" s="246"/>
      <c r="X72" s="3"/>
    </row>
    <row r="73" spans="1:26" s="244" customFormat="1" ht="15" thickBot="1" x14ac:dyDescent="0.4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679"/>
      <c r="R73" s="246"/>
      <c r="S73" s="246"/>
      <c r="T73" s="246"/>
      <c r="U73" s="246"/>
      <c r="V73" s="246"/>
      <c r="W73" s="246"/>
      <c r="X73" s="3"/>
    </row>
    <row r="74" spans="1:26" s="244" customFormat="1" ht="14.5" x14ac:dyDescent="0.35">
      <c r="A74" s="246"/>
      <c r="B74" s="242"/>
      <c r="C74" s="246"/>
      <c r="D74" s="671" t="s">
        <v>815</v>
      </c>
      <c r="E74" s="672"/>
      <c r="F74" s="672"/>
      <c r="G74" s="672"/>
      <c r="H74" s="673"/>
      <c r="I74" s="671" t="s">
        <v>816</v>
      </c>
      <c r="J74" s="682"/>
      <c r="K74" s="682"/>
      <c r="L74" s="682"/>
      <c r="M74" s="682"/>
      <c r="N74" s="682"/>
      <c r="O74" s="682"/>
      <c r="P74" s="682"/>
      <c r="Q74" s="683"/>
      <c r="R74" s="246"/>
      <c r="S74" s="246"/>
      <c r="T74" s="246"/>
      <c r="U74" s="246"/>
      <c r="V74" s="246"/>
      <c r="W74" s="246"/>
      <c r="X74" s="3"/>
    </row>
    <row r="75" spans="1:26" s="244" customFormat="1" ht="43.5" x14ac:dyDescent="0.35">
      <c r="A75" s="246"/>
      <c r="B75" s="245" t="s">
        <v>817</v>
      </c>
      <c r="C75" s="247" t="s">
        <v>818</v>
      </c>
      <c r="D75" s="674" t="s">
        <v>819</v>
      </c>
      <c r="E75" s="248" t="s">
        <v>820</v>
      </c>
      <c r="F75" s="248" t="s">
        <v>821</v>
      </c>
      <c r="G75" s="248" t="s">
        <v>822</v>
      </c>
      <c r="H75" s="675" t="s">
        <v>823</v>
      </c>
      <c r="I75" s="674" t="s">
        <v>824</v>
      </c>
      <c r="J75" s="248" t="s">
        <v>825</v>
      </c>
      <c r="K75" s="248" t="s">
        <v>826</v>
      </c>
      <c r="L75" s="248" t="s">
        <v>827</v>
      </c>
      <c r="M75" s="678" t="s">
        <v>828</v>
      </c>
      <c r="N75" s="678" t="s">
        <v>829</v>
      </c>
      <c r="O75" s="678" t="s">
        <v>830</v>
      </c>
      <c r="P75" s="245" t="s">
        <v>831</v>
      </c>
      <c r="Q75" s="675" t="s">
        <v>832</v>
      </c>
      <c r="R75" s="246"/>
      <c r="S75" s="246"/>
      <c r="T75" s="246"/>
      <c r="U75" s="246"/>
      <c r="V75" s="246"/>
      <c r="W75" s="246"/>
      <c r="X75" s="3"/>
    </row>
    <row r="76" spans="1:26" s="244" customFormat="1" ht="14.5" x14ac:dyDescent="0.35">
      <c r="A76" s="246"/>
      <c r="B76" s="738" t="s">
        <v>861</v>
      </c>
      <c r="C76" s="670" t="s">
        <v>721</v>
      </c>
      <c r="D76" s="747" t="s">
        <v>841</v>
      </c>
      <c r="E76" s="650" t="s">
        <v>842</v>
      </c>
      <c r="F76" s="651">
        <v>20</v>
      </c>
      <c r="G76" s="651">
        <v>28</v>
      </c>
      <c r="H76" s="677">
        <f>G76*F76</f>
        <v>560</v>
      </c>
      <c r="I76" s="680">
        <v>20</v>
      </c>
      <c r="J76" s="649">
        <v>7</v>
      </c>
      <c r="K76" s="651">
        <f>I76</f>
        <v>20</v>
      </c>
      <c r="L76" s="654">
        <v>52</v>
      </c>
      <c r="M76" s="739">
        <f>L76*J76*K76</f>
        <v>7280</v>
      </c>
      <c r="N76" s="739">
        <f>M76/H76</f>
        <v>13</v>
      </c>
      <c r="O76" s="652">
        <f>'Inputs and eligible population'!I62</f>
        <v>0</v>
      </c>
      <c r="P76" s="653">
        <f>'Inputs and eligible population'!J62</f>
        <v>0</v>
      </c>
      <c r="Q76" s="681">
        <f>N76*O76*(100%+P76)</f>
        <v>0</v>
      </c>
      <c r="R76" s="246"/>
      <c r="S76" s="246"/>
      <c r="T76" s="246"/>
      <c r="U76" s="246"/>
      <c r="V76" s="246"/>
      <c r="W76" s="246"/>
      <c r="X76" s="3"/>
    </row>
    <row r="77" spans="1:26" s="244" customFormat="1" ht="15" thickBot="1" x14ac:dyDescent="0.4">
      <c r="A77" s="246"/>
      <c r="B77" s="242"/>
      <c r="C77" s="246"/>
      <c r="D77" s="246"/>
      <c r="E77" s="246"/>
      <c r="F77" s="246"/>
      <c r="G77" s="246"/>
      <c r="H77" s="246"/>
      <c r="I77" s="246"/>
      <c r="J77" s="246"/>
      <c r="K77" s="246"/>
      <c r="L77" s="632"/>
      <c r="M77" s="632"/>
      <c r="N77" s="632"/>
      <c r="O77" s="246"/>
      <c r="P77" s="246"/>
      <c r="Q77" s="246"/>
      <c r="R77" s="246"/>
      <c r="S77" s="246"/>
      <c r="T77" s="246"/>
      <c r="U77" s="246"/>
      <c r="V77" s="246"/>
      <c r="W77" s="246"/>
      <c r="X77" s="3"/>
    </row>
    <row r="78" spans="1:26" s="244" customFormat="1" ht="14.5" x14ac:dyDescent="0.35">
      <c r="A78" s="246"/>
      <c r="B78" s="242"/>
      <c r="C78" s="246"/>
      <c r="D78" s="671" t="s">
        <v>815</v>
      </c>
      <c r="E78" s="672"/>
      <c r="F78" s="672"/>
      <c r="G78" s="672"/>
      <c r="H78" s="673"/>
      <c r="I78" s="671" t="s">
        <v>816</v>
      </c>
      <c r="J78" s="682"/>
      <c r="K78" s="682"/>
      <c r="L78" s="682"/>
      <c r="M78" s="682"/>
      <c r="N78" s="682"/>
      <c r="O78" s="682"/>
      <c r="P78" s="682"/>
      <c r="Q78" s="683"/>
      <c r="R78" s="246"/>
      <c r="S78" s="246"/>
      <c r="T78" s="246"/>
      <c r="U78" s="246"/>
      <c r="V78" s="246"/>
      <c r="W78" s="246"/>
      <c r="X78" s="3"/>
    </row>
    <row r="79" spans="1:26" s="244" customFormat="1" ht="43.5" x14ac:dyDescent="0.35">
      <c r="A79" s="246"/>
      <c r="B79" s="245" t="s">
        <v>817</v>
      </c>
      <c r="C79" s="247" t="s">
        <v>818</v>
      </c>
      <c r="D79" s="674" t="s">
        <v>819</v>
      </c>
      <c r="E79" s="248" t="s">
        <v>820</v>
      </c>
      <c r="F79" s="248" t="s">
        <v>821</v>
      </c>
      <c r="G79" s="248" t="s">
        <v>822</v>
      </c>
      <c r="H79" s="675" t="s">
        <v>823</v>
      </c>
      <c r="I79" s="674" t="s">
        <v>824</v>
      </c>
      <c r="J79" s="248" t="s">
        <v>825</v>
      </c>
      <c r="K79" s="248" t="s">
        <v>826</v>
      </c>
      <c r="L79" s="248" t="s">
        <v>827</v>
      </c>
      <c r="M79" s="678" t="s">
        <v>828</v>
      </c>
      <c r="N79" s="678" t="s">
        <v>829</v>
      </c>
      <c r="O79" s="678" t="s">
        <v>830</v>
      </c>
      <c r="P79" s="245" t="s">
        <v>831</v>
      </c>
      <c r="Q79" s="675" t="s">
        <v>832</v>
      </c>
      <c r="R79" s="246"/>
      <c r="S79" s="246"/>
      <c r="T79" s="246"/>
      <c r="U79" s="246"/>
      <c r="V79" s="246"/>
      <c r="W79" s="246"/>
      <c r="X79" s="3"/>
    </row>
    <row r="80" spans="1:26" s="244" customFormat="1" ht="29" x14ac:dyDescent="0.35">
      <c r="A80" s="246"/>
      <c r="B80" s="738" t="s">
        <v>862</v>
      </c>
      <c r="C80" s="783" t="s">
        <v>863</v>
      </c>
      <c r="D80" s="747" t="s">
        <v>841</v>
      </c>
      <c r="E80" s="650" t="s">
        <v>842</v>
      </c>
      <c r="F80" s="651">
        <v>22</v>
      </c>
      <c r="G80" s="651">
        <v>12</v>
      </c>
      <c r="H80" s="677">
        <f>G80*F80</f>
        <v>264</v>
      </c>
      <c r="I80" s="680">
        <v>22</v>
      </c>
      <c r="J80" s="649">
        <v>3</v>
      </c>
      <c r="K80" s="651">
        <f>I80</f>
        <v>22</v>
      </c>
      <c r="L80" s="654">
        <v>52</v>
      </c>
      <c r="M80" s="739">
        <f>L80*J80*K80</f>
        <v>3432</v>
      </c>
      <c r="N80" s="739">
        <f>M80/H80</f>
        <v>13</v>
      </c>
      <c r="O80" s="652">
        <f>'Inputs and eligible population'!I63</f>
        <v>0</v>
      </c>
      <c r="P80" s="653">
        <f>'Inputs and eligible population'!J63</f>
        <v>0</v>
      </c>
      <c r="Q80" s="681">
        <f>N80*O80*(100%+P80)</f>
        <v>0</v>
      </c>
      <c r="R80" s="246"/>
      <c r="S80" s="246"/>
      <c r="T80" s="246"/>
      <c r="U80" s="246"/>
      <c r="V80" s="246"/>
      <c r="W80" s="246"/>
      <c r="X80" s="3"/>
    </row>
    <row r="81" spans="1:24" s="244" customFormat="1" ht="15" thickBot="1" x14ac:dyDescent="0.4">
      <c r="A81" s="246"/>
      <c r="B81" s="242"/>
      <c r="C81" s="246"/>
      <c r="D81" s="246"/>
      <c r="E81" s="246"/>
      <c r="F81" s="246"/>
      <c r="G81" s="246"/>
      <c r="H81" s="246"/>
      <c r="I81" s="246"/>
      <c r="J81" s="246"/>
      <c r="K81" s="246"/>
      <c r="L81" s="632"/>
      <c r="M81" s="632"/>
      <c r="N81" s="632"/>
      <c r="O81" s="246"/>
      <c r="P81" s="246"/>
      <c r="Q81" s="246"/>
      <c r="R81" s="246"/>
      <c r="S81" s="246"/>
      <c r="T81" s="246"/>
      <c r="U81" s="246"/>
      <c r="V81" s="246"/>
      <c r="W81" s="246"/>
      <c r="X81" s="3"/>
    </row>
    <row r="82" spans="1:24" s="244" customFormat="1" ht="14.5" x14ac:dyDescent="0.35">
      <c r="A82" s="246"/>
      <c r="B82" s="242"/>
      <c r="C82" s="246"/>
      <c r="D82" s="671" t="s">
        <v>815</v>
      </c>
      <c r="E82" s="672"/>
      <c r="F82" s="672"/>
      <c r="G82" s="672"/>
      <c r="H82" s="673"/>
      <c r="I82" s="671" t="s">
        <v>816</v>
      </c>
      <c r="J82" s="682"/>
      <c r="K82" s="682"/>
      <c r="L82" s="682"/>
      <c r="M82" s="682"/>
      <c r="N82" s="682"/>
      <c r="O82" s="682"/>
      <c r="P82" s="682"/>
      <c r="Q82" s="683"/>
      <c r="R82" s="246"/>
      <c r="S82" s="246"/>
      <c r="T82" s="246"/>
      <c r="U82" s="246"/>
      <c r="V82" s="246"/>
      <c r="W82" s="246"/>
      <c r="X82" s="3"/>
    </row>
    <row r="83" spans="1:24" s="244" customFormat="1" ht="43.5" x14ac:dyDescent="0.35">
      <c r="A83" s="246"/>
      <c r="B83" s="245" t="s">
        <v>817</v>
      </c>
      <c r="C83" s="247" t="s">
        <v>818</v>
      </c>
      <c r="D83" s="674" t="s">
        <v>819</v>
      </c>
      <c r="E83" s="248" t="s">
        <v>820</v>
      </c>
      <c r="F83" s="248" t="s">
        <v>821</v>
      </c>
      <c r="G83" s="248" t="s">
        <v>822</v>
      </c>
      <c r="H83" s="675" t="s">
        <v>823</v>
      </c>
      <c r="I83" s="674" t="s">
        <v>824</v>
      </c>
      <c r="J83" s="248" t="s">
        <v>825</v>
      </c>
      <c r="K83" s="248" t="s">
        <v>826</v>
      </c>
      <c r="L83" s="248" t="s">
        <v>827</v>
      </c>
      <c r="M83" s="678" t="s">
        <v>828</v>
      </c>
      <c r="N83" s="678" t="s">
        <v>829</v>
      </c>
      <c r="O83" s="678" t="s">
        <v>830</v>
      </c>
      <c r="P83" s="245" t="s">
        <v>831</v>
      </c>
      <c r="Q83" s="675" t="s">
        <v>832</v>
      </c>
      <c r="R83" s="246"/>
      <c r="S83" s="246"/>
      <c r="T83" s="246"/>
      <c r="U83" s="246"/>
      <c r="V83" s="246"/>
      <c r="W83" s="246"/>
      <c r="X83" s="3"/>
    </row>
    <row r="84" spans="1:24" s="244" customFormat="1" ht="29" x14ac:dyDescent="0.35">
      <c r="A84" s="246"/>
      <c r="B84" s="738" t="s">
        <v>864</v>
      </c>
      <c r="C84" s="783" t="s">
        <v>865</v>
      </c>
      <c r="D84" s="747" t="s">
        <v>866</v>
      </c>
      <c r="E84" s="650" t="s">
        <v>842</v>
      </c>
      <c r="F84" s="651">
        <v>30</v>
      </c>
      <c r="G84" s="651">
        <v>12</v>
      </c>
      <c r="H84" s="677">
        <f>G84*F84</f>
        <v>360</v>
      </c>
      <c r="I84" s="680">
        <v>30</v>
      </c>
      <c r="J84" s="649">
        <v>1</v>
      </c>
      <c r="K84" s="651">
        <f>I84</f>
        <v>30</v>
      </c>
      <c r="L84" s="654">
        <v>52</v>
      </c>
      <c r="M84" s="739">
        <f>L84*J84*K84</f>
        <v>1560</v>
      </c>
      <c r="N84" s="739">
        <f>M84/H84</f>
        <v>4.333333333333333</v>
      </c>
      <c r="O84" s="652">
        <f>'Inputs and eligible population'!I64</f>
        <v>0</v>
      </c>
      <c r="P84" s="653">
        <f>'Inputs and eligible population'!J64</f>
        <v>0</v>
      </c>
      <c r="Q84" s="681">
        <f>N84*O84*(100%+P84)</f>
        <v>0</v>
      </c>
      <c r="R84" s="246"/>
      <c r="S84" s="246"/>
      <c r="T84" s="246"/>
      <c r="U84" s="246"/>
      <c r="V84" s="246"/>
      <c r="W84" s="246"/>
      <c r="X84" s="3"/>
    </row>
    <row r="85" spans="1:24" s="244" customFormat="1" ht="15" thickBot="1" x14ac:dyDescent="0.4">
      <c r="A85" s="246"/>
      <c r="B85" s="242"/>
      <c r="C85" s="246"/>
      <c r="D85" s="246"/>
      <c r="E85" s="246"/>
      <c r="F85" s="246"/>
      <c r="G85" s="246"/>
      <c r="H85" s="246"/>
      <c r="I85" s="246"/>
      <c r="J85" s="246"/>
      <c r="K85" s="246"/>
      <c r="L85" s="632"/>
      <c r="M85" s="632"/>
      <c r="N85" s="632"/>
      <c r="O85" s="246"/>
      <c r="P85" s="246"/>
      <c r="Q85" s="246"/>
      <c r="R85" s="246"/>
      <c r="S85" s="246"/>
      <c r="T85" s="246"/>
      <c r="U85" s="246"/>
      <c r="V85" s="246"/>
      <c r="W85" s="246"/>
      <c r="X85" s="3"/>
    </row>
    <row r="86" spans="1:24" s="244" customFormat="1" ht="14.5" x14ac:dyDescent="0.35">
      <c r="A86" s="246"/>
      <c r="B86" s="242"/>
      <c r="C86" s="246"/>
      <c r="D86" s="671" t="s">
        <v>815</v>
      </c>
      <c r="E86" s="672"/>
      <c r="F86" s="672"/>
      <c r="G86" s="672"/>
      <c r="H86" s="673"/>
      <c r="I86" s="671" t="s">
        <v>816</v>
      </c>
      <c r="J86" s="682"/>
      <c r="K86" s="682"/>
      <c r="L86" s="682"/>
      <c r="M86" s="682"/>
      <c r="N86" s="682"/>
      <c r="O86" s="682"/>
      <c r="P86" s="682"/>
      <c r="Q86" s="683"/>
      <c r="R86" s="246"/>
      <c r="S86" s="246"/>
      <c r="T86" s="246"/>
      <c r="U86" s="246"/>
      <c r="V86" s="246"/>
      <c r="W86" s="246"/>
      <c r="X86" s="3"/>
    </row>
    <row r="87" spans="1:24" s="244" customFormat="1" ht="43.5" x14ac:dyDescent="0.35">
      <c r="A87" s="246"/>
      <c r="B87" s="245" t="s">
        <v>817</v>
      </c>
      <c r="C87" s="247" t="s">
        <v>818</v>
      </c>
      <c r="D87" s="674" t="s">
        <v>819</v>
      </c>
      <c r="E87" s="248" t="s">
        <v>820</v>
      </c>
      <c r="F87" s="248" t="s">
        <v>821</v>
      </c>
      <c r="G87" s="248" t="s">
        <v>822</v>
      </c>
      <c r="H87" s="675" t="s">
        <v>823</v>
      </c>
      <c r="I87" s="674" t="s">
        <v>824</v>
      </c>
      <c r="J87" s="248" t="s">
        <v>825</v>
      </c>
      <c r="K87" s="248" t="s">
        <v>826</v>
      </c>
      <c r="L87" s="248" t="s">
        <v>827</v>
      </c>
      <c r="M87" s="678" t="s">
        <v>828</v>
      </c>
      <c r="N87" s="678" t="s">
        <v>829</v>
      </c>
      <c r="O87" s="678" t="s">
        <v>830</v>
      </c>
      <c r="P87" s="245" t="s">
        <v>831</v>
      </c>
      <c r="Q87" s="675" t="s">
        <v>832</v>
      </c>
      <c r="R87" s="246"/>
      <c r="S87" s="246"/>
      <c r="T87" s="246"/>
      <c r="U87" s="246"/>
      <c r="V87" s="246"/>
      <c r="W87" s="246"/>
      <c r="X87" s="3"/>
    </row>
    <row r="88" spans="1:24" s="244" customFormat="1" ht="29" x14ac:dyDescent="0.35">
      <c r="A88" s="246"/>
      <c r="B88" s="738" t="s">
        <v>867</v>
      </c>
      <c r="C88" s="783" t="s">
        <v>727</v>
      </c>
      <c r="D88" s="747" t="s">
        <v>841</v>
      </c>
      <c r="E88" s="650" t="s">
        <v>842</v>
      </c>
      <c r="F88" s="651">
        <v>44</v>
      </c>
      <c r="G88" s="651">
        <v>12</v>
      </c>
      <c r="H88" s="677">
        <f>G88*F88</f>
        <v>528</v>
      </c>
      <c r="I88" s="680">
        <v>44</v>
      </c>
      <c r="J88" s="649">
        <v>3</v>
      </c>
      <c r="K88" s="651">
        <f>I88</f>
        <v>44</v>
      </c>
      <c r="L88" s="654">
        <v>52</v>
      </c>
      <c r="M88" s="739">
        <f>L88*J88*K88</f>
        <v>6864</v>
      </c>
      <c r="N88" s="739">
        <f>M88/H88</f>
        <v>13</v>
      </c>
      <c r="O88" s="652">
        <f>'Inputs and eligible population'!I65</f>
        <v>0</v>
      </c>
      <c r="P88" s="653">
        <f>'Inputs and eligible population'!J65</f>
        <v>0</v>
      </c>
      <c r="Q88" s="681">
        <f>N88*O88*(100%+P88)</f>
        <v>0</v>
      </c>
      <c r="R88" s="246"/>
      <c r="S88" s="246"/>
      <c r="T88" s="246"/>
      <c r="U88" s="246"/>
      <c r="V88" s="246"/>
      <c r="W88" s="246"/>
      <c r="X88" s="3"/>
    </row>
    <row r="89" spans="1:24" s="244" customFormat="1" ht="15" thickBot="1" x14ac:dyDescent="0.4">
      <c r="A89" s="246"/>
      <c r="B89" s="242"/>
      <c r="C89" s="246"/>
      <c r="D89" s="246"/>
      <c r="E89" s="246"/>
      <c r="F89" s="246"/>
      <c r="G89" s="246"/>
      <c r="H89" s="246"/>
      <c r="I89" s="246"/>
      <c r="J89" s="246"/>
      <c r="K89" s="246"/>
      <c r="L89" s="632"/>
      <c r="M89" s="632"/>
      <c r="N89" s="632"/>
      <c r="O89" s="246"/>
      <c r="P89" s="246"/>
      <c r="Q89" s="246"/>
      <c r="R89" s="246"/>
      <c r="S89" s="246"/>
      <c r="T89" s="246"/>
      <c r="U89" s="246"/>
      <c r="V89" s="246"/>
      <c r="W89" s="246"/>
      <c r="X89" s="3"/>
    </row>
    <row r="90" spans="1:24" s="244" customFormat="1" ht="14.5" x14ac:dyDescent="0.35">
      <c r="A90" s="246"/>
      <c r="B90" s="242"/>
      <c r="C90" s="246"/>
      <c r="D90" s="671" t="s">
        <v>815</v>
      </c>
      <c r="E90" s="672"/>
      <c r="F90" s="672"/>
      <c r="G90" s="672"/>
      <c r="H90" s="673"/>
      <c r="I90" s="671" t="s">
        <v>816</v>
      </c>
      <c r="J90" s="682"/>
      <c r="K90" s="682"/>
      <c r="L90" s="682"/>
      <c r="M90" s="682"/>
      <c r="N90" s="682"/>
      <c r="O90" s="682"/>
      <c r="P90" s="682"/>
      <c r="Q90" s="683"/>
      <c r="R90" s="246"/>
      <c r="S90" s="246"/>
      <c r="T90" s="246"/>
      <c r="U90" s="246"/>
      <c r="V90" s="246"/>
      <c r="W90" s="246"/>
      <c r="X90" s="3"/>
    </row>
    <row r="91" spans="1:24" s="244" customFormat="1" ht="43.5" x14ac:dyDescent="0.35">
      <c r="A91" s="246"/>
      <c r="B91" s="245" t="s">
        <v>817</v>
      </c>
      <c r="C91" s="247" t="s">
        <v>818</v>
      </c>
      <c r="D91" s="674" t="s">
        <v>819</v>
      </c>
      <c r="E91" s="248" t="s">
        <v>820</v>
      </c>
      <c r="F91" s="248" t="s">
        <v>821</v>
      </c>
      <c r="G91" s="248" t="s">
        <v>822</v>
      </c>
      <c r="H91" s="675" t="s">
        <v>823</v>
      </c>
      <c r="I91" s="674" t="s">
        <v>824</v>
      </c>
      <c r="J91" s="248" t="s">
        <v>825</v>
      </c>
      <c r="K91" s="248" t="s">
        <v>826</v>
      </c>
      <c r="L91" s="248" t="s">
        <v>827</v>
      </c>
      <c r="M91" s="678" t="s">
        <v>828</v>
      </c>
      <c r="N91" s="678" t="s">
        <v>829</v>
      </c>
      <c r="O91" s="678" t="s">
        <v>830</v>
      </c>
      <c r="P91" s="245" t="s">
        <v>831</v>
      </c>
      <c r="Q91" s="675" t="s">
        <v>832</v>
      </c>
      <c r="R91" s="246"/>
      <c r="S91" s="246"/>
      <c r="T91" s="246"/>
      <c r="U91" s="246"/>
      <c r="V91" s="246"/>
      <c r="W91" s="246"/>
      <c r="X91" s="3"/>
    </row>
    <row r="92" spans="1:24" s="244" customFormat="1" ht="29" x14ac:dyDescent="0.35">
      <c r="A92" s="246"/>
      <c r="B92" s="738" t="s">
        <v>868</v>
      </c>
      <c r="C92" s="783" t="s">
        <v>729</v>
      </c>
      <c r="D92" s="747" t="s">
        <v>841</v>
      </c>
      <c r="E92" s="650" t="s">
        <v>842</v>
      </c>
      <c r="F92" s="651">
        <v>300</v>
      </c>
      <c r="G92" s="651">
        <v>15</v>
      </c>
      <c r="H92" s="677">
        <f>G92*F92</f>
        <v>4500</v>
      </c>
      <c r="I92" s="680">
        <v>250</v>
      </c>
      <c r="J92" s="649">
        <v>1</v>
      </c>
      <c r="K92" s="651">
        <f>I92</f>
        <v>250</v>
      </c>
      <c r="L92" s="654">
        <f>365/2</f>
        <v>182.5</v>
      </c>
      <c r="M92" s="739">
        <f>L92*J92*K92</f>
        <v>45625</v>
      </c>
      <c r="N92" s="739">
        <f>M92/H92</f>
        <v>10.138888888888889</v>
      </c>
      <c r="O92" s="652">
        <f>'Inputs and eligible population'!I66</f>
        <v>0</v>
      </c>
      <c r="P92" s="653">
        <f>'Inputs and eligible population'!J66</f>
        <v>0</v>
      </c>
      <c r="Q92" s="681">
        <f>N92*O92*(100%+P92)</f>
        <v>0</v>
      </c>
      <c r="R92" s="246"/>
      <c r="S92" s="246"/>
      <c r="T92" s="246"/>
      <c r="U92" s="246"/>
      <c r="V92" s="246"/>
      <c r="W92" s="246"/>
      <c r="X92" s="3"/>
    </row>
    <row r="93" spans="1:24" s="244" customFormat="1" ht="15" thickBot="1" x14ac:dyDescent="0.4">
      <c r="A93" s="246"/>
      <c r="B93" s="242"/>
      <c r="C93" s="246"/>
      <c r="D93" s="246"/>
      <c r="E93" s="246"/>
      <c r="F93" s="246"/>
      <c r="G93" s="246"/>
      <c r="H93" s="246"/>
      <c r="I93" s="246"/>
      <c r="J93" s="246"/>
      <c r="K93" s="246"/>
      <c r="L93" s="632"/>
      <c r="M93" s="632"/>
      <c r="N93" s="632"/>
      <c r="O93" s="246"/>
      <c r="P93" s="246"/>
      <c r="Q93" s="246"/>
      <c r="R93" s="246"/>
      <c r="S93" s="246"/>
      <c r="T93" s="246"/>
      <c r="U93" s="246"/>
      <c r="V93" s="246"/>
      <c r="W93" s="246"/>
      <c r="X93" s="3"/>
    </row>
    <row r="94" spans="1:24" s="244" customFormat="1" ht="14.5" x14ac:dyDescent="0.35">
      <c r="A94" s="246"/>
      <c r="B94" s="246"/>
      <c r="C94" s="246"/>
      <c r="D94" s="671" t="s">
        <v>815</v>
      </c>
      <c r="E94" s="672"/>
      <c r="F94" s="672"/>
      <c r="G94" s="672"/>
      <c r="H94" s="673"/>
      <c r="I94" s="671" t="s">
        <v>816</v>
      </c>
      <c r="J94" s="682"/>
      <c r="K94" s="682"/>
      <c r="L94" s="684"/>
      <c r="M94" s="684"/>
      <c r="N94" s="684"/>
      <c r="O94" s="682"/>
      <c r="P94" s="682"/>
      <c r="Q94" s="683"/>
      <c r="R94" s="246"/>
      <c r="S94" s="246"/>
      <c r="T94" s="246"/>
      <c r="U94" s="246"/>
      <c r="V94" s="246"/>
      <c r="W94" s="246"/>
      <c r="X94" s="3"/>
    </row>
    <row r="95" spans="1:24" s="244" customFormat="1" ht="43.5" x14ac:dyDescent="0.35">
      <c r="A95" s="246"/>
      <c r="B95" s="245" t="s">
        <v>817</v>
      </c>
      <c r="C95" s="247" t="s">
        <v>818</v>
      </c>
      <c r="D95" s="674" t="s">
        <v>819</v>
      </c>
      <c r="E95" s="248" t="s">
        <v>820</v>
      </c>
      <c r="F95" s="248" t="s">
        <v>821</v>
      </c>
      <c r="G95" s="248" t="s">
        <v>822</v>
      </c>
      <c r="H95" s="675" t="s">
        <v>823</v>
      </c>
      <c r="I95" s="674" t="s">
        <v>824</v>
      </c>
      <c r="J95" s="248" t="s">
        <v>825</v>
      </c>
      <c r="K95" s="248" t="s">
        <v>826</v>
      </c>
      <c r="L95" s="248" t="s">
        <v>827</v>
      </c>
      <c r="M95" s="678" t="s">
        <v>828</v>
      </c>
      <c r="N95" s="678" t="s">
        <v>829</v>
      </c>
      <c r="O95" s="678" t="s">
        <v>830</v>
      </c>
      <c r="P95" s="245" t="s">
        <v>831</v>
      </c>
      <c r="Q95" s="675" t="s">
        <v>832</v>
      </c>
      <c r="R95" s="246"/>
      <c r="S95" s="246"/>
      <c r="T95" s="246"/>
      <c r="U95" s="246"/>
      <c r="V95" s="246"/>
      <c r="W95" s="246"/>
      <c r="X95" s="3"/>
    </row>
    <row r="96" spans="1:24" s="244" customFormat="1" ht="14.5" x14ac:dyDescent="0.35">
      <c r="A96" s="246"/>
      <c r="B96" s="738" t="s">
        <v>869</v>
      </c>
      <c r="C96" s="670" t="s">
        <v>731</v>
      </c>
      <c r="D96" s="676" t="s">
        <v>8</v>
      </c>
      <c r="E96" s="650" t="s">
        <v>834</v>
      </c>
      <c r="F96" s="651">
        <v>300</v>
      </c>
      <c r="G96" s="651">
        <v>1</v>
      </c>
      <c r="H96" s="677">
        <f>G96*F96</f>
        <v>300</v>
      </c>
      <c r="I96" s="680">
        <v>300</v>
      </c>
      <c r="J96" s="649">
        <v>1</v>
      </c>
      <c r="K96" s="651">
        <f>I96</f>
        <v>300</v>
      </c>
      <c r="L96" s="649">
        <v>13</v>
      </c>
      <c r="M96" s="649">
        <f>L96*J96*K96</f>
        <v>3900</v>
      </c>
      <c r="N96" s="649">
        <f>M96/H96</f>
        <v>13</v>
      </c>
      <c r="O96" s="652">
        <f>'Inputs and eligible population'!I67</f>
        <v>0</v>
      </c>
      <c r="P96" s="653">
        <f>'Inputs and eligible population'!J67</f>
        <v>0.2</v>
      </c>
      <c r="Q96" s="681">
        <f>N96*O96*(100%+P96)</f>
        <v>0</v>
      </c>
      <c r="R96" s="246"/>
      <c r="S96" s="246"/>
      <c r="T96" s="246"/>
      <c r="U96" s="246"/>
      <c r="V96" s="246"/>
      <c r="W96" s="246"/>
      <c r="X96" s="3"/>
    </row>
    <row r="97" spans="1:26" s="244" customFormat="1" ht="15" thickBot="1" x14ac:dyDescent="0.4">
      <c r="A97" s="246"/>
      <c r="B97" s="242"/>
      <c r="C97" s="246"/>
      <c r="D97" s="246"/>
      <c r="E97" s="246"/>
      <c r="F97" s="246"/>
      <c r="G97" s="246"/>
      <c r="H97" s="246"/>
      <c r="I97" s="246"/>
      <c r="J97" s="246"/>
      <c r="K97" s="246"/>
      <c r="L97" s="632"/>
      <c r="M97" s="632"/>
      <c r="N97" s="632"/>
      <c r="O97" s="246"/>
      <c r="P97" s="246"/>
      <c r="Q97" s="246"/>
      <c r="R97" s="246"/>
      <c r="S97" s="246"/>
      <c r="T97" s="246"/>
      <c r="U97" s="246"/>
      <c r="V97" s="246"/>
      <c r="W97" s="246"/>
      <c r="X97" s="3"/>
    </row>
    <row r="98" spans="1:26" s="244" customFormat="1" ht="14.5" x14ac:dyDescent="0.35">
      <c r="A98" s="246"/>
      <c r="B98" s="242"/>
      <c r="C98" s="246"/>
      <c r="D98" s="671" t="s">
        <v>815</v>
      </c>
      <c r="E98" s="672"/>
      <c r="F98" s="672"/>
      <c r="G98" s="672"/>
      <c r="H98" s="673"/>
      <c r="I98" s="671" t="s">
        <v>816</v>
      </c>
      <c r="J98" s="682"/>
      <c r="K98" s="682"/>
      <c r="L98" s="682"/>
      <c r="M98" s="682"/>
      <c r="N98" s="682"/>
      <c r="O98" s="682"/>
      <c r="P98" s="682"/>
      <c r="Q98" s="683"/>
      <c r="R98" s="246"/>
      <c r="S98" s="246"/>
      <c r="T98" s="246"/>
      <c r="U98" s="246"/>
      <c r="V98" s="246"/>
      <c r="W98" s="246"/>
      <c r="X98" s="3"/>
    </row>
    <row r="99" spans="1:26" s="244" customFormat="1" ht="43.5" x14ac:dyDescent="0.35">
      <c r="A99" s="246"/>
      <c r="B99" s="245" t="s">
        <v>817</v>
      </c>
      <c r="C99" s="247" t="s">
        <v>818</v>
      </c>
      <c r="D99" s="674" t="s">
        <v>819</v>
      </c>
      <c r="E99" s="248" t="s">
        <v>820</v>
      </c>
      <c r="F99" s="248" t="s">
        <v>821</v>
      </c>
      <c r="G99" s="248" t="s">
        <v>822</v>
      </c>
      <c r="H99" s="675" t="s">
        <v>823</v>
      </c>
      <c r="I99" s="674" t="s">
        <v>824</v>
      </c>
      <c r="J99" s="248" t="s">
        <v>825</v>
      </c>
      <c r="K99" s="248" t="s">
        <v>826</v>
      </c>
      <c r="L99" s="248" t="s">
        <v>827</v>
      </c>
      <c r="M99" s="678" t="s">
        <v>828</v>
      </c>
      <c r="N99" s="678" t="s">
        <v>829</v>
      </c>
      <c r="O99" s="678" t="s">
        <v>830</v>
      </c>
      <c r="P99" s="245" t="s">
        <v>831</v>
      </c>
      <c r="Q99" s="675" t="s">
        <v>832</v>
      </c>
      <c r="R99" s="246"/>
      <c r="S99" s="246"/>
      <c r="T99" s="246"/>
      <c r="U99" s="246"/>
      <c r="V99" s="246"/>
      <c r="W99" s="246"/>
      <c r="X99" s="3"/>
    </row>
    <row r="100" spans="1:26" s="244" customFormat="1" ht="29" x14ac:dyDescent="0.35">
      <c r="A100" s="246"/>
      <c r="B100" s="738" t="s">
        <v>870</v>
      </c>
      <c r="C100" s="783" t="s">
        <v>871</v>
      </c>
      <c r="D100" s="747" t="s">
        <v>841</v>
      </c>
      <c r="E100" s="650" t="s">
        <v>842</v>
      </c>
      <c r="F100" s="651">
        <v>125</v>
      </c>
      <c r="G100" s="651">
        <v>2</v>
      </c>
      <c r="H100" s="677">
        <f>G100*F100</f>
        <v>250</v>
      </c>
      <c r="I100" s="680">
        <v>125</v>
      </c>
      <c r="J100" s="649">
        <v>2</v>
      </c>
      <c r="K100" s="651">
        <f>I100</f>
        <v>125</v>
      </c>
      <c r="L100" s="654">
        <v>13</v>
      </c>
      <c r="M100" s="739">
        <f>L100*J100*K100</f>
        <v>3250</v>
      </c>
      <c r="N100" s="739">
        <f>M100/H100</f>
        <v>13</v>
      </c>
      <c r="O100" s="652">
        <f>'Inputs and eligible population'!I68</f>
        <v>0</v>
      </c>
      <c r="P100" s="653">
        <f>'Inputs and eligible population'!J68</f>
        <v>0</v>
      </c>
      <c r="Q100" s="681">
        <f>N100*O100*(100%+P100)</f>
        <v>0</v>
      </c>
      <c r="R100" s="246"/>
      <c r="S100" s="246"/>
      <c r="T100" s="246"/>
      <c r="U100" s="246"/>
      <c r="V100" s="246"/>
      <c r="W100" s="246"/>
      <c r="X100" s="3"/>
    </row>
    <row r="101" spans="1:26" s="244" customFormat="1" ht="15" thickBot="1" x14ac:dyDescent="0.4">
      <c r="A101" s="246"/>
      <c r="B101" s="242"/>
      <c r="C101" s="246"/>
      <c r="D101" s="246"/>
      <c r="E101" s="246"/>
      <c r="F101" s="246"/>
      <c r="G101" s="246"/>
      <c r="H101" s="246"/>
      <c r="I101" s="246"/>
      <c r="J101" s="246"/>
      <c r="K101" s="246"/>
      <c r="L101" s="632"/>
      <c r="M101" s="632"/>
      <c r="N101" s="632"/>
      <c r="O101" s="246"/>
      <c r="P101" s="246"/>
      <c r="Q101" s="246"/>
      <c r="R101" s="246"/>
      <c r="S101" s="246"/>
      <c r="T101" s="246"/>
      <c r="U101" s="246"/>
      <c r="V101" s="246"/>
      <c r="W101" s="246"/>
      <c r="X101" s="3"/>
    </row>
    <row r="102" spans="1:26" s="244" customFormat="1" ht="14.5" x14ac:dyDescent="0.35">
      <c r="A102" s="246"/>
      <c r="B102" s="242"/>
      <c r="C102" s="246"/>
      <c r="D102" s="671" t="s">
        <v>815</v>
      </c>
      <c r="E102" s="672"/>
      <c r="F102" s="672"/>
      <c r="G102" s="672"/>
      <c r="H102" s="673"/>
      <c r="I102" s="671" t="s">
        <v>816</v>
      </c>
      <c r="J102" s="682"/>
      <c r="K102" s="682"/>
      <c r="L102" s="684"/>
      <c r="M102" s="684"/>
      <c r="N102" s="684"/>
      <c r="O102" s="682"/>
      <c r="P102" s="682"/>
      <c r="Q102" s="683"/>
      <c r="R102" s="246"/>
      <c r="S102" s="246"/>
      <c r="T102" s="246"/>
      <c r="U102" s="246"/>
      <c r="V102" s="246"/>
      <c r="W102" s="246"/>
      <c r="X102" s="3"/>
    </row>
    <row r="103" spans="1:26" s="244" customFormat="1" ht="43.5" x14ac:dyDescent="0.35">
      <c r="A103" s="246"/>
      <c r="B103" s="245" t="s">
        <v>817</v>
      </c>
      <c r="C103" s="247" t="s">
        <v>818</v>
      </c>
      <c r="D103" s="674" t="s">
        <v>819</v>
      </c>
      <c r="E103" s="248" t="s">
        <v>820</v>
      </c>
      <c r="F103" s="248" t="s">
        <v>821</v>
      </c>
      <c r="G103" s="248" t="s">
        <v>822</v>
      </c>
      <c r="H103" s="675" t="s">
        <v>823</v>
      </c>
      <c r="I103" s="674" t="s">
        <v>824</v>
      </c>
      <c r="J103" s="248" t="s">
        <v>825</v>
      </c>
      <c r="K103" s="248" t="s">
        <v>826</v>
      </c>
      <c r="L103" s="248" t="s">
        <v>827</v>
      </c>
      <c r="M103" s="678" t="s">
        <v>828</v>
      </c>
      <c r="N103" s="678" t="s">
        <v>829</v>
      </c>
      <c r="O103" s="678" t="s">
        <v>830</v>
      </c>
      <c r="P103" s="245" t="s">
        <v>831</v>
      </c>
      <c r="Q103" s="675" t="s">
        <v>832</v>
      </c>
      <c r="R103" s="246"/>
      <c r="S103" s="246"/>
      <c r="T103" s="246"/>
      <c r="U103" s="246"/>
      <c r="V103" s="246"/>
      <c r="W103" s="246"/>
      <c r="X103" s="3"/>
    </row>
    <row r="104" spans="1:26" s="244" customFormat="1" ht="14.5" x14ac:dyDescent="0.35">
      <c r="A104" s="246"/>
      <c r="B104" s="738" t="s">
        <v>872</v>
      </c>
      <c r="C104" s="670" t="s">
        <v>735</v>
      </c>
      <c r="D104" s="747" t="s">
        <v>846</v>
      </c>
      <c r="E104" s="650" t="s">
        <v>847</v>
      </c>
      <c r="F104" s="651">
        <v>14</v>
      </c>
      <c r="G104" s="651">
        <v>28</v>
      </c>
      <c r="H104" s="677">
        <f>G104*F104</f>
        <v>392</v>
      </c>
      <c r="I104" s="680">
        <v>14</v>
      </c>
      <c r="J104" s="649">
        <v>28</v>
      </c>
      <c r="K104" s="651">
        <f>I104</f>
        <v>14</v>
      </c>
      <c r="L104" s="654">
        <v>13</v>
      </c>
      <c r="M104" s="651">
        <f>L104*J104*K104</f>
        <v>5096</v>
      </c>
      <c r="N104" s="740">
        <f>M104/H104</f>
        <v>13</v>
      </c>
      <c r="O104" s="652">
        <f>'Inputs and eligible population'!I69</f>
        <v>0</v>
      </c>
      <c r="P104" s="653">
        <f>'Inputs and eligible population'!J69</f>
        <v>0</v>
      </c>
      <c r="Q104" s="681">
        <f>N104*O104*(100%+P104)</f>
        <v>0</v>
      </c>
      <c r="R104" s="246"/>
      <c r="S104" s="246"/>
      <c r="T104" s="246"/>
      <c r="U104" s="246"/>
      <c r="V104" s="246"/>
      <c r="W104" s="246"/>
      <c r="X104" s="3"/>
    </row>
    <row r="105" spans="1:26" s="244" customFormat="1" ht="14.5" x14ac:dyDescent="0.35">
      <c r="A105" s="246"/>
      <c r="B105" s="242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632"/>
      <c r="O105" s="632"/>
      <c r="P105" s="632"/>
      <c r="Q105" s="246"/>
      <c r="R105" s="246"/>
      <c r="S105" s="246"/>
      <c r="T105" s="246"/>
      <c r="U105" s="246"/>
      <c r="V105" s="246"/>
      <c r="W105" s="246"/>
      <c r="Z105" s="3"/>
    </row>
    <row r="106" spans="1:26" s="4" customFormat="1" ht="14.5" x14ac:dyDescent="0.35">
      <c r="A106" s="5"/>
      <c r="B106" s="191" t="s">
        <v>873</v>
      </c>
      <c r="C106" s="5"/>
      <c r="D106" s="176"/>
      <c r="E106" s="112"/>
      <c r="F106" s="177"/>
      <c r="G106" s="178"/>
      <c r="H106" s="5"/>
      <c r="I106" s="5"/>
      <c r="J106" s="179"/>
      <c r="K106" s="178"/>
      <c r="L106" s="178"/>
      <c r="M106" s="178"/>
      <c r="N106" s="178"/>
      <c r="O106" s="178"/>
      <c r="P106" s="178"/>
      <c r="Q106" s="178"/>
      <c r="R106" s="179"/>
      <c r="S106" s="5"/>
      <c r="T106" s="5"/>
      <c r="U106" s="5"/>
      <c r="V106" s="246"/>
      <c r="W106" s="246"/>
      <c r="Z106" s="3"/>
    </row>
    <row r="107" spans="1:26" s="4" customFormat="1" ht="14.5" x14ac:dyDescent="0.35">
      <c r="A107" s="5"/>
      <c r="B107" s="750" t="s">
        <v>874</v>
      </c>
      <c r="C107" s="5"/>
      <c r="D107" s="176"/>
      <c r="E107" s="112"/>
      <c r="F107" s="177"/>
      <c r="G107" s="178"/>
      <c r="H107" s="5"/>
      <c r="I107" s="5"/>
      <c r="J107" s="179"/>
      <c r="K107" s="178"/>
      <c r="L107" s="178"/>
      <c r="M107" s="178"/>
      <c r="N107" s="178"/>
      <c r="O107" s="178"/>
      <c r="P107" s="178"/>
      <c r="Q107" s="178"/>
      <c r="R107" s="179"/>
      <c r="S107" s="5"/>
      <c r="T107" s="5"/>
      <c r="U107" s="5"/>
      <c r="V107" s="5"/>
      <c r="W107" s="5"/>
      <c r="Z107" s="3"/>
    </row>
    <row r="108" spans="1:26" s="4" customFormat="1" ht="14.5" x14ac:dyDescent="0.35">
      <c r="A108" s="5"/>
      <c r="B108" s="460"/>
      <c r="C108" s="5"/>
      <c r="D108" s="176"/>
      <c r="E108" s="112"/>
      <c r="F108" s="177"/>
      <c r="G108" s="178"/>
      <c r="H108" s="5"/>
      <c r="I108" s="5"/>
      <c r="J108" s="179"/>
      <c r="K108" s="178"/>
      <c r="L108" s="178"/>
      <c r="M108" s="178"/>
      <c r="N108" s="178"/>
      <c r="O108" s="178"/>
      <c r="P108" s="178"/>
      <c r="Q108" s="178"/>
      <c r="R108" s="179"/>
      <c r="S108" s="5"/>
      <c r="T108" s="5"/>
      <c r="U108" s="5"/>
      <c r="V108" s="5"/>
      <c r="W108" s="5"/>
      <c r="Z108" s="3"/>
    </row>
    <row r="109" spans="1:26" s="4" customFormat="1" ht="14.5" x14ac:dyDescent="0.35">
      <c r="A109" s="5"/>
      <c r="B109" s="242" t="s">
        <v>875</v>
      </c>
      <c r="C109" s="246"/>
      <c r="D109" s="176"/>
      <c r="E109" s="112"/>
      <c r="F109" s="177"/>
      <c r="G109" s="178"/>
      <c r="H109" s="5"/>
      <c r="I109" s="5"/>
      <c r="J109" s="179"/>
      <c r="K109" s="178"/>
      <c r="L109" s="178"/>
      <c r="M109" s="178"/>
      <c r="N109" s="178"/>
      <c r="O109" s="178"/>
      <c r="P109" s="178"/>
      <c r="Q109" s="178"/>
      <c r="R109" s="179"/>
      <c r="S109" s="5"/>
      <c r="T109" s="5"/>
      <c r="U109" s="5"/>
      <c r="V109" s="5"/>
      <c r="W109" s="5"/>
      <c r="Z109" s="3"/>
    </row>
    <row r="110" spans="1:26" s="4" customFormat="1" ht="14.5" x14ac:dyDescent="0.35">
      <c r="A110" s="5"/>
      <c r="B110" s="245" t="s">
        <v>876</v>
      </c>
      <c r="C110" s="247" t="s">
        <v>877</v>
      </c>
      <c r="D110" s="247" t="s">
        <v>878</v>
      </c>
      <c r="E110" s="250" t="s">
        <v>879</v>
      </c>
      <c r="F110" s="457"/>
      <c r="G110" s="458"/>
      <c r="H110" s="459"/>
      <c r="I110" s="458"/>
      <c r="J110" s="459"/>
      <c r="K110" s="458"/>
      <c r="L110" s="459"/>
      <c r="M110" s="458"/>
      <c r="N110" s="462" t="s">
        <v>880</v>
      </c>
      <c r="O110" s="178"/>
      <c r="P110" s="178"/>
      <c r="Q110" s="178"/>
      <c r="R110" s="179"/>
      <c r="S110" s="5"/>
      <c r="T110" s="5"/>
      <c r="U110" s="5"/>
      <c r="V110" s="5"/>
      <c r="W110" s="5"/>
      <c r="Z110" s="3"/>
    </row>
    <row r="111" spans="1:26" s="4" customFormat="1" ht="14.5" x14ac:dyDescent="0.35">
      <c r="A111" s="5"/>
      <c r="B111" s="649" t="s">
        <v>699</v>
      </c>
      <c r="C111" s="655" t="s">
        <v>881</v>
      </c>
      <c r="D111" s="656"/>
      <c r="E111" s="657" t="s">
        <v>882</v>
      </c>
      <c r="F111" s="658"/>
      <c r="G111" s="659"/>
      <c r="H111" s="660"/>
      <c r="I111" s="660"/>
      <c r="J111" s="660"/>
      <c r="K111" s="660"/>
      <c r="L111" s="659"/>
      <c r="M111" s="661"/>
      <c r="N111" s="662">
        <v>550</v>
      </c>
      <c r="O111" s="178"/>
      <c r="P111" s="178"/>
      <c r="Q111" s="178"/>
      <c r="R111" s="179"/>
      <c r="S111" s="5"/>
      <c r="T111" s="5"/>
      <c r="U111" s="5"/>
      <c r="V111" s="5"/>
      <c r="W111" s="5"/>
      <c r="Z111" s="3"/>
    </row>
    <row r="112" spans="1:26" s="4" customFormat="1" ht="14.5" x14ac:dyDescent="0.35">
      <c r="A112" s="5"/>
      <c r="B112" s="649" t="s">
        <v>701</v>
      </c>
      <c r="C112" s="655" t="s">
        <v>881</v>
      </c>
      <c r="D112" s="656"/>
      <c r="E112" s="657" t="s">
        <v>882</v>
      </c>
      <c r="F112" s="658"/>
      <c r="G112" s="659"/>
      <c r="H112" s="660"/>
      <c r="I112" s="660"/>
      <c r="J112" s="660"/>
      <c r="K112" s="660"/>
      <c r="L112" s="659"/>
      <c r="M112" s="661"/>
      <c r="N112" s="662">
        <v>550</v>
      </c>
      <c r="O112" s="178"/>
      <c r="P112" s="178"/>
      <c r="Q112" s="178"/>
      <c r="R112" s="179"/>
      <c r="S112" s="5"/>
      <c r="T112" s="5"/>
      <c r="U112" s="5"/>
      <c r="V112" s="5"/>
      <c r="W112" s="5"/>
      <c r="Z112" s="3"/>
    </row>
    <row r="113" spans="1:26" s="4" customFormat="1" ht="14.5" x14ac:dyDescent="0.35">
      <c r="A113" s="5"/>
      <c r="B113" s="649" t="s">
        <v>703</v>
      </c>
      <c r="C113" s="655" t="s">
        <v>881</v>
      </c>
      <c r="D113" s="656"/>
      <c r="E113" s="657" t="s">
        <v>882</v>
      </c>
      <c r="F113" s="658"/>
      <c r="G113" s="659"/>
      <c r="H113" s="660"/>
      <c r="I113" s="660"/>
      <c r="J113" s="660"/>
      <c r="K113" s="660"/>
      <c r="L113" s="659"/>
      <c r="M113" s="661"/>
      <c r="N113" s="662">
        <v>550</v>
      </c>
      <c r="O113" s="178"/>
      <c r="P113" s="178"/>
      <c r="Q113" s="178"/>
      <c r="R113" s="179"/>
      <c r="S113" s="5"/>
      <c r="T113" s="5"/>
      <c r="U113" s="5"/>
      <c r="V113" s="5"/>
      <c r="W113" s="5"/>
      <c r="Z113" s="3"/>
    </row>
    <row r="114" spans="1:26" s="4" customFormat="1" ht="14.5" x14ac:dyDescent="0.35">
      <c r="A114" s="5"/>
      <c r="B114" s="649" t="s">
        <v>705</v>
      </c>
      <c r="C114" s="655" t="s">
        <v>883</v>
      </c>
      <c r="D114" s="656"/>
      <c r="E114" s="657" t="s">
        <v>884</v>
      </c>
      <c r="F114" s="658"/>
      <c r="G114" s="659"/>
      <c r="H114" s="660"/>
      <c r="I114" s="660"/>
      <c r="J114" s="660"/>
      <c r="K114" s="660"/>
      <c r="L114" s="659"/>
      <c r="M114" s="661"/>
      <c r="N114" s="662">
        <v>50</v>
      </c>
      <c r="O114" s="178"/>
      <c r="P114" s="178"/>
      <c r="Q114" s="178"/>
      <c r="R114" s="179"/>
      <c r="S114" s="5"/>
      <c r="T114" s="5"/>
      <c r="U114" s="5"/>
      <c r="V114" s="5"/>
      <c r="W114" s="5"/>
      <c r="Z114" s="3"/>
    </row>
    <row r="115" spans="1:26" s="4" customFormat="1" ht="14.5" x14ac:dyDescent="0.35">
      <c r="A115" s="5"/>
      <c r="B115" s="649" t="s">
        <v>749</v>
      </c>
      <c r="C115" s="655" t="s">
        <v>883</v>
      </c>
      <c r="D115" s="656"/>
      <c r="E115" s="657" t="s">
        <v>884</v>
      </c>
      <c r="F115" s="658"/>
      <c r="G115" s="659"/>
      <c r="H115" s="660"/>
      <c r="I115" s="660"/>
      <c r="J115" s="660"/>
      <c r="K115" s="660"/>
      <c r="L115" s="659"/>
      <c r="M115" s="661"/>
      <c r="N115" s="662">
        <v>50</v>
      </c>
      <c r="O115" s="178"/>
      <c r="P115" s="178"/>
      <c r="Q115" s="178"/>
      <c r="R115" s="179"/>
      <c r="S115" s="5"/>
      <c r="T115" s="5"/>
      <c r="U115" s="5"/>
      <c r="V115" s="5"/>
      <c r="W115" s="5"/>
      <c r="Z115" s="3"/>
    </row>
    <row r="116" spans="1:26" s="4" customFormat="1" ht="14.5" x14ac:dyDescent="0.35">
      <c r="A116" s="5"/>
      <c r="B116" s="649" t="s">
        <v>711</v>
      </c>
      <c r="C116" s="655" t="s">
        <v>881</v>
      </c>
      <c r="D116" s="656"/>
      <c r="E116" s="657" t="s">
        <v>882</v>
      </c>
      <c r="F116" s="658"/>
      <c r="G116" s="659"/>
      <c r="H116" s="660"/>
      <c r="I116" s="660"/>
      <c r="J116" s="660"/>
      <c r="K116" s="660"/>
      <c r="L116" s="659"/>
      <c r="M116" s="661"/>
      <c r="N116" s="662">
        <v>550</v>
      </c>
      <c r="O116" s="178"/>
      <c r="P116" s="178"/>
      <c r="Q116" s="178"/>
      <c r="R116" s="179"/>
      <c r="S116" s="5"/>
      <c r="T116" s="5"/>
      <c r="U116" s="5"/>
      <c r="V116" s="5"/>
      <c r="W116" s="5"/>
      <c r="Z116" s="3"/>
    </row>
    <row r="117" spans="1:26" s="4" customFormat="1" ht="14.5" x14ac:dyDescent="0.35">
      <c r="A117" s="5"/>
      <c r="B117" s="649" t="s">
        <v>1101</v>
      </c>
      <c r="C117" s="655" t="s">
        <v>883</v>
      </c>
      <c r="D117" s="656"/>
      <c r="E117" s="657" t="s">
        <v>884</v>
      </c>
      <c r="F117" s="658"/>
      <c r="G117" s="659"/>
      <c r="H117" s="660"/>
      <c r="I117" s="660"/>
      <c r="J117" s="660"/>
      <c r="K117" s="660"/>
      <c r="L117" s="659"/>
      <c r="M117" s="661"/>
      <c r="N117" s="662">
        <v>50</v>
      </c>
      <c r="O117" s="178"/>
      <c r="P117" s="178"/>
      <c r="Q117" s="178"/>
      <c r="R117" s="179"/>
      <c r="S117" s="5"/>
      <c r="T117" s="5"/>
      <c r="U117" s="5"/>
      <c r="V117" s="5"/>
      <c r="W117" s="5"/>
      <c r="Z117" s="3"/>
    </row>
    <row r="118" spans="1:26" s="4" customFormat="1" ht="14.5" x14ac:dyDescent="0.35">
      <c r="A118" s="5"/>
      <c r="B118" s="649" t="s">
        <v>714</v>
      </c>
      <c r="C118" s="655" t="s">
        <v>883</v>
      </c>
      <c r="D118" s="656"/>
      <c r="E118" s="657" t="s">
        <v>884</v>
      </c>
      <c r="F118" s="658"/>
      <c r="G118" s="659"/>
      <c r="H118" s="660"/>
      <c r="I118" s="660"/>
      <c r="J118" s="660"/>
      <c r="K118" s="660"/>
      <c r="L118" s="659"/>
      <c r="M118" s="661"/>
      <c r="N118" s="662">
        <v>50</v>
      </c>
      <c r="O118" s="178"/>
      <c r="P118" s="178"/>
      <c r="Q118" s="178"/>
      <c r="R118" s="179"/>
      <c r="S118" s="5"/>
      <c r="T118" s="5"/>
      <c r="U118" s="5"/>
      <c r="V118" s="5"/>
      <c r="W118" s="5"/>
      <c r="Z118" s="3"/>
    </row>
    <row r="119" spans="1:26" s="4" customFormat="1" ht="14.5" x14ac:dyDescent="0.35">
      <c r="A119" s="5"/>
      <c r="B119" s="649" t="s">
        <v>717</v>
      </c>
      <c r="C119" s="655" t="s">
        <v>883</v>
      </c>
      <c r="D119" s="656"/>
      <c r="E119" s="657" t="s">
        <v>884</v>
      </c>
      <c r="F119" s="658"/>
      <c r="G119" s="659"/>
      <c r="H119" s="660"/>
      <c r="I119" s="660"/>
      <c r="J119" s="660"/>
      <c r="K119" s="660"/>
      <c r="L119" s="659"/>
      <c r="M119" s="661"/>
      <c r="N119" s="662">
        <v>50</v>
      </c>
      <c r="O119" s="178"/>
      <c r="P119" s="178"/>
      <c r="Q119" s="178"/>
      <c r="R119" s="179"/>
      <c r="S119" s="5"/>
      <c r="T119" s="5"/>
      <c r="U119" s="5"/>
      <c r="V119" s="5"/>
      <c r="W119" s="5"/>
      <c r="Z119" s="3"/>
    </row>
    <row r="120" spans="1:26" s="4" customFormat="1" ht="14.5" x14ac:dyDescent="0.35">
      <c r="A120" s="5"/>
      <c r="B120" s="649" t="s">
        <v>719</v>
      </c>
      <c r="C120" s="655" t="s">
        <v>883</v>
      </c>
      <c r="D120" s="656"/>
      <c r="E120" s="657" t="s">
        <v>884</v>
      </c>
      <c r="F120" s="658"/>
      <c r="G120" s="659"/>
      <c r="H120" s="660"/>
      <c r="I120" s="660"/>
      <c r="J120" s="660"/>
      <c r="K120" s="660"/>
      <c r="L120" s="659"/>
      <c r="M120" s="661"/>
      <c r="N120" s="662">
        <v>50</v>
      </c>
      <c r="O120" s="178"/>
      <c r="P120" s="178"/>
      <c r="Q120" s="178"/>
      <c r="R120" s="179"/>
      <c r="S120" s="5"/>
      <c r="T120" s="5"/>
      <c r="U120" s="5"/>
      <c r="V120" s="5"/>
      <c r="W120" s="5"/>
      <c r="Z120" s="3"/>
    </row>
    <row r="121" spans="1:26" s="4" customFormat="1" ht="14.5" x14ac:dyDescent="0.35">
      <c r="A121" s="5"/>
      <c r="B121" s="649" t="s">
        <v>721</v>
      </c>
      <c r="C121" s="655" t="s">
        <v>883</v>
      </c>
      <c r="D121" s="656"/>
      <c r="E121" s="657" t="s">
        <v>884</v>
      </c>
      <c r="F121" s="658"/>
      <c r="G121" s="659"/>
      <c r="H121" s="660"/>
      <c r="I121" s="660"/>
      <c r="J121" s="660"/>
      <c r="K121" s="660"/>
      <c r="L121" s="659"/>
      <c r="M121" s="661"/>
      <c r="N121" s="662">
        <v>50</v>
      </c>
      <c r="O121" s="178"/>
      <c r="P121" s="178"/>
      <c r="Q121" s="178"/>
      <c r="R121" s="179"/>
      <c r="S121" s="5"/>
      <c r="T121" s="5"/>
      <c r="U121" s="5"/>
      <c r="V121" s="5"/>
      <c r="W121" s="5"/>
      <c r="Z121" s="3"/>
    </row>
    <row r="122" spans="1:26" s="4" customFormat="1" ht="14.5" x14ac:dyDescent="0.35">
      <c r="A122" s="5"/>
      <c r="B122" s="649" t="s">
        <v>723</v>
      </c>
      <c r="C122" s="655" t="s">
        <v>883</v>
      </c>
      <c r="D122" s="656"/>
      <c r="E122" s="657" t="s">
        <v>884</v>
      </c>
      <c r="F122" s="658"/>
      <c r="G122" s="659"/>
      <c r="H122" s="660"/>
      <c r="I122" s="660"/>
      <c r="J122" s="660"/>
      <c r="K122" s="660"/>
      <c r="L122" s="659"/>
      <c r="M122" s="661"/>
      <c r="N122" s="662">
        <v>50</v>
      </c>
      <c r="O122" s="178"/>
      <c r="P122" s="178"/>
      <c r="Q122" s="178"/>
      <c r="R122" s="179"/>
      <c r="S122" s="5"/>
      <c r="T122" s="5"/>
      <c r="U122" s="5"/>
      <c r="V122" s="5"/>
      <c r="W122" s="5"/>
      <c r="Z122" s="3"/>
    </row>
    <row r="123" spans="1:26" s="4" customFormat="1" ht="14.5" x14ac:dyDescent="0.35">
      <c r="A123" s="5"/>
      <c r="B123" s="649" t="s">
        <v>725</v>
      </c>
      <c r="C123" s="655" t="s">
        <v>883</v>
      </c>
      <c r="D123" s="656"/>
      <c r="E123" s="657" t="s">
        <v>884</v>
      </c>
      <c r="F123" s="658"/>
      <c r="G123" s="659"/>
      <c r="H123" s="660"/>
      <c r="I123" s="660"/>
      <c r="J123" s="660"/>
      <c r="K123" s="660"/>
      <c r="L123" s="659"/>
      <c r="M123" s="661"/>
      <c r="N123" s="662">
        <v>50</v>
      </c>
      <c r="O123" s="178"/>
      <c r="P123" s="178"/>
      <c r="Q123" s="178"/>
      <c r="R123" s="179"/>
      <c r="S123" s="5"/>
      <c r="T123" s="5"/>
      <c r="U123" s="5"/>
      <c r="V123" s="5"/>
      <c r="W123" s="5"/>
      <c r="Z123" s="3"/>
    </row>
    <row r="124" spans="1:26" s="4" customFormat="1" ht="14.5" x14ac:dyDescent="0.35">
      <c r="A124" s="5"/>
      <c r="B124" s="649" t="s">
        <v>727</v>
      </c>
      <c r="C124" s="655" t="s">
        <v>883</v>
      </c>
      <c r="D124" s="656"/>
      <c r="E124" s="657" t="s">
        <v>884</v>
      </c>
      <c r="F124" s="658"/>
      <c r="G124" s="659"/>
      <c r="H124" s="660"/>
      <c r="I124" s="660"/>
      <c r="J124" s="660"/>
      <c r="K124" s="660"/>
      <c r="L124" s="659"/>
      <c r="M124" s="661"/>
      <c r="N124" s="662">
        <v>50</v>
      </c>
      <c r="O124" s="178"/>
      <c r="P124" s="178"/>
      <c r="Q124" s="178"/>
      <c r="R124" s="179"/>
      <c r="S124" s="5"/>
      <c r="T124" s="5"/>
      <c r="U124" s="5"/>
      <c r="V124" s="5"/>
      <c r="W124" s="5"/>
      <c r="Z124" s="3"/>
    </row>
    <row r="125" spans="1:26" s="4" customFormat="1" ht="14.5" x14ac:dyDescent="0.35">
      <c r="A125" s="5"/>
      <c r="B125" s="649" t="s">
        <v>729</v>
      </c>
      <c r="C125" s="655" t="s">
        <v>883</v>
      </c>
      <c r="D125" s="656"/>
      <c r="E125" s="657" t="s">
        <v>884</v>
      </c>
      <c r="F125" s="658"/>
      <c r="G125" s="659"/>
      <c r="H125" s="660"/>
      <c r="I125" s="660"/>
      <c r="J125" s="660"/>
      <c r="K125" s="660"/>
      <c r="L125" s="659"/>
      <c r="M125" s="661"/>
      <c r="N125" s="662">
        <v>50</v>
      </c>
      <c r="O125" s="178"/>
      <c r="P125" s="178"/>
      <c r="Q125" s="178"/>
      <c r="R125" s="179"/>
      <c r="S125" s="5"/>
      <c r="T125" s="5"/>
      <c r="U125" s="5"/>
      <c r="V125" s="5"/>
      <c r="W125" s="5"/>
      <c r="Z125" s="3"/>
    </row>
    <row r="126" spans="1:26" s="4" customFormat="1" ht="14.5" x14ac:dyDescent="0.35">
      <c r="A126" s="5"/>
      <c r="B126" s="649" t="s">
        <v>731</v>
      </c>
      <c r="C126" s="655" t="s">
        <v>881</v>
      </c>
      <c r="D126" s="656"/>
      <c r="E126" s="657" t="s">
        <v>882</v>
      </c>
      <c r="F126" s="658"/>
      <c r="G126" s="659"/>
      <c r="H126" s="660"/>
      <c r="I126" s="660"/>
      <c r="J126" s="660"/>
      <c r="K126" s="660"/>
      <c r="L126" s="659"/>
      <c r="M126" s="661"/>
      <c r="N126" s="662">
        <v>550</v>
      </c>
      <c r="O126" s="178"/>
      <c r="P126" s="178"/>
      <c r="Q126" s="178"/>
      <c r="R126" s="179"/>
      <c r="S126" s="5"/>
      <c r="T126" s="5"/>
      <c r="U126" s="5"/>
      <c r="V126" s="5"/>
      <c r="W126" s="5"/>
      <c r="Z126" s="3"/>
    </row>
    <row r="127" spans="1:26" s="4" customFormat="1" ht="14.5" x14ac:dyDescent="0.35">
      <c r="A127" s="5"/>
      <c r="B127" s="649" t="s">
        <v>733</v>
      </c>
      <c r="C127" s="655" t="s">
        <v>883</v>
      </c>
      <c r="D127" s="656"/>
      <c r="E127" s="657" t="s">
        <v>884</v>
      </c>
      <c r="F127" s="658"/>
      <c r="G127" s="659"/>
      <c r="H127" s="660"/>
      <c r="I127" s="660"/>
      <c r="J127" s="660"/>
      <c r="K127" s="660"/>
      <c r="L127" s="659"/>
      <c r="M127" s="661"/>
      <c r="N127" s="662">
        <v>50</v>
      </c>
      <c r="O127" s="178"/>
      <c r="P127" s="178"/>
      <c r="Q127" s="178"/>
      <c r="R127" s="179"/>
      <c r="S127" s="5"/>
      <c r="T127" s="5"/>
      <c r="U127" s="5"/>
      <c r="V127" s="5"/>
      <c r="W127" s="5"/>
      <c r="Z127" s="3"/>
    </row>
    <row r="128" spans="1:26" s="4" customFormat="1" ht="14.5" x14ac:dyDescent="0.35">
      <c r="A128" s="5"/>
      <c r="B128" s="649" t="s">
        <v>735</v>
      </c>
      <c r="C128" s="655" t="s">
        <v>883</v>
      </c>
      <c r="D128" s="656"/>
      <c r="E128" s="657" t="s">
        <v>884</v>
      </c>
      <c r="F128" s="658"/>
      <c r="G128" s="659"/>
      <c r="H128" s="660"/>
      <c r="I128" s="660"/>
      <c r="J128" s="660"/>
      <c r="K128" s="660"/>
      <c r="L128" s="659"/>
      <c r="M128" s="661"/>
      <c r="N128" s="662">
        <v>50</v>
      </c>
      <c r="O128" s="178"/>
      <c r="P128" s="178"/>
      <c r="Q128" s="178"/>
      <c r="R128" s="179"/>
      <c r="S128" s="5"/>
      <c r="T128" s="5"/>
      <c r="U128" s="5"/>
      <c r="V128" s="5"/>
      <c r="W128" s="5"/>
      <c r="Z128" s="3"/>
    </row>
    <row r="129" spans="1:26" s="4" customFormat="1" ht="14.5" x14ac:dyDescent="0.3">
      <c r="A129" s="5"/>
      <c r="B129" s="692" t="s">
        <v>885</v>
      </c>
      <c r="C129" s="176"/>
      <c r="D129" s="176"/>
      <c r="E129" s="112"/>
      <c r="F129" s="177"/>
      <c r="G129" s="178"/>
      <c r="H129" s="5"/>
      <c r="I129" s="5"/>
      <c r="J129" s="179"/>
      <c r="K129" s="178"/>
      <c r="L129" s="178"/>
      <c r="M129" s="178"/>
      <c r="N129" s="178"/>
      <c r="O129" s="178"/>
      <c r="P129" s="178"/>
      <c r="Q129" s="178"/>
      <c r="R129" s="179"/>
      <c r="S129" s="5"/>
      <c r="T129" s="5"/>
      <c r="U129" s="5"/>
      <c r="V129" s="5"/>
      <c r="W129" s="5"/>
      <c r="Z129" s="3"/>
    </row>
    <row r="130" spans="1:26" s="4" customFormat="1" ht="14.5" x14ac:dyDescent="0.35">
      <c r="A130" s="5"/>
      <c r="B130" s="191"/>
      <c r="C130" s="176"/>
      <c r="D130" s="176"/>
      <c r="E130" s="112"/>
      <c r="F130" s="177"/>
      <c r="G130" s="178"/>
      <c r="H130" s="5"/>
      <c r="I130" s="5"/>
      <c r="J130" s="179"/>
      <c r="K130" s="178"/>
      <c r="L130" s="178"/>
      <c r="M130" s="178"/>
      <c r="N130" s="178"/>
      <c r="O130" s="178"/>
      <c r="P130" s="178"/>
      <c r="Q130" s="178"/>
      <c r="R130" s="179"/>
      <c r="S130" s="5"/>
      <c r="T130" s="5"/>
      <c r="U130" s="5"/>
      <c r="V130" s="5"/>
      <c r="W130" s="5"/>
      <c r="Z130" s="3"/>
    </row>
    <row r="131" spans="1:26" s="4" customFormat="1" ht="14" x14ac:dyDescent="0.3">
      <c r="A131" s="5"/>
      <c r="B131" s="176"/>
      <c r="C131" s="176"/>
      <c r="D131" s="176"/>
      <c r="E131" s="112"/>
      <c r="F131" s="177"/>
      <c r="G131" s="178"/>
      <c r="H131" s="5"/>
      <c r="I131" s="5"/>
      <c r="J131" s="179"/>
      <c r="K131" s="178"/>
      <c r="L131" s="178"/>
      <c r="M131" s="178"/>
      <c r="N131" s="178"/>
      <c r="O131" s="178"/>
      <c r="P131" s="178"/>
      <c r="Q131" s="178"/>
      <c r="R131" s="179"/>
      <c r="S131" s="5"/>
      <c r="T131" s="5"/>
      <c r="U131" s="5"/>
      <c r="V131" s="5"/>
      <c r="W131" s="5"/>
      <c r="Z131" s="3"/>
    </row>
    <row r="132" spans="1:26" s="4" customFormat="1" ht="14" x14ac:dyDescent="0.3">
      <c r="A132" s="5"/>
      <c r="B132" s="176"/>
      <c r="C132" s="176"/>
      <c r="D132" s="176"/>
      <c r="E132" s="112"/>
      <c r="F132" s="177"/>
      <c r="G132" s="178"/>
      <c r="H132" s="5"/>
      <c r="I132" s="5"/>
      <c r="J132" s="179"/>
      <c r="K132" s="178"/>
      <c r="L132" s="178"/>
      <c r="M132" s="178"/>
      <c r="N132" s="178"/>
      <c r="O132" s="178"/>
      <c r="P132" s="178"/>
      <c r="Q132" s="178"/>
      <c r="R132" s="179"/>
      <c r="S132" s="5"/>
      <c r="T132" s="5"/>
      <c r="U132" s="5"/>
      <c r="V132" s="5"/>
      <c r="W132" s="5"/>
      <c r="Z132" s="3"/>
    </row>
    <row r="133" spans="1:26" s="4" customFormat="1" ht="14.5" x14ac:dyDescent="0.35">
      <c r="A133" s="5"/>
      <c r="B133" s="461" t="s">
        <v>886</v>
      </c>
      <c r="C133" s="176"/>
      <c r="D133" s="176"/>
      <c r="E133" s="112"/>
      <c r="F133" s="177"/>
      <c r="G133" s="178"/>
      <c r="H133" s="5"/>
      <c r="I133" s="5"/>
      <c r="J133" s="179"/>
      <c r="K133" s="178"/>
      <c r="L133" s="178"/>
      <c r="M133" s="178"/>
      <c r="N133" s="178"/>
      <c r="O133" s="178"/>
      <c r="P133" s="178"/>
      <c r="Q133" s="178"/>
      <c r="R133" s="179"/>
      <c r="S133" s="5"/>
      <c r="T133" s="5"/>
      <c r="U133" s="5"/>
      <c r="V133" s="5"/>
      <c r="W133" s="5"/>
      <c r="Z133" s="3"/>
    </row>
    <row r="134" spans="1:26" s="4" customFormat="1" ht="14.5" x14ac:dyDescent="0.35">
      <c r="A134" s="5"/>
      <c r="B134" s="245" t="s">
        <v>876</v>
      </c>
      <c r="C134" s="247" t="s">
        <v>877</v>
      </c>
      <c r="D134" s="250" t="s">
        <v>879</v>
      </c>
      <c r="E134" s="456"/>
      <c r="F134" s="457"/>
      <c r="G134" s="458"/>
      <c r="H134" s="459"/>
      <c r="I134" s="458"/>
      <c r="J134" s="459"/>
      <c r="K134" s="458"/>
      <c r="L134" s="459"/>
      <c r="M134" s="458"/>
      <c r="N134" s="462" t="s">
        <v>880</v>
      </c>
      <c r="O134" s="178"/>
      <c r="P134" s="178"/>
      <c r="Q134" s="178"/>
      <c r="R134" s="179"/>
      <c r="S134" s="5"/>
      <c r="T134" s="5"/>
      <c r="U134" s="5"/>
      <c r="V134" s="5"/>
      <c r="W134" s="5"/>
      <c r="Z134" s="3"/>
    </row>
    <row r="135" spans="1:26" s="4" customFormat="1" ht="14.5" x14ac:dyDescent="0.35">
      <c r="A135" s="5"/>
      <c r="B135" s="649" t="s">
        <v>887</v>
      </c>
      <c r="C135" s="663" t="s">
        <v>888</v>
      </c>
      <c r="D135" s="657" t="s">
        <v>889</v>
      </c>
      <c r="E135" s="664"/>
      <c r="F135" s="658"/>
      <c r="G135" s="659"/>
      <c r="H135" s="660"/>
      <c r="I135" s="660"/>
      <c r="J135" s="660"/>
      <c r="K135" s="660"/>
      <c r="L135" s="659"/>
      <c r="M135" s="661"/>
      <c r="N135" s="662">
        <v>222.92</v>
      </c>
      <c r="O135" s="178"/>
      <c r="P135" s="178"/>
      <c r="Q135" s="178"/>
      <c r="R135" s="179"/>
      <c r="S135" s="5"/>
      <c r="T135" s="5"/>
      <c r="U135" s="5"/>
      <c r="V135" s="5"/>
      <c r="W135" s="5"/>
      <c r="Z135" s="3"/>
    </row>
    <row r="136" spans="1:26" s="4" customFormat="1" ht="14.5" x14ac:dyDescent="0.35">
      <c r="A136" s="5"/>
      <c r="B136" t="s">
        <v>890</v>
      </c>
      <c r="C136" s="5"/>
      <c r="D136" s="176"/>
      <c r="E136" s="112"/>
      <c r="F136" s="177"/>
      <c r="G136" s="178"/>
      <c r="H136" s="5"/>
      <c r="I136" s="5"/>
      <c r="J136" s="179"/>
      <c r="K136" s="178"/>
      <c r="L136" s="178"/>
      <c r="M136" s="178"/>
      <c r="N136" s="178"/>
      <c r="O136" s="178"/>
      <c r="P136" s="178"/>
      <c r="Q136" s="178"/>
      <c r="R136" s="179"/>
      <c r="S136" s="5"/>
      <c r="T136" s="5"/>
      <c r="U136" s="5"/>
      <c r="V136" s="5"/>
      <c r="W136" s="5"/>
      <c r="Z136" s="3"/>
    </row>
    <row r="137" spans="1:26" s="4" customFormat="1" ht="14.5" hidden="1" x14ac:dyDescent="0.35">
      <c r="A137" s="5"/>
      <c r="B137" s="191"/>
      <c r="C137" s="5"/>
      <c r="D137" s="176"/>
      <c r="E137" s="112"/>
      <c r="F137" s="177"/>
      <c r="G137" s="178"/>
      <c r="H137" s="5"/>
      <c r="I137" s="5"/>
      <c r="J137" s="179"/>
      <c r="K137" s="178"/>
      <c r="L137" s="178"/>
      <c r="M137" s="178"/>
      <c r="N137" s="178"/>
      <c r="O137" s="178"/>
      <c r="P137" s="178"/>
      <c r="Q137" s="178"/>
      <c r="R137" s="179"/>
      <c r="S137" s="5"/>
      <c r="T137" s="5"/>
      <c r="U137" s="5"/>
      <c r="V137" s="5"/>
      <c r="W137" s="5"/>
      <c r="Z137" s="3"/>
    </row>
    <row r="138" spans="1:26" s="4" customFormat="1" ht="14.5" hidden="1" x14ac:dyDescent="0.35">
      <c r="A138" s="5"/>
      <c r="B138" s="191"/>
      <c r="C138" s="5"/>
      <c r="D138" s="176"/>
      <c r="E138" s="112"/>
      <c r="F138" s="177"/>
      <c r="G138" s="178"/>
      <c r="H138" s="5"/>
      <c r="I138" s="5"/>
      <c r="J138" s="179"/>
      <c r="K138" s="178"/>
      <c r="L138" s="178"/>
      <c r="M138" s="178"/>
      <c r="N138" s="178"/>
      <c r="O138" s="178"/>
      <c r="P138" s="178"/>
      <c r="Q138" s="178"/>
      <c r="R138" s="179"/>
      <c r="S138" s="5"/>
      <c r="T138" s="5"/>
      <c r="U138" s="5"/>
      <c r="V138" s="5"/>
      <c r="W138" s="5"/>
      <c r="Z138" s="3"/>
    </row>
    <row r="139" spans="1:26" s="4" customFormat="1" ht="14.5" hidden="1" x14ac:dyDescent="0.35">
      <c r="A139" s="5"/>
      <c r="B139" s="191"/>
      <c r="C139" s="5"/>
      <c r="D139" s="176"/>
      <c r="E139" s="112"/>
      <c r="F139" s="177"/>
      <c r="G139" s="178"/>
      <c r="H139" s="5"/>
      <c r="I139" s="5"/>
      <c r="J139" s="179"/>
      <c r="K139" s="178"/>
      <c r="L139" s="178"/>
      <c r="M139" s="178"/>
      <c r="N139" s="178"/>
      <c r="O139" s="178"/>
      <c r="P139" s="178"/>
      <c r="Q139" s="178"/>
      <c r="R139" s="179"/>
      <c r="S139" s="5"/>
      <c r="T139" s="5"/>
      <c r="U139" s="5"/>
      <c r="V139" s="5"/>
      <c r="W139" s="5"/>
      <c r="Z139" s="3"/>
    </row>
    <row r="140" spans="1:26" s="4" customFormat="1" ht="14.5" hidden="1" x14ac:dyDescent="0.35">
      <c r="A140" s="5"/>
      <c r="B140" s="461" t="s">
        <v>891</v>
      </c>
      <c r="C140" s="176"/>
      <c r="D140" s="176"/>
      <c r="E140" s="112"/>
      <c r="F140" s="177"/>
      <c r="G140" s="178"/>
      <c r="H140" s="5"/>
      <c r="I140" s="5"/>
      <c r="J140" s="179"/>
      <c r="K140" s="178"/>
      <c r="L140" s="178"/>
      <c r="M140" s="178"/>
      <c r="N140" s="178"/>
      <c r="O140" s="178"/>
      <c r="P140" s="178"/>
      <c r="Q140" s="178"/>
      <c r="R140" s="179"/>
      <c r="S140" s="5"/>
      <c r="T140" s="5"/>
      <c r="U140" s="5"/>
      <c r="V140" s="5"/>
      <c r="W140" s="5"/>
      <c r="Z140" s="3"/>
    </row>
    <row r="141" spans="1:26" s="4" customFormat="1" ht="14.5" hidden="1" x14ac:dyDescent="0.35">
      <c r="A141" s="5"/>
      <c r="B141" s="245" t="s">
        <v>876</v>
      </c>
      <c r="C141" s="247" t="s">
        <v>877</v>
      </c>
      <c r="D141" s="250" t="s">
        <v>879</v>
      </c>
      <c r="E141" s="456"/>
      <c r="F141" s="457"/>
      <c r="G141" s="458"/>
      <c r="H141" s="459"/>
      <c r="I141" s="458"/>
      <c r="J141" s="459"/>
      <c r="K141" s="458"/>
      <c r="L141" s="459"/>
      <c r="M141" s="458"/>
      <c r="N141" s="462" t="s">
        <v>880</v>
      </c>
      <c r="O141" s="178"/>
      <c r="P141" s="178"/>
      <c r="Q141" s="178"/>
      <c r="R141" s="179"/>
      <c r="S141" s="5"/>
      <c r="T141" s="5"/>
      <c r="U141" s="5"/>
      <c r="V141" s="5"/>
      <c r="W141" s="5"/>
      <c r="Z141" s="3"/>
    </row>
    <row r="142" spans="1:26" s="4" customFormat="1" ht="14.5" hidden="1" x14ac:dyDescent="0.35">
      <c r="A142" s="5"/>
      <c r="B142" s="649" t="s">
        <v>892</v>
      </c>
      <c r="C142" s="663"/>
      <c r="D142" s="657"/>
      <c r="E142" s="664"/>
      <c r="F142" s="658"/>
      <c r="G142" s="659"/>
      <c r="H142" s="660"/>
      <c r="I142" s="660"/>
      <c r="J142" s="660"/>
      <c r="K142" s="660"/>
      <c r="L142" s="659"/>
      <c r="M142" s="661"/>
      <c r="N142" s="662"/>
      <c r="O142" s="178"/>
      <c r="P142" s="178"/>
      <c r="Q142" s="178"/>
      <c r="R142" s="179"/>
      <c r="S142" s="5"/>
      <c r="T142" s="5"/>
      <c r="U142" s="5"/>
      <c r="V142" s="5"/>
      <c r="W142" s="5"/>
      <c r="Z142" s="3"/>
    </row>
    <row r="143" spans="1:26" s="4" customFormat="1" ht="14.5" hidden="1" x14ac:dyDescent="0.3">
      <c r="A143" s="5"/>
      <c r="B143" s="687" t="s">
        <v>893</v>
      </c>
      <c r="C143" s="5"/>
      <c r="D143" s="176"/>
      <c r="E143" s="112"/>
      <c r="F143" s="177"/>
      <c r="G143" s="178"/>
      <c r="H143" s="5"/>
      <c r="I143" s="5"/>
      <c r="J143" s="179"/>
      <c r="K143" s="178"/>
      <c r="L143" s="178"/>
      <c r="M143" s="178"/>
      <c r="N143" s="178"/>
      <c r="O143" s="178"/>
      <c r="P143" s="178"/>
      <c r="Q143" s="178"/>
      <c r="R143" s="179"/>
      <c r="S143" s="5"/>
      <c r="T143" s="5"/>
      <c r="U143" s="5"/>
      <c r="V143" s="5"/>
      <c r="W143" s="5"/>
      <c r="Z143" s="3"/>
    </row>
    <row r="144" spans="1:26" s="4" customFormat="1" ht="14.5" hidden="1" x14ac:dyDescent="0.35">
      <c r="A144" s="5"/>
      <c r="B144" s="191"/>
      <c r="C144" s="5"/>
      <c r="D144" s="176"/>
      <c r="E144" s="112"/>
      <c r="F144" s="177"/>
      <c r="G144" s="178"/>
      <c r="H144" s="5"/>
      <c r="I144" s="5"/>
      <c r="J144" s="179"/>
      <c r="K144" s="178"/>
      <c r="L144" s="178"/>
      <c r="M144" s="178"/>
      <c r="N144" s="178"/>
      <c r="O144" s="178"/>
      <c r="P144" s="178"/>
      <c r="Q144" s="178"/>
      <c r="R144" s="179"/>
      <c r="S144" s="5"/>
      <c r="T144" s="5"/>
      <c r="U144" s="5"/>
      <c r="V144" s="5"/>
      <c r="W144" s="5"/>
      <c r="Z144" s="3"/>
    </row>
    <row r="145" spans="1:29" s="4" customFormat="1" ht="14.5" hidden="1" x14ac:dyDescent="0.35">
      <c r="A145" s="5"/>
      <c r="B145" s="191"/>
      <c r="C145" s="5"/>
      <c r="D145" s="176"/>
      <c r="E145" s="112"/>
      <c r="F145" s="177"/>
      <c r="G145" s="178"/>
      <c r="H145" s="5"/>
      <c r="I145" s="5"/>
      <c r="J145" s="179"/>
      <c r="K145" s="178"/>
      <c r="L145" s="178"/>
      <c r="M145" s="178"/>
      <c r="N145" s="178"/>
      <c r="O145" s="178"/>
      <c r="P145" s="178"/>
      <c r="Q145" s="178"/>
      <c r="R145" s="179"/>
      <c r="S145" s="5"/>
      <c r="T145" s="5"/>
      <c r="U145" s="5"/>
      <c r="V145" s="5"/>
      <c r="W145" s="5"/>
      <c r="Z145" s="3"/>
    </row>
    <row r="146" spans="1:29" s="4" customFormat="1" ht="14.5" hidden="1" x14ac:dyDescent="0.35">
      <c r="A146" s="5"/>
      <c r="B146" s="191"/>
      <c r="C146" s="5"/>
      <c r="D146" s="176"/>
      <c r="E146" s="112"/>
      <c r="F146" s="177"/>
      <c r="G146" s="178"/>
      <c r="H146" s="5"/>
      <c r="I146" s="5"/>
      <c r="J146" s="179"/>
      <c r="K146" s="178"/>
      <c r="L146" s="178"/>
      <c r="M146" s="178"/>
      <c r="N146" s="178"/>
      <c r="O146" s="178"/>
      <c r="P146" s="178"/>
      <c r="Q146" s="178"/>
      <c r="R146" s="179"/>
      <c r="S146" s="5"/>
      <c r="T146" s="5"/>
      <c r="U146" s="5"/>
      <c r="V146" s="5"/>
      <c r="W146" s="5"/>
      <c r="Z146" s="3"/>
    </row>
    <row r="147" spans="1:29" s="4" customFormat="1" ht="14.5" hidden="1" x14ac:dyDescent="0.35">
      <c r="A147" s="5"/>
      <c r="B147" s="461" t="s">
        <v>894</v>
      </c>
      <c r="C147" s="176"/>
      <c r="D147" s="176"/>
      <c r="E147" s="112"/>
      <c r="F147" s="177"/>
      <c r="G147" s="178"/>
      <c r="H147" s="5"/>
      <c r="I147" s="5"/>
      <c r="J147" s="179"/>
      <c r="K147" s="178"/>
      <c r="L147" s="178"/>
      <c r="M147" s="178"/>
      <c r="N147" s="178"/>
      <c r="O147" s="178"/>
      <c r="P147" s="178"/>
      <c r="Q147" s="178"/>
      <c r="R147" s="179"/>
      <c r="S147" s="5"/>
      <c r="T147" s="5"/>
      <c r="U147" s="5"/>
      <c r="V147" s="5"/>
      <c r="W147" s="5"/>
      <c r="Z147" s="3"/>
    </row>
    <row r="148" spans="1:29" s="4" customFormat="1" ht="14.5" hidden="1" x14ac:dyDescent="0.35">
      <c r="A148" s="5"/>
      <c r="B148" s="245" t="s">
        <v>876</v>
      </c>
      <c r="C148" s="247" t="s">
        <v>877</v>
      </c>
      <c r="D148" s="250" t="s">
        <v>879</v>
      </c>
      <c r="E148" s="456"/>
      <c r="F148" s="457"/>
      <c r="G148" s="458"/>
      <c r="H148" s="459"/>
      <c r="I148" s="458"/>
      <c r="J148" s="459"/>
      <c r="K148" s="458"/>
      <c r="L148" s="459"/>
      <c r="M148" s="458"/>
      <c r="N148" s="462" t="s">
        <v>880</v>
      </c>
      <c r="O148" s="178"/>
      <c r="P148" s="178"/>
      <c r="Q148" s="178"/>
      <c r="R148" s="179"/>
      <c r="S148" s="5"/>
      <c r="T148" s="5"/>
      <c r="U148" s="5"/>
      <c r="V148" s="5"/>
      <c r="W148" s="5"/>
      <c r="Z148" s="3"/>
    </row>
    <row r="149" spans="1:29" s="4" customFormat="1" ht="14.5" hidden="1" x14ac:dyDescent="0.35">
      <c r="A149" s="5"/>
      <c r="B149" s="649" t="s">
        <v>892</v>
      </c>
      <c r="C149" s="663"/>
      <c r="D149" s="657"/>
      <c r="E149" s="664"/>
      <c r="F149" s="658"/>
      <c r="G149" s="659"/>
      <c r="H149" s="660"/>
      <c r="I149" s="660"/>
      <c r="J149" s="660"/>
      <c r="K149" s="660"/>
      <c r="L149" s="659"/>
      <c r="M149" s="661"/>
      <c r="N149" s="662"/>
      <c r="O149" s="178"/>
      <c r="P149" s="178"/>
      <c r="Q149" s="178"/>
      <c r="R149" s="179"/>
      <c r="S149" s="5"/>
      <c r="T149" s="5"/>
      <c r="U149" s="5"/>
      <c r="V149" s="5"/>
      <c r="W149" s="5"/>
      <c r="Z149" s="3"/>
    </row>
    <row r="150" spans="1:29" s="4" customFormat="1" ht="14.5" hidden="1" x14ac:dyDescent="0.3">
      <c r="A150" s="5"/>
      <c r="B150" s="687" t="s">
        <v>893</v>
      </c>
      <c r="C150" s="5"/>
      <c r="D150" s="176"/>
      <c r="E150" s="112"/>
      <c r="F150" s="177"/>
      <c r="G150" s="178"/>
      <c r="H150" s="5"/>
      <c r="I150" s="5"/>
      <c r="J150" s="179"/>
      <c r="K150" s="178"/>
      <c r="L150" s="178"/>
      <c r="M150" s="178"/>
      <c r="N150" s="178"/>
      <c r="O150" s="178"/>
      <c r="P150" s="178"/>
      <c r="Q150" s="178"/>
      <c r="R150" s="179"/>
      <c r="S150" s="5"/>
      <c r="T150" s="5"/>
      <c r="U150" s="5"/>
      <c r="V150" s="5"/>
      <c r="W150" s="5"/>
      <c r="Z150" s="3"/>
    </row>
    <row r="151" spans="1:29" s="4" customFormat="1" ht="14.5" hidden="1" x14ac:dyDescent="0.35">
      <c r="A151" s="5"/>
      <c r="B151" s="191"/>
      <c r="C151" s="5"/>
      <c r="D151" s="176"/>
      <c r="E151" s="112"/>
      <c r="F151" s="177"/>
      <c r="G151" s="178"/>
      <c r="H151" s="5"/>
      <c r="I151" s="5"/>
      <c r="J151" s="179"/>
      <c r="K151" s="178"/>
      <c r="L151" s="178"/>
      <c r="M151" s="178"/>
      <c r="N151" s="178"/>
      <c r="O151" s="178"/>
      <c r="P151" s="178"/>
      <c r="Q151" s="178"/>
      <c r="R151" s="179"/>
      <c r="S151" s="5"/>
      <c r="T151" s="5"/>
      <c r="U151" s="5"/>
      <c r="V151" s="5"/>
      <c r="W151" s="5"/>
      <c r="Z151" s="3"/>
    </row>
    <row r="152" spans="1:29" s="4" customFormat="1" ht="14.5" hidden="1" x14ac:dyDescent="0.35">
      <c r="A152" s="5"/>
      <c r="B152" s="192"/>
      <c r="C152" s="5"/>
      <c r="D152" s="176"/>
      <c r="E152" s="112"/>
      <c r="F152" s="177"/>
      <c r="G152" s="178"/>
      <c r="H152" s="5"/>
      <c r="I152" s="5"/>
      <c r="J152" s="179"/>
      <c r="K152" s="178"/>
      <c r="L152" s="178"/>
      <c r="M152" s="178"/>
      <c r="N152" s="178"/>
      <c r="O152" s="178"/>
      <c r="P152" s="178"/>
      <c r="Q152" s="178"/>
      <c r="R152" s="179"/>
      <c r="S152" s="5"/>
      <c r="T152" s="5"/>
      <c r="U152" s="5"/>
      <c r="V152" s="5"/>
      <c r="W152" s="5"/>
      <c r="Z152" s="3"/>
    </row>
    <row r="153" spans="1:29" s="4" customFormat="1" ht="14.5" x14ac:dyDescent="0.35">
      <c r="A153" s="5"/>
      <c r="B153" s="192"/>
      <c r="C153"/>
      <c r="D153" s="176"/>
      <c r="E153" s="112"/>
      <c r="F153" s="177"/>
      <c r="G153" s="178"/>
      <c r="H153" s="5"/>
      <c r="I153" s="5"/>
      <c r="J153" s="179"/>
      <c r="K153" s="178"/>
      <c r="L153" s="178"/>
      <c r="M153" s="178"/>
      <c r="N153" s="178"/>
      <c r="O153" s="178"/>
      <c r="P153" s="178"/>
      <c r="Q153" s="178"/>
      <c r="R153" s="179"/>
      <c r="S153" s="5"/>
      <c r="T153" s="5"/>
      <c r="U153" s="5"/>
      <c r="V153" s="5"/>
      <c r="W153" s="5"/>
      <c r="Z153" s="3"/>
    </row>
    <row r="154" spans="1:29" s="4" customFormat="1" ht="14.5" x14ac:dyDescent="0.35">
      <c r="A154" s="5"/>
      <c r="B154" s="242" t="s">
        <v>895</v>
      </c>
      <c r="C154" s="5"/>
      <c r="D154" s="5"/>
      <c r="E154" s="5"/>
      <c r="F154" s="177"/>
      <c r="G154" s="178"/>
      <c r="H154" s="5"/>
      <c r="I154" s="5"/>
      <c r="J154" s="179"/>
      <c r="K154" s="5"/>
      <c r="L154" s="5"/>
      <c r="M154" s="5"/>
      <c r="N154" s="5"/>
      <c r="O154" s="178"/>
      <c r="P154" s="5"/>
      <c r="Q154" s="178"/>
      <c r="R154" s="5"/>
      <c r="S154" s="5"/>
      <c r="T154" s="5"/>
      <c r="U154" s="5"/>
      <c r="V154" s="5"/>
      <c r="W154" s="5"/>
      <c r="Z154" s="3"/>
    </row>
    <row r="155" spans="1:29" s="4" customFormat="1" ht="14.5" x14ac:dyDescent="0.35">
      <c r="A155" s="5"/>
      <c r="B155" t="s">
        <v>896</v>
      </c>
      <c r="C155" s="5"/>
      <c r="D155" s="5"/>
      <c r="E155" s="5"/>
      <c r="F155" s="177"/>
      <c r="G155" s="178"/>
      <c r="H155" s="5"/>
      <c r="I155" s="5"/>
      <c r="J155" s="5"/>
      <c r="K155" s="179"/>
      <c r="L155" s="178"/>
      <c r="M155" s="178"/>
      <c r="N155" s="178"/>
      <c r="O155" s="178"/>
      <c r="P155" s="178"/>
      <c r="Q155" s="178"/>
      <c r="R155" s="178"/>
      <c r="S155" s="5"/>
      <c r="T155" s="5"/>
      <c r="U155" s="5"/>
      <c r="V155" s="5"/>
      <c r="W155" s="5"/>
      <c r="AA155" s="3"/>
    </row>
    <row r="156" spans="1:29" s="4" customFormat="1" ht="43.5" x14ac:dyDescent="0.35">
      <c r="A156" s="5"/>
      <c r="B156" s="678" t="s">
        <v>897</v>
      </c>
      <c r="C156" s="760"/>
      <c r="D156" s="248" t="s">
        <v>699</v>
      </c>
      <c r="E156" s="248" t="s">
        <v>701</v>
      </c>
      <c r="F156" s="248" t="s">
        <v>703</v>
      </c>
      <c r="G156" s="248" t="s">
        <v>705</v>
      </c>
      <c r="H156" s="248" t="s">
        <v>759</v>
      </c>
      <c r="I156" s="248" t="s">
        <v>711</v>
      </c>
      <c r="J156" s="248" t="s">
        <v>1101</v>
      </c>
      <c r="K156" s="248" t="s">
        <v>714</v>
      </c>
      <c r="L156" s="248" t="s">
        <v>717</v>
      </c>
      <c r="M156" s="248" t="s">
        <v>719</v>
      </c>
      <c r="N156" s="248" t="s">
        <v>721</v>
      </c>
      <c r="O156" s="248" t="s">
        <v>723</v>
      </c>
      <c r="P156" s="248" t="s">
        <v>725</v>
      </c>
      <c r="Q156" s="248" t="s">
        <v>727</v>
      </c>
      <c r="R156" s="248" t="s">
        <v>729</v>
      </c>
      <c r="S156" s="248" t="s">
        <v>731</v>
      </c>
      <c r="T156" s="248" t="s">
        <v>733</v>
      </c>
      <c r="U156" s="248" t="s">
        <v>735</v>
      </c>
      <c r="V156" s="248" t="s">
        <v>760</v>
      </c>
      <c r="W156" s="5"/>
      <c r="AC156" s="3"/>
    </row>
    <row r="157" spans="1:29" s="4" customFormat="1" ht="14.5" x14ac:dyDescent="0.35">
      <c r="A157" s="5"/>
      <c r="B157" s="762" t="s">
        <v>898</v>
      </c>
      <c r="C157" s="761"/>
      <c r="D157" s="665"/>
      <c r="E157" s="665"/>
      <c r="F157" s="665"/>
      <c r="G157" s="665"/>
      <c r="H157" s="665"/>
      <c r="I157" s="665"/>
      <c r="J157" s="665"/>
      <c r="K157" s="665"/>
      <c r="L157" s="665"/>
      <c r="M157" s="665"/>
      <c r="N157" s="665"/>
      <c r="O157" s="665"/>
      <c r="P157" s="665"/>
      <c r="Q157" s="665"/>
      <c r="R157" s="665"/>
      <c r="S157" s="665"/>
      <c r="T157" s="665"/>
      <c r="U157" s="665"/>
      <c r="V157" s="665"/>
      <c r="W157" s="5"/>
      <c r="AC157" s="3"/>
    </row>
    <row r="158" spans="1:29" s="4" customFormat="1" ht="14.5" x14ac:dyDescent="0.35">
      <c r="A158" s="5"/>
      <c r="B158" s="762" t="s">
        <v>899</v>
      </c>
      <c r="C158" s="761"/>
      <c r="D158" s="665"/>
      <c r="E158" s="665"/>
      <c r="F158" s="665"/>
      <c r="G158" s="665"/>
      <c r="H158" s="665"/>
      <c r="I158" s="665"/>
      <c r="J158" s="665"/>
      <c r="K158" s="665"/>
      <c r="L158" s="665"/>
      <c r="M158" s="665"/>
      <c r="N158" s="665"/>
      <c r="O158" s="665"/>
      <c r="P158" s="665"/>
      <c r="Q158" s="665"/>
      <c r="R158" s="665"/>
      <c r="S158" s="665"/>
      <c r="T158" s="665"/>
      <c r="U158" s="665"/>
      <c r="V158" s="665"/>
      <c r="W158" s="5"/>
      <c r="AC158" s="3"/>
    </row>
    <row r="159" spans="1:29" s="4" customFormat="1" ht="14.5" x14ac:dyDescent="0.35">
      <c r="A159" s="5"/>
      <c r="B159" s="762" t="s">
        <v>900</v>
      </c>
      <c r="C159" s="761"/>
      <c r="D159" s="665"/>
      <c r="E159" s="665"/>
      <c r="F159" s="665"/>
      <c r="G159" s="665"/>
      <c r="H159" s="665"/>
      <c r="I159" s="665"/>
      <c r="J159" s="665"/>
      <c r="K159" s="665"/>
      <c r="L159" s="665"/>
      <c r="M159" s="665"/>
      <c r="N159" s="665"/>
      <c r="O159" s="665"/>
      <c r="P159" s="665"/>
      <c r="Q159" s="665"/>
      <c r="R159" s="665"/>
      <c r="S159" s="665"/>
      <c r="T159" s="665"/>
      <c r="U159" s="665"/>
      <c r="V159" s="665"/>
      <c r="W159" s="5"/>
      <c r="AC159" s="3"/>
    </row>
    <row r="160" spans="1:29" s="4" customFormat="1" ht="14.5" x14ac:dyDescent="0.35">
      <c r="A160" s="5"/>
      <c r="B160" s="762" t="s">
        <v>901</v>
      </c>
      <c r="C160" s="761"/>
      <c r="D160" s="665"/>
      <c r="E160" s="665"/>
      <c r="F160" s="665"/>
      <c r="G160" s="665"/>
      <c r="H160" s="665"/>
      <c r="I160" s="665"/>
      <c r="J160" s="665"/>
      <c r="K160" s="665"/>
      <c r="L160" s="665"/>
      <c r="M160" s="665"/>
      <c r="N160" s="665"/>
      <c r="O160" s="665"/>
      <c r="P160" s="665"/>
      <c r="Q160" s="665"/>
      <c r="R160" s="665"/>
      <c r="S160" s="665"/>
      <c r="T160" s="665"/>
      <c r="U160" s="665"/>
      <c r="V160" s="665"/>
      <c r="W160" s="5"/>
      <c r="AC160" s="3"/>
    </row>
    <row r="161" spans="1:29" s="4" customFormat="1" ht="14.5" x14ac:dyDescent="0.35">
      <c r="A161" s="5"/>
      <c r="B161" s="762" t="s">
        <v>902</v>
      </c>
      <c r="C161" s="761"/>
      <c r="D161" s="665"/>
      <c r="E161" s="665"/>
      <c r="F161" s="665"/>
      <c r="G161" s="665"/>
      <c r="H161" s="665"/>
      <c r="I161" s="665"/>
      <c r="J161" s="665"/>
      <c r="K161" s="665"/>
      <c r="L161" s="665"/>
      <c r="M161" s="665"/>
      <c r="N161" s="665"/>
      <c r="O161" s="665"/>
      <c r="P161" s="665"/>
      <c r="Q161" s="665"/>
      <c r="R161" s="665"/>
      <c r="S161" s="665"/>
      <c r="T161" s="665"/>
      <c r="U161" s="665"/>
      <c r="V161" s="665"/>
      <c r="W161" s="5"/>
      <c r="AC161" s="3"/>
    </row>
    <row r="162" spans="1:29" s="4" customFormat="1" ht="16" customHeight="1" x14ac:dyDescent="0.35">
      <c r="A162" s="5"/>
      <c r="B162" s="762" t="s">
        <v>903</v>
      </c>
      <c r="C162" s="761"/>
      <c r="D162" s="665"/>
      <c r="E162" s="665"/>
      <c r="F162" s="665"/>
      <c r="G162" s="665"/>
      <c r="H162" s="665"/>
      <c r="I162" s="665"/>
      <c r="J162" s="665"/>
      <c r="K162" s="665"/>
      <c r="L162" s="665"/>
      <c r="M162" s="665"/>
      <c r="N162" s="665"/>
      <c r="O162" s="665"/>
      <c r="P162" s="665"/>
      <c r="Q162" s="665"/>
      <c r="R162" s="665"/>
      <c r="S162" s="665"/>
      <c r="T162" s="665"/>
      <c r="U162" s="665"/>
      <c r="V162" s="665"/>
      <c r="W162" s="5"/>
      <c r="AC162" s="3"/>
    </row>
    <row r="163" spans="1:29" s="4" customFormat="1" ht="14.5" x14ac:dyDescent="0.35">
      <c r="A163" s="5"/>
      <c r="B163" s="762" t="s">
        <v>904</v>
      </c>
      <c r="C163" s="761"/>
      <c r="D163" s="665"/>
      <c r="E163" s="665"/>
      <c r="F163" s="665"/>
      <c r="G163" s="665"/>
      <c r="H163" s="665"/>
      <c r="I163" s="665"/>
      <c r="J163" s="665"/>
      <c r="K163" s="665"/>
      <c r="L163" s="665"/>
      <c r="M163" s="665"/>
      <c r="N163" s="665"/>
      <c r="O163" s="665"/>
      <c r="P163" s="665"/>
      <c r="Q163" s="665"/>
      <c r="R163" s="665"/>
      <c r="S163" s="665"/>
      <c r="T163" s="665"/>
      <c r="U163" s="665"/>
      <c r="V163" s="665"/>
      <c r="W163" s="5"/>
      <c r="AC163" s="3"/>
    </row>
    <row r="164" spans="1:29" s="4" customFormat="1" ht="14.5" x14ac:dyDescent="0.35">
      <c r="A164" s="5"/>
      <c r="B164" s="762" t="s">
        <v>905</v>
      </c>
      <c r="C164" s="761"/>
      <c r="D164" s="665"/>
      <c r="E164" s="665"/>
      <c r="F164" s="665"/>
      <c r="G164" s="665"/>
      <c r="H164" s="665"/>
      <c r="I164" s="665"/>
      <c r="J164" s="665"/>
      <c r="K164" s="665"/>
      <c r="L164" s="665"/>
      <c r="M164" s="665"/>
      <c r="N164" s="665"/>
      <c r="O164" s="665"/>
      <c r="P164" s="665"/>
      <c r="Q164" s="665"/>
      <c r="R164" s="665"/>
      <c r="S164" s="665"/>
      <c r="T164" s="665"/>
      <c r="U164" s="665"/>
      <c r="V164" s="665"/>
      <c r="W164" s="5"/>
      <c r="AC164" s="3"/>
    </row>
    <row r="165" spans="1:29" s="4" customFormat="1" ht="14.5" x14ac:dyDescent="0.35">
      <c r="A165" s="5"/>
      <c r="B165" s="762" t="s">
        <v>906</v>
      </c>
      <c r="C165" s="761"/>
      <c r="D165" s="665"/>
      <c r="E165" s="665"/>
      <c r="F165" s="665"/>
      <c r="G165" s="665"/>
      <c r="H165" s="665"/>
      <c r="I165" s="665"/>
      <c r="J165" s="665"/>
      <c r="K165" s="665"/>
      <c r="L165" s="665"/>
      <c r="M165" s="665"/>
      <c r="N165" s="665"/>
      <c r="O165" s="665"/>
      <c r="P165" s="665"/>
      <c r="Q165" s="665"/>
      <c r="R165" s="665"/>
      <c r="S165" s="665"/>
      <c r="T165" s="665"/>
      <c r="U165" s="665"/>
      <c r="V165" s="665"/>
      <c r="W165" s="5"/>
      <c r="AC165" s="3"/>
    </row>
    <row r="166" spans="1:29" s="4" customFormat="1" ht="14.5" x14ac:dyDescent="0.35">
      <c r="A166" s="5"/>
      <c r="B166" s="762" t="s">
        <v>907</v>
      </c>
      <c r="C166" s="761"/>
      <c r="D166" s="665"/>
      <c r="E166" s="665"/>
      <c r="F166" s="665"/>
      <c r="G166" s="665"/>
      <c r="H166" s="665"/>
      <c r="I166" s="665"/>
      <c r="J166" s="665"/>
      <c r="K166" s="665"/>
      <c r="L166" s="665"/>
      <c r="M166" s="665"/>
      <c r="N166" s="665"/>
      <c r="O166" s="665"/>
      <c r="P166" s="665"/>
      <c r="Q166" s="665"/>
      <c r="R166" s="665"/>
      <c r="S166" s="665"/>
      <c r="T166" s="665"/>
      <c r="U166" s="665"/>
      <c r="V166" s="665"/>
      <c r="W166" s="5"/>
      <c r="AC166" s="3"/>
    </row>
    <row r="167" spans="1:29" s="4" customFormat="1" ht="14.5" x14ac:dyDescent="0.35">
      <c r="A167" s="5"/>
      <c r="B167" s="762" t="s">
        <v>908</v>
      </c>
      <c r="C167" s="761"/>
      <c r="D167" s="665"/>
      <c r="E167" s="665"/>
      <c r="F167" s="665"/>
      <c r="G167" s="665"/>
      <c r="H167" s="665"/>
      <c r="I167" s="665"/>
      <c r="J167" s="665"/>
      <c r="K167" s="665"/>
      <c r="L167" s="665"/>
      <c r="M167" s="665"/>
      <c r="N167" s="665"/>
      <c r="O167" s="665"/>
      <c r="P167" s="665"/>
      <c r="Q167" s="665"/>
      <c r="R167" s="665"/>
      <c r="S167" s="665"/>
      <c r="T167" s="665"/>
      <c r="U167" s="665"/>
      <c r="V167" s="665"/>
      <c r="W167" s="5"/>
      <c r="AC167" s="3"/>
    </row>
    <row r="168" spans="1:29" s="4" customFormat="1" ht="14" x14ac:dyDescent="0.3">
      <c r="A168" s="178"/>
      <c r="B168" s="178"/>
      <c r="C168" s="178"/>
      <c r="D168" s="178"/>
      <c r="E168" s="178"/>
      <c r="F168" s="178"/>
      <c r="G168" s="178"/>
      <c r="H168" s="177"/>
      <c r="I168" s="178"/>
      <c r="J168" s="178"/>
      <c r="K168" s="5"/>
      <c r="L168" s="5"/>
      <c r="M168" s="179"/>
      <c r="N168" s="178"/>
      <c r="O168" s="178"/>
      <c r="P168" s="178"/>
      <c r="Q168" s="178"/>
      <c r="R168" s="178"/>
      <c r="S168" s="178"/>
      <c r="T168" s="178"/>
      <c r="U168" s="5"/>
      <c r="V168" s="5"/>
      <c r="W168" s="5"/>
      <c r="AC168" s="3"/>
    </row>
    <row r="169" spans="1:29" s="4" customFormat="1" ht="14" x14ac:dyDescent="0.3">
      <c r="A169" s="178"/>
      <c r="B169" s="178"/>
      <c r="C169" s="178"/>
      <c r="D169" s="178"/>
      <c r="E169" s="178"/>
      <c r="F169" s="178"/>
      <c r="G169" s="178"/>
      <c r="H169" s="177"/>
      <c r="I169" s="178"/>
      <c r="J169" s="178"/>
      <c r="K169" s="5"/>
      <c r="L169" s="5"/>
      <c r="M169" s="179"/>
      <c r="N169" s="178"/>
      <c r="O169" s="178"/>
      <c r="P169" s="178"/>
      <c r="Q169" s="178"/>
      <c r="R169" s="178"/>
      <c r="S169" s="5"/>
      <c r="T169" s="178"/>
      <c r="U169" s="5"/>
      <c r="V169" s="5"/>
      <c r="W169" s="5"/>
      <c r="AC169" s="3"/>
    </row>
    <row r="170" spans="1:29" s="4" customFormat="1" ht="14.5" x14ac:dyDescent="0.35">
      <c r="A170" s="178"/>
      <c r="B170" s="464"/>
      <c r="C170" s="459"/>
      <c r="D170" s="466"/>
      <c r="E170" s="465"/>
      <c r="F170" s="465"/>
      <c r="G170" s="465"/>
      <c r="H170" s="465"/>
      <c r="I170" s="465"/>
      <c r="J170" s="465"/>
      <c r="K170" s="465"/>
      <c r="L170" s="465"/>
      <c r="M170" s="466" t="s">
        <v>55</v>
      </c>
      <c r="N170" s="465"/>
      <c r="O170" s="465"/>
      <c r="P170" s="465"/>
      <c r="Q170" s="465"/>
      <c r="R170" s="465"/>
      <c r="S170" s="465"/>
      <c r="T170" s="465"/>
      <c r="U170" s="465"/>
      <c r="V170" s="465"/>
      <c r="W170" s="5"/>
      <c r="AC170" s="3"/>
    </row>
    <row r="171" spans="1:29" s="4" customFormat="1" ht="43.5" x14ac:dyDescent="0.35">
      <c r="A171" s="178"/>
      <c r="B171" s="248" t="s">
        <v>897</v>
      </c>
      <c r="C171" s="248" t="s">
        <v>909</v>
      </c>
      <c r="D171" s="248" t="s">
        <v>699</v>
      </c>
      <c r="E171" s="248" t="s">
        <v>701</v>
      </c>
      <c r="F171" s="248" t="s">
        <v>703</v>
      </c>
      <c r="G171" s="248" t="s">
        <v>705</v>
      </c>
      <c r="H171" s="248" t="s">
        <v>759</v>
      </c>
      <c r="I171" s="248" t="s">
        <v>711</v>
      </c>
      <c r="J171" s="248" t="s">
        <v>1101</v>
      </c>
      <c r="K171" s="248" t="s">
        <v>714</v>
      </c>
      <c r="L171" s="248" t="s">
        <v>717</v>
      </c>
      <c r="M171" s="248" t="s">
        <v>719</v>
      </c>
      <c r="N171" s="248" t="s">
        <v>721</v>
      </c>
      <c r="O171" s="248" t="s">
        <v>723</v>
      </c>
      <c r="P171" s="248" t="s">
        <v>725</v>
      </c>
      <c r="Q171" s="248" t="s">
        <v>727</v>
      </c>
      <c r="R171" s="248" t="s">
        <v>729</v>
      </c>
      <c r="S171" s="248" t="s">
        <v>731</v>
      </c>
      <c r="T171" s="248" t="s">
        <v>733</v>
      </c>
      <c r="U171" s="248" t="s">
        <v>735</v>
      </c>
      <c r="V171" s="678" t="s">
        <v>760</v>
      </c>
      <c r="W171" s="5"/>
      <c r="AC171" s="3"/>
    </row>
    <row r="172" spans="1:29" s="4" customFormat="1" ht="14.5" x14ac:dyDescent="0.35">
      <c r="A172" s="178"/>
      <c r="B172" s="463" t="s">
        <v>898</v>
      </c>
      <c r="C172" s="759">
        <v>556.06062322946173</v>
      </c>
      <c r="D172" s="666">
        <f t="shared" ref="D172:O172" si="0">D157*$C172</f>
        <v>0</v>
      </c>
      <c r="E172" s="666">
        <f t="shared" si="0"/>
        <v>0</v>
      </c>
      <c r="F172" s="666">
        <f t="shared" si="0"/>
        <v>0</v>
      </c>
      <c r="G172" s="666">
        <f t="shared" si="0"/>
        <v>0</v>
      </c>
      <c r="H172" s="666">
        <f t="shared" si="0"/>
        <v>0</v>
      </c>
      <c r="I172" s="666">
        <f t="shared" si="0"/>
        <v>0</v>
      </c>
      <c r="J172" s="666">
        <f t="shared" ref="J172" si="1">J157*$C172</f>
        <v>0</v>
      </c>
      <c r="K172" s="666">
        <f t="shared" si="0"/>
        <v>0</v>
      </c>
      <c r="L172" s="666">
        <f t="shared" si="0"/>
        <v>0</v>
      </c>
      <c r="M172" s="666">
        <f t="shared" si="0"/>
        <v>0</v>
      </c>
      <c r="N172" s="666">
        <f t="shared" si="0"/>
        <v>0</v>
      </c>
      <c r="O172" s="666">
        <f t="shared" si="0"/>
        <v>0</v>
      </c>
      <c r="P172" s="666">
        <f t="shared" ref="P172:V182" si="2">P157*$C172</f>
        <v>0</v>
      </c>
      <c r="Q172" s="666">
        <f t="shared" si="2"/>
        <v>0</v>
      </c>
      <c r="R172" s="666">
        <f t="shared" si="2"/>
        <v>0</v>
      </c>
      <c r="S172" s="666">
        <f t="shared" si="2"/>
        <v>0</v>
      </c>
      <c r="T172" s="666">
        <f t="shared" si="2"/>
        <v>0</v>
      </c>
      <c r="U172" s="666">
        <f t="shared" si="2"/>
        <v>0</v>
      </c>
      <c r="V172" s="666">
        <f t="shared" si="2"/>
        <v>0</v>
      </c>
      <c r="W172" s="5"/>
      <c r="AC172" s="3"/>
    </row>
    <row r="173" spans="1:29" s="4" customFormat="1" ht="14.5" x14ac:dyDescent="0.35">
      <c r="A173" s="178"/>
      <c r="B173" s="463" t="s">
        <v>899</v>
      </c>
      <c r="C173" s="759">
        <v>849.40835694050975</v>
      </c>
      <c r="D173" s="666">
        <f t="shared" ref="D173:O173" si="3">D158*$C173</f>
        <v>0</v>
      </c>
      <c r="E173" s="666">
        <f t="shared" si="3"/>
        <v>0</v>
      </c>
      <c r="F173" s="666">
        <f t="shared" si="3"/>
        <v>0</v>
      </c>
      <c r="G173" s="666">
        <f t="shared" si="3"/>
        <v>0</v>
      </c>
      <c r="H173" s="666">
        <f t="shared" si="3"/>
        <v>0</v>
      </c>
      <c r="I173" s="666">
        <f t="shared" si="3"/>
        <v>0</v>
      </c>
      <c r="J173" s="666">
        <f t="shared" ref="J173" si="4">J158*$C173</f>
        <v>0</v>
      </c>
      <c r="K173" s="666">
        <f t="shared" si="3"/>
        <v>0</v>
      </c>
      <c r="L173" s="666">
        <f t="shared" si="3"/>
        <v>0</v>
      </c>
      <c r="M173" s="666">
        <f t="shared" si="3"/>
        <v>0</v>
      </c>
      <c r="N173" s="666">
        <f t="shared" si="3"/>
        <v>0</v>
      </c>
      <c r="O173" s="666">
        <f t="shared" si="3"/>
        <v>0</v>
      </c>
      <c r="P173" s="666">
        <f t="shared" si="2"/>
        <v>0</v>
      </c>
      <c r="Q173" s="666">
        <f t="shared" si="2"/>
        <v>0</v>
      </c>
      <c r="R173" s="666">
        <f t="shared" si="2"/>
        <v>0</v>
      </c>
      <c r="S173" s="666">
        <f t="shared" si="2"/>
        <v>0</v>
      </c>
      <c r="T173" s="666">
        <f t="shared" si="2"/>
        <v>0</v>
      </c>
      <c r="U173" s="666">
        <f t="shared" si="2"/>
        <v>0</v>
      </c>
      <c r="V173" s="666">
        <f t="shared" si="2"/>
        <v>0</v>
      </c>
      <c r="W173" s="5"/>
      <c r="AC173" s="3"/>
    </row>
    <row r="174" spans="1:29" s="4" customFormat="1" ht="14.5" x14ac:dyDescent="0.35">
      <c r="A174" s="178"/>
      <c r="B174" s="463" t="s">
        <v>900</v>
      </c>
      <c r="C174" s="759">
        <v>98.472662889518404</v>
      </c>
      <c r="D174" s="666">
        <f t="shared" ref="D174:O174" si="5">D159*$C174</f>
        <v>0</v>
      </c>
      <c r="E174" s="666">
        <f t="shared" si="5"/>
        <v>0</v>
      </c>
      <c r="F174" s="666">
        <f t="shared" si="5"/>
        <v>0</v>
      </c>
      <c r="G174" s="666">
        <f t="shared" si="5"/>
        <v>0</v>
      </c>
      <c r="H174" s="666">
        <f t="shared" si="5"/>
        <v>0</v>
      </c>
      <c r="I174" s="666">
        <f t="shared" si="5"/>
        <v>0</v>
      </c>
      <c r="J174" s="666">
        <f t="shared" ref="J174" si="6">J159*$C174</f>
        <v>0</v>
      </c>
      <c r="K174" s="666">
        <f t="shared" si="5"/>
        <v>0</v>
      </c>
      <c r="L174" s="666">
        <f t="shared" si="5"/>
        <v>0</v>
      </c>
      <c r="M174" s="666">
        <f t="shared" si="5"/>
        <v>0</v>
      </c>
      <c r="N174" s="666">
        <f t="shared" si="5"/>
        <v>0</v>
      </c>
      <c r="O174" s="666">
        <f t="shared" si="5"/>
        <v>0</v>
      </c>
      <c r="P174" s="666">
        <f t="shared" si="2"/>
        <v>0</v>
      </c>
      <c r="Q174" s="666">
        <f t="shared" si="2"/>
        <v>0</v>
      </c>
      <c r="R174" s="666">
        <f t="shared" si="2"/>
        <v>0</v>
      </c>
      <c r="S174" s="666">
        <f t="shared" si="2"/>
        <v>0</v>
      </c>
      <c r="T174" s="666">
        <f t="shared" si="2"/>
        <v>0</v>
      </c>
      <c r="U174" s="666">
        <f t="shared" si="2"/>
        <v>0</v>
      </c>
      <c r="V174" s="666">
        <f t="shared" si="2"/>
        <v>0</v>
      </c>
      <c r="W174" s="5"/>
      <c r="AC174" s="3"/>
    </row>
    <row r="175" spans="1:29" s="4" customFormat="1" ht="14.5" x14ac:dyDescent="0.35">
      <c r="A175" s="178"/>
      <c r="B175" s="463" t="s">
        <v>901</v>
      </c>
      <c r="C175" s="759">
        <v>3821.5427762039653</v>
      </c>
      <c r="D175" s="666">
        <f t="shared" ref="D175:O175" si="7">D160*$C175</f>
        <v>0</v>
      </c>
      <c r="E175" s="666">
        <f t="shared" si="7"/>
        <v>0</v>
      </c>
      <c r="F175" s="666">
        <f t="shared" si="7"/>
        <v>0</v>
      </c>
      <c r="G175" s="666">
        <f t="shared" si="7"/>
        <v>0</v>
      </c>
      <c r="H175" s="666">
        <f t="shared" si="7"/>
        <v>0</v>
      </c>
      <c r="I175" s="666">
        <f t="shared" si="7"/>
        <v>0</v>
      </c>
      <c r="J175" s="666">
        <f t="shared" ref="J175" si="8">J160*$C175</f>
        <v>0</v>
      </c>
      <c r="K175" s="666">
        <f t="shared" si="7"/>
        <v>0</v>
      </c>
      <c r="L175" s="666">
        <f t="shared" si="7"/>
        <v>0</v>
      </c>
      <c r="M175" s="666">
        <f t="shared" si="7"/>
        <v>0</v>
      </c>
      <c r="N175" s="666">
        <f t="shared" si="7"/>
        <v>0</v>
      </c>
      <c r="O175" s="666">
        <f t="shared" si="7"/>
        <v>0</v>
      </c>
      <c r="P175" s="666">
        <f t="shared" si="2"/>
        <v>0</v>
      </c>
      <c r="Q175" s="666">
        <f t="shared" si="2"/>
        <v>0</v>
      </c>
      <c r="R175" s="666">
        <f t="shared" si="2"/>
        <v>0</v>
      </c>
      <c r="S175" s="666">
        <f t="shared" si="2"/>
        <v>0</v>
      </c>
      <c r="T175" s="666">
        <f t="shared" si="2"/>
        <v>0</v>
      </c>
      <c r="U175" s="666">
        <f t="shared" si="2"/>
        <v>0</v>
      </c>
      <c r="V175" s="666">
        <f t="shared" si="2"/>
        <v>0</v>
      </c>
      <c r="W175" s="5"/>
      <c r="AC175" s="3"/>
    </row>
    <row r="176" spans="1:29" s="4" customFormat="1" ht="14.5" x14ac:dyDescent="0.35">
      <c r="A176" s="178"/>
      <c r="B176" s="463" t="s">
        <v>902</v>
      </c>
      <c r="C176" s="759">
        <v>67.02450424929178</v>
      </c>
      <c r="D176" s="666">
        <f t="shared" ref="D176:O176" si="9">D161*$C176</f>
        <v>0</v>
      </c>
      <c r="E176" s="666">
        <f t="shared" si="9"/>
        <v>0</v>
      </c>
      <c r="F176" s="666">
        <f t="shared" si="9"/>
        <v>0</v>
      </c>
      <c r="G176" s="666">
        <f t="shared" si="9"/>
        <v>0</v>
      </c>
      <c r="H176" s="666">
        <f t="shared" si="9"/>
        <v>0</v>
      </c>
      <c r="I176" s="666">
        <f t="shared" si="9"/>
        <v>0</v>
      </c>
      <c r="J176" s="666">
        <f t="shared" ref="J176" si="10">J161*$C176</f>
        <v>0</v>
      </c>
      <c r="K176" s="666">
        <f t="shared" si="9"/>
        <v>0</v>
      </c>
      <c r="L176" s="666">
        <f t="shared" si="9"/>
        <v>0</v>
      </c>
      <c r="M176" s="666">
        <f t="shared" si="9"/>
        <v>0</v>
      </c>
      <c r="N176" s="666">
        <f t="shared" si="9"/>
        <v>0</v>
      </c>
      <c r="O176" s="666">
        <f t="shared" si="9"/>
        <v>0</v>
      </c>
      <c r="P176" s="666">
        <f t="shared" si="2"/>
        <v>0</v>
      </c>
      <c r="Q176" s="666">
        <f t="shared" si="2"/>
        <v>0</v>
      </c>
      <c r="R176" s="666">
        <f t="shared" si="2"/>
        <v>0</v>
      </c>
      <c r="S176" s="666">
        <f t="shared" si="2"/>
        <v>0</v>
      </c>
      <c r="T176" s="666">
        <f t="shared" si="2"/>
        <v>0</v>
      </c>
      <c r="U176" s="666">
        <f t="shared" si="2"/>
        <v>0</v>
      </c>
      <c r="V176" s="666">
        <f t="shared" si="2"/>
        <v>0</v>
      </c>
      <c r="W176" s="5"/>
      <c r="AC176" s="3"/>
    </row>
    <row r="177" spans="1:29" s="4" customFormat="1" ht="14.5" x14ac:dyDescent="0.35">
      <c r="A177" s="178"/>
      <c r="B177" s="463" t="s">
        <v>903</v>
      </c>
      <c r="C177" s="759">
        <v>271.40056657223795</v>
      </c>
      <c r="D177" s="666">
        <f t="shared" ref="D177:O177" si="11">D162*$C177</f>
        <v>0</v>
      </c>
      <c r="E177" s="666">
        <f t="shared" si="11"/>
        <v>0</v>
      </c>
      <c r="F177" s="666">
        <f t="shared" si="11"/>
        <v>0</v>
      </c>
      <c r="G177" s="666">
        <f t="shared" si="11"/>
        <v>0</v>
      </c>
      <c r="H177" s="666">
        <f t="shared" si="11"/>
        <v>0</v>
      </c>
      <c r="I177" s="666">
        <f t="shared" si="11"/>
        <v>0</v>
      </c>
      <c r="J177" s="666">
        <f t="shared" ref="J177" si="12">J162*$C177</f>
        <v>0</v>
      </c>
      <c r="K177" s="666">
        <f t="shared" si="11"/>
        <v>0</v>
      </c>
      <c r="L177" s="666">
        <f t="shared" si="11"/>
        <v>0</v>
      </c>
      <c r="M177" s="666">
        <f t="shared" si="11"/>
        <v>0</v>
      </c>
      <c r="N177" s="666">
        <f t="shared" si="11"/>
        <v>0</v>
      </c>
      <c r="O177" s="666">
        <f t="shared" si="11"/>
        <v>0</v>
      </c>
      <c r="P177" s="666">
        <f t="shared" si="2"/>
        <v>0</v>
      </c>
      <c r="Q177" s="666">
        <f t="shared" si="2"/>
        <v>0</v>
      </c>
      <c r="R177" s="666">
        <f t="shared" si="2"/>
        <v>0</v>
      </c>
      <c r="S177" s="666">
        <f t="shared" si="2"/>
        <v>0</v>
      </c>
      <c r="T177" s="666">
        <f t="shared" si="2"/>
        <v>0</v>
      </c>
      <c r="U177" s="666">
        <f t="shared" si="2"/>
        <v>0</v>
      </c>
      <c r="V177" s="666">
        <f t="shared" si="2"/>
        <v>0</v>
      </c>
      <c r="W177" s="5"/>
      <c r="AC177" s="3"/>
    </row>
    <row r="178" spans="1:29" s="4" customFormat="1" ht="14.5" x14ac:dyDescent="0.35">
      <c r="A178" s="178"/>
      <c r="B178" s="463" t="s">
        <v>904</v>
      </c>
      <c r="C178" s="759">
        <v>48.34291784702549</v>
      </c>
      <c r="D178" s="666">
        <f>D163*$C178</f>
        <v>0</v>
      </c>
      <c r="E178" s="666">
        <f t="shared" ref="E178:O178" si="13">E163*$C178</f>
        <v>0</v>
      </c>
      <c r="F178" s="666">
        <f t="shared" si="13"/>
        <v>0</v>
      </c>
      <c r="G178" s="666">
        <f t="shared" si="13"/>
        <v>0</v>
      </c>
      <c r="H178" s="666">
        <f t="shared" si="13"/>
        <v>0</v>
      </c>
      <c r="I178" s="666">
        <f t="shared" si="13"/>
        <v>0</v>
      </c>
      <c r="J178" s="666">
        <f t="shared" ref="J178" si="14">J163*$C178</f>
        <v>0</v>
      </c>
      <c r="K178" s="666">
        <f t="shared" si="13"/>
        <v>0</v>
      </c>
      <c r="L178" s="666">
        <f t="shared" si="13"/>
        <v>0</v>
      </c>
      <c r="M178" s="666">
        <f t="shared" si="13"/>
        <v>0</v>
      </c>
      <c r="N178" s="666">
        <f t="shared" si="13"/>
        <v>0</v>
      </c>
      <c r="O178" s="666">
        <f t="shared" si="13"/>
        <v>0</v>
      </c>
      <c r="P178" s="666">
        <f t="shared" si="2"/>
        <v>0</v>
      </c>
      <c r="Q178" s="666">
        <f t="shared" si="2"/>
        <v>0</v>
      </c>
      <c r="R178" s="666">
        <f t="shared" si="2"/>
        <v>0</v>
      </c>
      <c r="S178" s="666">
        <f t="shared" si="2"/>
        <v>0</v>
      </c>
      <c r="T178" s="666">
        <f t="shared" si="2"/>
        <v>0</v>
      </c>
      <c r="U178" s="666">
        <f t="shared" si="2"/>
        <v>0</v>
      </c>
      <c r="V178" s="666">
        <f t="shared" si="2"/>
        <v>0</v>
      </c>
      <c r="W178" s="5"/>
      <c r="AC178" s="3"/>
    </row>
    <row r="179" spans="1:29" s="4" customFormat="1" ht="14.5" x14ac:dyDescent="0.35">
      <c r="A179" s="178"/>
      <c r="B179" s="463" t="s">
        <v>905</v>
      </c>
      <c r="C179" s="759">
        <v>48.34291784702549</v>
      </c>
      <c r="D179" s="666">
        <f t="shared" ref="D179:O179" si="15">D164*$C179</f>
        <v>0</v>
      </c>
      <c r="E179" s="666">
        <f t="shared" si="15"/>
        <v>0</v>
      </c>
      <c r="F179" s="666">
        <f t="shared" si="15"/>
        <v>0</v>
      </c>
      <c r="G179" s="666">
        <f t="shared" si="15"/>
        <v>0</v>
      </c>
      <c r="H179" s="666">
        <f t="shared" si="15"/>
        <v>0</v>
      </c>
      <c r="I179" s="666">
        <f t="shared" si="15"/>
        <v>0</v>
      </c>
      <c r="J179" s="666">
        <f t="shared" ref="J179" si="16">J164*$C179</f>
        <v>0</v>
      </c>
      <c r="K179" s="666">
        <f t="shared" si="15"/>
        <v>0</v>
      </c>
      <c r="L179" s="666">
        <f t="shared" si="15"/>
        <v>0</v>
      </c>
      <c r="M179" s="666">
        <f t="shared" si="15"/>
        <v>0</v>
      </c>
      <c r="N179" s="666">
        <f t="shared" si="15"/>
        <v>0</v>
      </c>
      <c r="O179" s="666">
        <f t="shared" si="15"/>
        <v>0</v>
      </c>
      <c r="P179" s="666">
        <f t="shared" si="2"/>
        <v>0</v>
      </c>
      <c r="Q179" s="666">
        <f t="shared" si="2"/>
        <v>0</v>
      </c>
      <c r="R179" s="666">
        <f t="shared" si="2"/>
        <v>0</v>
      </c>
      <c r="S179" s="666">
        <f t="shared" si="2"/>
        <v>0</v>
      </c>
      <c r="T179" s="666">
        <f t="shared" si="2"/>
        <v>0</v>
      </c>
      <c r="U179" s="666">
        <f t="shared" si="2"/>
        <v>0</v>
      </c>
      <c r="V179" s="666">
        <f t="shared" si="2"/>
        <v>0</v>
      </c>
      <c r="W179" s="5"/>
      <c r="AC179" s="3"/>
    </row>
    <row r="180" spans="1:29" s="4" customFormat="1" ht="14.5" x14ac:dyDescent="0.35">
      <c r="A180" s="178"/>
      <c r="B180" s="463" t="s">
        <v>906</v>
      </c>
      <c r="C180" s="759">
        <v>16338.107082152972</v>
      </c>
      <c r="D180" s="666">
        <f t="shared" ref="D180:O180" si="17">D165*$C180</f>
        <v>0</v>
      </c>
      <c r="E180" s="666">
        <f t="shared" si="17"/>
        <v>0</v>
      </c>
      <c r="F180" s="666">
        <f t="shared" si="17"/>
        <v>0</v>
      </c>
      <c r="G180" s="666">
        <f t="shared" si="17"/>
        <v>0</v>
      </c>
      <c r="H180" s="666">
        <f t="shared" si="17"/>
        <v>0</v>
      </c>
      <c r="I180" s="666">
        <f t="shared" si="17"/>
        <v>0</v>
      </c>
      <c r="J180" s="666">
        <f t="shared" ref="J180" si="18">J165*$C180</f>
        <v>0</v>
      </c>
      <c r="K180" s="666">
        <f t="shared" si="17"/>
        <v>0</v>
      </c>
      <c r="L180" s="666">
        <f t="shared" si="17"/>
        <v>0</v>
      </c>
      <c r="M180" s="666">
        <f t="shared" si="17"/>
        <v>0</v>
      </c>
      <c r="N180" s="666">
        <f t="shared" si="17"/>
        <v>0</v>
      </c>
      <c r="O180" s="666">
        <f t="shared" si="17"/>
        <v>0</v>
      </c>
      <c r="P180" s="666">
        <f t="shared" si="2"/>
        <v>0</v>
      </c>
      <c r="Q180" s="666">
        <f t="shared" si="2"/>
        <v>0</v>
      </c>
      <c r="R180" s="666">
        <f t="shared" si="2"/>
        <v>0</v>
      </c>
      <c r="S180" s="666">
        <f t="shared" si="2"/>
        <v>0</v>
      </c>
      <c r="T180" s="666">
        <f t="shared" si="2"/>
        <v>0</v>
      </c>
      <c r="U180" s="666">
        <f t="shared" si="2"/>
        <v>0</v>
      </c>
      <c r="V180" s="666">
        <f t="shared" si="2"/>
        <v>0</v>
      </c>
      <c r="W180" s="5"/>
      <c r="AC180" s="3"/>
    </row>
    <row r="181" spans="1:29" s="4" customFormat="1" ht="14.5" x14ac:dyDescent="0.35">
      <c r="A181" s="178"/>
      <c r="B181" s="463" t="s">
        <v>907</v>
      </c>
      <c r="C181" s="759">
        <v>48.34291784702549</v>
      </c>
      <c r="D181" s="666">
        <f t="shared" ref="D181:O181" si="19">D166*$C181</f>
        <v>0</v>
      </c>
      <c r="E181" s="666">
        <f t="shared" si="19"/>
        <v>0</v>
      </c>
      <c r="F181" s="666">
        <f t="shared" si="19"/>
        <v>0</v>
      </c>
      <c r="G181" s="666">
        <f t="shared" si="19"/>
        <v>0</v>
      </c>
      <c r="H181" s="666">
        <f t="shared" si="19"/>
        <v>0</v>
      </c>
      <c r="I181" s="666">
        <f t="shared" si="19"/>
        <v>0</v>
      </c>
      <c r="J181" s="666">
        <f t="shared" ref="J181" si="20">J166*$C181</f>
        <v>0</v>
      </c>
      <c r="K181" s="666">
        <f t="shared" si="19"/>
        <v>0</v>
      </c>
      <c r="L181" s="666">
        <f t="shared" si="19"/>
        <v>0</v>
      </c>
      <c r="M181" s="666">
        <f t="shared" si="19"/>
        <v>0</v>
      </c>
      <c r="N181" s="666">
        <f t="shared" si="19"/>
        <v>0</v>
      </c>
      <c r="O181" s="666">
        <f t="shared" si="19"/>
        <v>0</v>
      </c>
      <c r="P181" s="666">
        <f t="shared" si="2"/>
        <v>0</v>
      </c>
      <c r="Q181" s="666">
        <f t="shared" si="2"/>
        <v>0</v>
      </c>
      <c r="R181" s="666">
        <f t="shared" si="2"/>
        <v>0</v>
      </c>
      <c r="S181" s="666">
        <f t="shared" si="2"/>
        <v>0</v>
      </c>
      <c r="T181" s="666">
        <f t="shared" si="2"/>
        <v>0</v>
      </c>
      <c r="U181" s="666">
        <f t="shared" si="2"/>
        <v>0</v>
      </c>
      <c r="V181" s="666">
        <f t="shared" si="2"/>
        <v>0</v>
      </c>
      <c r="W181" s="5"/>
      <c r="AC181" s="3"/>
    </row>
    <row r="182" spans="1:29" s="4" customFormat="1" ht="14.5" x14ac:dyDescent="0.35">
      <c r="A182" s="178"/>
      <c r="B182" s="463" t="s">
        <v>908</v>
      </c>
      <c r="C182" s="759">
        <v>909.69220963172802</v>
      </c>
      <c r="D182" s="666">
        <f t="shared" ref="D182:O182" si="21">D167*$C182</f>
        <v>0</v>
      </c>
      <c r="E182" s="666">
        <f t="shared" si="21"/>
        <v>0</v>
      </c>
      <c r="F182" s="666">
        <f t="shared" si="21"/>
        <v>0</v>
      </c>
      <c r="G182" s="666">
        <f t="shared" si="21"/>
        <v>0</v>
      </c>
      <c r="H182" s="666">
        <f t="shared" si="21"/>
        <v>0</v>
      </c>
      <c r="I182" s="666">
        <f t="shared" si="21"/>
        <v>0</v>
      </c>
      <c r="J182" s="666">
        <f t="shared" ref="J182" si="22">J167*$C182</f>
        <v>0</v>
      </c>
      <c r="K182" s="666">
        <f t="shared" si="21"/>
        <v>0</v>
      </c>
      <c r="L182" s="666">
        <f t="shared" si="21"/>
        <v>0</v>
      </c>
      <c r="M182" s="666">
        <f t="shared" si="21"/>
        <v>0</v>
      </c>
      <c r="N182" s="666">
        <f t="shared" si="21"/>
        <v>0</v>
      </c>
      <c r="O182" s="666">
        <f t="shared" si="21"/>
        <v>0</v>
      </c>
      <c r="P182" s="666">
        <f t="shared" si="2"/>
        <v>0</v>
      </c>
      <c r="Q182" s="666">
        <f t="shared" si="2"/>
        <v>0</v>
      </c>
      <c r="R182" s="666">
        <f t="shared" si="2"/>
        <v>0</v>
      </c>
      <c r="S182" s="666">
        <f t="shared" si="2"/>
        <v>0</v>
      </c>
      <c r="T182" s="666">
        <f t="shared" si="2"/>
        <v>0</v>
      </c>
      <c r="U182" s="666">
        <f t="shared" si="2"/>
        <v>0</v>
      </c>
      <c r="V182" s="666">
        <f t="shared" si="2"/>
        <v>0</v>
      </c>
      <c r="W182" s="5"/>
      <c r="AC182" s="3"/>
    </row>
    <row r="183" spans="1:29" s="4" customFormat="1" ht="14.5" x14ac:dyDescent="0.35">
      <c r="A183" s="178"/>
      <c r="B183" s="178"/>
      <c r="C183" s="178"/>
      <c r="D183" s="178"/>
      <c r="E183" s="178"/>
      <c r="F183" s="178"/>
      <c r="G183" s="177"/>
      <c r="H183" s="178"/>
      <c r="I183" s="5"/>
      <c r="J183" s="5"/>
      <c r="K183" s="5"/>
      <c r="L183" s="179"/>
      <c r="M183" s="178"/>
      <c r="N183" s="178"/>
      <c r="O183" s="178"/>
      <c r="P183" s="178"/>
      <c r="Q183" s="178"/>
      <c r="R183" s="693"/>
      <c r="S183" s="178"/>
      <c r="T183" s="5"/>
      <c r="U183" s="5"/>
      <c r="V183" s="5"/>
      <c r="W183" s="5"/>
      <c r="AB183" s="3"/>
    </row>
    <row r="184" spans="1:29" s="4" customFormat="1" ht="14.5" x14ac:dyDescent="0.35">
      <c r="A184" s="178"/>
      <c r="B184" s="178"/>
      <c r="C184" s="178"/>
      <c r="D184" s="178"/>
      <c r="E184" s="178"/>
      <c r="F184" s="178"/>
      <c r="G184" s="177"/>
      <c r="H184" s="178"/>
      <c r="I184" s="5"/>
      <c r="J184" s="5"/>
      <c r="K184" s="5"/>
      <c r="L184" s="179"/>
      <c r="M184" s="178"/>
      <c r="N184" s="178"/>
      <c r="O184" s="178"/>
      <c r="P184" s="178"/>
      <c r="Q184" s="178"/>
      <c r="R184" s="693"/>
      <c r="S184" s="178"/>
      <c r="T184" s="5"/>
      <c r="U184" s="5"/>
      <c r="V184" s="5"/>
      <c r="W184" s="5"/>
      <c r="AB184" s="3"/>
    </row>
    <row r="185" spans="1:29" s="4" customFormat="1" ht="14.5" x14ac:dyDescent="0.35">
      <c r="A185" s="178"/>
      <c r="B185" s="178"/>
      <c r="C185" s="178"/>
      <c r="D185" s="178"/>
      <c r="E185" s="178"/>
      <c r="F185" s="178"/>
      <c r="G185" s="177"/>
      <c r="H185" s="178"/>
      <c r="I185" s="5"/>
      <c r="J185" s="5"/>
      <c r="K185" s="5"/>
      <c r="L185" s="179"/>
      <c r="M185" s="178"/>
      <c r="N185" s="178"/>
      <c r="O185" s="178"/>
      <c r="P185" s="178"/>
      <c r="Q185" s="178"/>
      <c r="R185" s="693"/>
      <c r="S185" s="178"/>
      <c r="T185" s="5"/>
      <c r="U185" s="5"/>
      <c r="V185" s="5"/>
      <c r="W185" s="5"/>
      <c r="AB185" s="3"/>
    </row>
    <row r="186" spans="1:29" s="4" customFormat="1" ht="14.5" x14ac:dyDescent="0.35">
      <c r="A186" s="178"/>
      <c r="B186" s="464"/>
      <c r="C186" s="459"/>
      <c r="D186" s="466"/>
      <c r="E186" s="465"/>
      <c r="F186" s="465"/>
      <c r="G186" s="465"/>
      <c r="H186" s="465"/>
      <c r="I186" s="465"/>
      <c r="J186" s="465"/>
      <c r="K186" s="465"/>
      <c r="L186" s="465"/>
      <c r="M186" s="466" t="s">
        <v>60</v>
      </c>
      <c r="N186" s="465"/>
      <c r="O186" s="465"/>
      <c r="P186" s="465"/>
      <c r="Q186" s="465"/>
      <c r="R186" s="465"/>
      <c r="S186" s="465"/>
      <c r="T186" s="465"/>
      <c r="U186" s="465"/>
      <c r="V186" s="465"/>
      <c r="W186" s="5"/>
      <c r="AB186" s="3"/>
    </row>
    <row r="187" spans="1:29" s="4" customFormat="1" ht="43.5" x14ac:dyDescent="0.35">
      <c r="A187" s="178"/>
      <c r="B187" s="248" t="s">
        <v>897</v>
      </c>
      <c r="C187" s="248" t="s">
        <v>909</v>
      </c>
      <c r="D187" s="248" t="s">
        <v>699</v>
      </c>
      <c r="E187" s="248" t="s">
        <v>701</v>
      </c>
      <c r="F187" s="248" t="s">
        <v>703</v>
      </c>
      <c r="G187" s="248" t="s">
        <v>705</v>
      </c>
      <c r="H187" s="248" t="s">
        <v>759</v>
      </c>
      <c r="I187" s="248" t="s">
        <v>711</v>
      </c>
      <c r="J187" s="248" t="s">
        <v>1101</v>
      </c>
      <c r="K187" s="248" t="s">
        <v>714</v>
      </c>
      <c r="L187" s="248" t="s">
        <v>717</v>
      </c>
      <c r="M187" s="248" t="s">
        <v>719</v>
      </c>
      <c r="N187" s="248" t="s">
        <v>721</v>
      </c>
      <c r="O187" s="248" t="s">
        <v>723</v>
      </c>
      <c r="P187" s="248" t="s">
        <v>725</v>
      </c>
      <c r="Q187" s="248" t="s">
        <v>727</v>
      </c>
      <c r="R187" s="248" t="s">
        <v>729</v>
      </c>
      <c r="S187" s="248" t="s">
        <v>731</v>
      </c>
      <c r="T187" s="248" t="s">
        <v>733</v>
      </c>
      <c r="U187" s="248" t="s">
        <v>735</v>
      </c>
      <c r="V187" s="678" t="s">
        <v>760</v>
      </c>
      <c r="W187" s="5"/>
      <c r="AB187" s="3"/>
    </row>
    <row r="188" spans="1:29" s="4" customFormat="1" ht="14.5" x14ac:dyDescent="0.35">
      <c r="A188" s="5"/>
      <c r="B188" s="463" t="s">
        <v>898</v>
      </c>
      <c r="C188" s="759">
        <f>C172*0.8</f>
        <v>444.84849858356938</v>
      </c>
      <c r="D188" s="666">
        <f t="shared" ref="D188:O188" si="23">D157*$C188</f>
        <v>0</v>
      </c>
      <c r="E188" s="666">
        <f t="shared" si="23"/>
        <v>0</v>
      </c>
      <c r="F188" s="666">
        <f t="shared" si="23"/>
        <v>0</v>
      </c>
      <c r="G188" s="666">
        <f t="shared" si="23"/>
        <v>0</v>
      </c>
      <c r="H188" s="666">
        <f t="shared" si="23"/>
        <v>0</v>
      </c>
      <c r="I188" s="666">
        <f t="shared" si="23"/>
        <v>0</v>
      </c>
      <c r="J188" s="666">
        <f t="shared" ref="J188" si="24">J157*$C188</f>
        <v>0</v>
      </c>
      <c r="K188" s="666">
        <f t="shared" si="23"/>
        <v>0</v>
      </c>
      <c r="L188" s="666">
        <f t="shared" si="23"/>
        <v>0</v>
      </c>
      <c r="M188" s="666">
        <f t="shared" si="23"/>
        <v>0</v>
      </c>
      <c r="N188" s="666">
        <f t="shared" si="23"/>
        <v>0</v>
      </c>
      <c r="O188" s="666">
        <f t="shared" si="23"/>
        <v>0</v>
      </c>
      <c r="P188" s="666">
        <f t="shared" ref="P188:V198" si="25">P157*$C188</f>
        <v>0</v>
      </c>
      <c r="Q188" s="666">
        <f t="shared" si="25"/>
        <v>0</v>
      </c>
      <c r="R188" s="666">
        <f t="shared" si="25"/>
        <v>0</v>
      </c>
      <c r="S188" s="666">
        <f t="shared" si="25"/>
        <v>0</v>
      </c>
      <c r="T188" s="666">
        <f t="shared" si="25"/>
        <v>0</v>
      </c>
      <c r="U188" s="666">
        <f t="shared" si="25"/>
        <v>0</v>
      </c>
      <c r="V188" s="666">
        <f t="shared" si="25"/>
        <v>0</v>
      </c>
      <c r="W188" s="5"/>
      <c r="AB188" s="3"/>
    </row>
    <row r="189" spans="1:29" s="4" customFormat="1" ht="14.5" x14ac:dyDescent="0.35">
      <c r="A189" s="5"/>
      <c r="B189" s="463" t="s">
        <v>899</v>
      </c>
      <c r="C189" s="759">
        <f t="shared" ref="C189:C198" si="26">C173*0.8</f>
        <v>679.5266855524078</v>
      </c>
      <c r="D189" s="666">
        <f t="shared" ref="D189:O189" si="27">D158*$C189</f>
        <v>0</v>
      </c>
      <c r="E189" s="666">
        <f t="shared" si="27"/>
        <v>0</v>
      </c>
      <c r="F189" s="666">
        <f t="shared" si="27"/>
        <v>0</v>
      </c>
      <c r="G189" s="666">
        <f t="shared" si="27"/>
        <v>0</v>
      </c>
      <c r="H189" s="666">
        <f t="shared" si="27"/>
        <v>0</v>
      </c>
      <c r="I189" s="666">
        <f t="shared" si="27"/>
        <v>0</v>
      </c>
      <c r="J189" s="666">
        <f t="shared" ref="J189" si="28">J158*$C189</f>
        <v>0</v>
      </c>
      <c r="K189" s="666">
        <f t="shared" si="27"/>
        <v>0</v>
      </c>
      <c r="L189" s="666">
        <f t="shared" si="27"/>
        <v>0</v>
      </c>
      <c r="M189" s="666">
        <f t="shared" si="27"/>
        <v>0</v>
      </c>
      <c r="N189" s="666">
        <f t="shared" si="27"/>
        <v>0</v>
      </c>
      <c r="O189" s="666">
        <f t="shared" si="27"/>
        <v>0</v>
      </c>
      <c r="P189" s="666">
        <f t="shared" si="25"/>
        <v>0</v>
      </c>
      <c r="Q189" s="666">
        <f t="shared" si="25"/>
        <v>0</v>
      </c>
      <c r="R189" s="666">
        <f t="shared" si="25"/>
        <v>0</v>
      </c>
      <c r="S189" s="666">
        <f t="shared" si="25"/>
        <v>0</v>
      </c>
      <c r="T189" s="666">
        <f t="shared" si="25"/>
        <v>0</v>
      </c>
      <c r="U189" s="666">
        <f t="shared" si="25"/>
        <v>0</v>
      </c>
      <c r="V189" s="666">
        <f t="shared" si="25"/>
        <v>0</v>
      </c>
      <c r="W189" s="5"/>
      <c r="AB189" s="3"/>
    </row>
    <row r="190" spans="1:29" s="4" customFormat="1" ht="14.5" x14ac:dyDescent="0.35">
      <c r="A190" s="5"/>
      <c r="B190" s="463" t="s">
        <v>900</v>
      </c>
      <c r="C190" s="759">
        <f t="shared" si="26"/>
        <v>78.778130311614731</v>
      </c>
      <c r="D190" s="666">
        <f t="shared" ref="D190:O190" si="29">D159*$C190</f>
        <v>0</v>
      </c>
      <c r="E190" s="666">
        <f t="shared" si="29"/>
        <v>0</v>
      </c>
      <c r="F190" s="666">
        <f t="shared" si="29"/>
        <v>0</v>
      </c>
      <c r="G190" s="666">
        <f t="shared" si="29"/>
        <v>0</v>
      </c>
      <c r="H190" s="666">
        <f t="shared" si="29"/>
        <v>0</v>
      </c>
      <c r="I190" s="666">
        <f t="shared" si="29"/>
        <v>0</v>
      </c>
      <c r="J190" s="666">
        <f t="shared" ref="J190" si="30">J159*$C190</f>
        <v>0</v>
      </c>
      <c r="K190" s="666">
        <f t="shared" si="29"/>
        <v>0</v>
      </c>
      <c r="L190" s="666">
        <f t="shared" si="29"/>
        <v>0</v>
      </c>
      <c r="M190" s="666">
        <f t="shared" si="29"/>
        <v>0</v>
      </c>
      <c r="N190" s="666">
        <f t="shared" si="29"/>
        <v>0</v>
      </c>
      <c r="O190" s="666">
        <f t="shared" si="29"/>
        <v>0</v>
      </c>
      <c r="P190" s="666">
        <f t="shared" si="25"/>
        <v>0</v>
      </c>
      <c r="Q190" s="666">
        <f t="shared" si="25"/>
        <v>0</v>
      </c>
      <c r="R190" s="666">
        <f t="shared" si="25"/>
        <v>0</v>
      </c>
      <c r="S190" s="666">
        <f t="shared" si="25"/>
        <v>0</v>
      </c>
      <c r="T190" s="666">
        <f t="shared" si="25"/>
        <v>0</v>
      </c>
      <c r="U190" s="666">
        <f t="shared" si="25"/>
        <v>0</v>
      </c>
      <c r="V190" s="666">
        <f t="shared" si="25"/>
        <v>0</v>
      </c>
      <c r="W190" s="5"/>
      <c r="AB190" s="3"/>
    </row>
    <row r="191" spans="1:29" s="4" customFormat="1" ht="14.5" x14ac:dyDescent="0.35">
      <c r="A191" s="5"/>
      <c r="B191" s="463" t="s">
        <v>901</v>
      </c>
      <c r="C191" s="759">
        <f t="shared" si="26"/>
        <v>3057.2342209631724</v>
      </c>
      <c r="D191" s="666">
        <f t="shared" ref="D191:O191" si="31">D160*$C191</f>
        <v>0</v>
      </c>
      <c r="E191" s="666">
        <f t="shared" si="31"/>
        <v>0</v>
      </c>
      <c r="F191" s="666">
        <f t="shared" si="31"/>
        <v>0</v>
      </c>
      <c r="G191" s="666">
        <f t="shared" si="31"/>
        <v>0</v>
      </c>
      <c r="H191" s="666">
        <f t="shared" si="31"/>
        <v>0</v>
      </c>
      <c r="I191" s="666">
        <f t="shared" si="31"/>
        <v>0</v>
      </c>
      <c r="J191" s="666">
        <f t="shared" ref="J191" si="32">J160*$C191</f>
        <v>0</v>
      </c>
      <c r="K191" s="666">
        <f t="shared" si="31"/>
        <v>0</v>
      </c>
      <c r="L191" s="666">
        <f t="shared" si="31"/>
        <v>0</v>
      </c>
      <c r="M191" s="666">
        <f t="shared" si="31"/>
        <v>0</v>
      </c>
      <c r="N191" s="666">
        <f t="shared" si="31"/>
        <v>0</v>
      </c>
      <c r="O191" s="666">
        <f t="shared" si="31"/>
        <v>0</v>
      </c>
      <c r="P191" s="666">
        <f t="shared" si="25"/>
        <v>0</v>
      </c>
      <c r="Q191" s="666">
        <f t="shared" si="25"/>
        <v>0</v>
      </c>
      <c r="R191" s="666">
        <f t="shared" si="25"/>
        <v>0</v>
      </c>
      <c r="S191" s="666">
        <f t="shared" si="25"/>
        <v>0</v>
      </c>
      <c r="T191" s="666">
        <f t="shared" si="25"/>
        <v>0</v>
      </c>
      <c r="U191" s="666">
        <f t="shared" si="25"/>
        <v>0</v>
      </c>
      <c r="V191" s="666">
        <f t="shared" si="25"/>
        <v>0</v>
      </c>
      <c r="W191" s="5"/>
      <c r="AB191" s="3"/>
    </row>
    <row r="192" spans="1:29" s="4" customFormat="1" ht="14.5" x14ac:dyDescent="0.35">
      <c r="A192" s="5"/>
      <c r="B192" s="463" t="s">
        <v>902</v>
      </c>
      <c r="C192" s="759">
        <f t="shared" si="26"/>
        <v>53.61960339943343</v>
      </c>
      <c r="D192" s="666">
        <f t="shared" ref="D192:O192" si="33">D161*$C192</f>
        <v>0</v>
      </c>
      <c r="E192" s="666">
        <f t="shared" si="33"/>
        <v>0</v>
      </c>
      <c r="F192" s="666">
        <f t="shared" si="33"/>
        <v>0</v>
      </c>
      <c r="G192" s="666">
        <f t="shared" si="33"/>
        <v>0</v>
      </c>
      <c r="H192" s="666">
        <f t="shared" si="33"/>
        <v>0</v>
      </c>
      <c r="I192" s="666">
        <f t="shared" si="33"/>
        <v>0</v>
      </c>
      <c r="J192" s="666">
        <f t="shared" ref="J192" si="34">J161*$C192</f>
        <v>0</v>
      </c>
      <c r="K192" s="666">
        <f t="shared" si="33"/>
        <v>0</v>
      </c>
      <c r="L192" s="666">
        <f t="shared" si="33"/>
        <v>0</v>
      </c>
      <c r="M192" s="666">
        <f t="shared" si="33"/>
        <v>0</v>
      </c>
      <c r="N192" s="666">
        <f t="shared" si="33"/>
        <v>0</v>
      </c>
      <c r="O192" s="666">
        <f t="shared" si="33"/>
        <v>0</v>
      </c>
      <c r="P192" s="666">
        <f t="shared" si="25"/>
        <v>0</v>
      </c>
      <c r="Q192" s="666">
        <f t="shared" si="25"/>
        <v>0</v>
      </c>
      <c r="R192" s="666">
        <f t="shared" si="25"/>
        <v>0</v>
      </c>
      <c r="S192" s="666">
        <f t="shared" si="25"/>
        <v>0</v>
      </c>
      <c r="T192" s="666">
        <f t="shared" si="25"/>
        <v>0</v>
      </c>
      <c r="U192" s="666">
        <f t="shared" si="25"/>
        <v>0</v>
      </c>
      <c r="V192" s="666">
        <f t="shared" si="25"/>
        <v>0</v>
      </c>
      <c r="W192" s="5"/>
      <c r="AB192" s="3"/>
    </row>
    <row r="193" spans="1:28" s="4" customFormat="1" ht="14.5" x14ac:dyDescent="0.35">
      <c r="A193" s="5"/>
      <c r="B193" s="463" t="s">
        <v>903</v>
      </c>
      <c r="C193" s="759">
        <f t="shared" si="26"/>
        <v>217.12045325779036</v>
      </c>
      <c r="D193" s="666">
        <f t="shared" ref="D193:O193" si="35">D162*$C193</f>
        <v>0</v>
      </c>
      <c r="E193" s="666">
        <f t="shared" si="35"/>
        <v>0</v>
      </c>
      <c r="F193" s="666">
        <f t="shared" si="35"/>
        <v>0</v>
      </c>
      <c r="G193" s="666">
        <f t="shared" si="35"/>
        <v>0</v>
      </c>
      <c r="H193" s="666">
        <f t="shared" si="35"/>
        <v>0</v>
      </c>
      <c r="I193" s="666">
        <f t="shared" si="35"/>
        <v>0</v>
      </c>
      <c r="J193" s="666">
        <f t="shared" ref="J193" si="36">J162*$C193</f>
        <v>0</v>
      </c>
      <c r="K193" s="666">
        <f t="shared" si="35"/>
        <v>0</v>
      </c>
      <c r="L193" s="666">
        <f t="shared" si="35"/>
        <v>0</v>
      </c>
      <c r="M193" s="666">
        <f t="shared" si="35"/>
        <v>0</v>
      </c>
      <c r="N193" s="666">
        <f t="shared" si="35"/>
        <v>0</v>
      </c>
      <c r="O193" s="666">
        <f t="shared" si="35"/>
        <v>0</v>
      </c>
      <c r="P193" s="666">
        <f t="shared" si="25"/>
        <v>0</v>
      </c>
      <c r="Q193" s="666">
        <f t="shared" si="25"/>
        <v>0</v>
      </c>
      <c r="R193" s="666">
        <f t="shared" si="25"/>
        <v>0</v>
      </c>
      <c r="S193" s="666">
        <f t="shared" si="25"/>
        <v>0</v>
      </c>
      <c r="T193" s="666">
        <f t="shared" si="25"/>
        <v>0</v>
      </c>
      <c r="U193" s="666">
        <f t="shared" si="25"/>
        <v>0</v>
      </c>
      <c r="V193" s="666">
        <f t="shared" si="25"/>
        <v>0</v>
      </c>
      <c r="W193" s="5"/>
      <c r="AB193" s="3"/>
    </row>
    <row r="194" spans="1:28" s="4" customFormat="1" ht="14.5" x14ac:dyDescent="0.35">
      <c r="A194" s="5"/>
      <c r="B194" s="463" t="s">
        <v>904</v>
      </c>
      <c r="C194" s="759">
        <f t="shared" si="26"/>
        <v>38.674334277620396</v>
      </c>
      <c r="D194" s="666">
        <f t="shared" ref="D194:O194" si="37">D163*$C194</f>
        <v>0</v>
      </c>
      <c r="E194" s="666">
        <f t="shared" si="37"/>
        <v>0</v>
      </c>
      <c r="F194" s="666">
        <f t="shared" si="37"/>
        <v>0</v>
      </c>
      <c r="G194" s="666">
        <f t="shared" si="37"/>
        <v>0</v>
      </c>
      <c r="H194" s="666">
        <f t="shared" si="37"/>
        <v>0</v>
      </c>
      <c r="I194" s="666">
        <f t="shared" si="37"/>
        <v>0</v>
      </c>
      <c r="J194" s="666">
        <f t="shared" ref="J194" si="38">J163*$C194</f>
        <v>0</v>
      </c>
      <c r="K194" s="666">
        <f t="shared" si="37"/>
        <v>0</v>
      </c>
      <c r="L194" s="666">
        <f t="shared" si="37"/>
        <v>0</v>
      </c>
      <c r="M194" s="666">
        <f t="shared" si="37"/>
        <v>0</v>
      </c>
      <c r="N194" s="666">
        <f t="shared" si="37"/>
        <v>0</v>
      </c>
      <c r="O194" s="666">
        <f t="shared" si="37"/>
        <v>0</v>
      </c>
      <c r="P194" s="666">
        <f t="shared" si="25"/>
        <v>0</v>
      </c>
      <c r="Q194" s="666">
        <f t="shared" si="25"/>
        <v>0</v>
      </c>
      <c r="R194" s="666">
        <f t="shared" si="25"/>
        <v>0</v>
      </c>
      <c r="S194" s="666">
        <f t="shared" si="25"/>
        <v>0</v>
      </c>
      <c r="T194" s="666">
        <f t="shared" si="25"/>
        <v>0</v>
      </c>
      <c r="U194" s="666">
        <f t="shared" si="25"/>
        <v>0</v>
      </c>
      <c r="V194" s="666">
        <f t="shared" si="25"/>
        <v>0</v>
      </c>
      <c r="W194" s="5"/>
      <c r="AB194" s="3"/>
    </row>
    <row r="195" spans="1:28" s="4" customFormat="1" ht="14.5" x14ac:dyDescent="0.35">
      <c r="A195" s="5"/>
      <c r="B195" s="463" t="s">
        <v>905</v>
      </c>
      <c r="C195" s="759">
        <f t="shared" si="26"/>
        <v>38.674334277620396</v>
      </c>
      <c r="D195" s="666">
        <f t="shared" ref="D195:O195" si="39">D164*$C195</f>
        <v>0</v>
      </c>
      <c r="E195" s="666">
        <f t="shared" si="39"/>
        <v>0</v>
      </c>
      <c r="F195" s="666">
        <f t="shared" si="39"/>
        <v>0</v>
      </c>
      <c r="G195" s="666">
        <f t="shared" si="39"/>
        <v>0</v>
      </c>
      <c r="H195" s="666">
        <f t="shared" si="39"/>
        <v>0</v>
      </c>
      <c r="I195" s="666">
        <f t="shared" si="39"/>
        <v>0</v>
      </c>
      <c r="J195" s="666">
        <f t="shared" ref="J195" si="40">J164*$C195</f>
        <v>0</v>
      </c>
      <c r="K195" s="666">
        <f t="shared" si="39"/>
        <v>0</v>
      </c>
      <c r="L195" s="666">
        <f t="shared" si="39"/>
        <v>0</v>
      </c>
      <c r="M195" s="666">
        <f t="shared" si="39"/>
        <v>0</v>
      </c>
      <c r="N195" s="666">
        <f t="shared" si="39"/>
        <v>0</v>
      </c>
      <c r="O195" s="666">
        <f t="shared" si="39"/>
        <v>0</v>
      </c>
      <c r="P195" s="666">
        <f t="shared" si="25"/>
        <v>0</v>
      </c>
      <c r="Q195" s="666">
        <f t="shared" si="25"/>
        <v>0</v>
      </c>
      <c r="R195" s="666">
        <f t="shared" si="25"/>
        <v>0</v>
      </c>
      <c r="S195" s="666">
        <f t="shared" si="25"/>
        <v>0</v>
      </c>
      <c r="T195" s="666">
        <f t="shared" si="25"/>
        <v>0</v>
      </c>
      <c r="U195" s="666">
        <f t="shared" si="25"/>
        <v>0</v>
      </c>
      <c r="V195" s="666">
        <f t="shared" si="25"/>
        <v>0</v>
      </c>
      <c r="W195" s="5"/>
      <c r="AB195" s="3"/>
    </row>
    <row r="196" spans="1:28" s="4" customFormat="1" ht="14.5" x14ac:dyDescent="0.35">
      <c r="A196" s="5"/>
      <c r="B196" s="463" t="s">
        <v>906</v>
      </c>
      <c r="C196" s="759">
        <f t="shared" si="26"/>
        <v>13070.485665722379</v>
      </c>
      <c r="D196" s="666">
        <f t="shared" ref="D196:O196" si="41">D165*$C196</f>
        <v>0</v>
      </c>
      <c r="E196" s="666">
        <f t="shared" si="41"/>
        <v>0</v>
      </c>
      <c r="F196" s="666">
        <f t="shared" si="41"/>
        <v>0</v>
      </c>
      <c r="G196" s="666">
        <f t="shared" si="41"/>
        <v>0</v>
      </c>
      <c r="H196" s="666">
        <f t="shared" si="41"/>
        <v>0</v>
      </c>
      <c r="I196" s="666">
        <f t="shared" si="41"/>
        <v>0</v>
      </c>
      <c r="J196" s="666">
        <f t="shared" ref="J196" si="42">J165*$C196</f>
        <v>0</v>
      </c>
      <c r="K196" s="666">
        <f t="shared" si="41"/>
        <v>0</v>
      </c>
      <c r="L196" s="666">
        <f t="shared" si="41"/>
        <v>0</v>
      </c>
      <c r="M196" s="666">
        <f t="shared" si="41"/>
        <v>0</v>
      </c>
      <c r="N196" s="666">
        <f t="shared" si="41"/>
        <v>0</v>
      </c>
      <c r="O196" s="666">
        <f t="shared" si="41"/>
        <v>0</v>
      </c>
      <c r="P196" s="666">
        <f t="shared" si="25"/>
        <v>0</v>
      </c>
      <c r="Q196" s="666">
        <f t="shared" si="25"/>
        <v>0</v>
      </c>
      <c r="R196" s="666">
        <f t="shared" si="25"/>
        <v>0</v>
      </c>
      <c r="S196" s="666">
        <f t="shared" si="25"/>
        <v>0</v>
      </c>
      <c r="T196" s="666">
        <f t="shared" si="25"/>
        <v>0</v>
      </c>
      <c r="U196" s="666">
        <f t="shared" si="25"/>
        <v>0</v>
      </c>
      <c r="V196" s="666">
        <f t="shared" si="25"/>
        <v>0</v>
      </c>
      <c r="W196" s="5"/>
      <c r="AB196" s="3"/>
    </row>
    <row r="197" spans="1:28" s="4" customFormat="1" ht="14.5" x14ac:dyDescent="0.35">
      <c r="A197" s="5"/>
      <c r="B197" s="463" t="s">
        <v>907</v>
      </c>
      <c r="C197" s="759">
        <f t="shared" si="26"/>
        <v>38.674334277620396</v>
      </c>
      <c r="D197" s="666">
        <f t="shared" ref="D197:O197" si="43">D166*$C197</f>
        <v>0</v>
      </c>
      <c r="E197" s="666">
        <f t="shared" si="43"/>
        <v>0</v>
      </c>
      <c r="F197" s="666">
        <f t="shared" si="43"/>
        <v>0</v>
      </c>
      <c r="G197" s="666">
        <f t="shared" si="43"/>
        <v>0</v>
      </c>
      <c r="H197" s="666">
        <f t="shared" si="43"/>
        <v>0</v>
      </c>
      <c r="I197" s="666">
        <f t="shared" si="43"/>
        <v>0</v>
      </c>
      <c r="J197" s="666">
        <f t="shared" ref="J197" si="44">J166*$C197</f>
        <v>0</v>
      </c>
      <c r="K197" s="666">
        <f t="shared" si="43"/>
        <v>0</v>
      </c>
      <c r="L197" s="666">
        <f t="shared" si="43"/>
        <v>0</v>
      </c>
      <c r="M197" s="666">
        <f t="shared" si="43"/>
        <v>0</v>
      </c>
      <c r="N197" s="666">
        <f t="shared" si="43"/>
        <v>0</v>
      </c>
      <c r="O197" s="666">
        <f t="shared" si="43"/>
        <v>0</v>
      </c>
      <c r="P197" s="666">
        <f t="shared" si="25"/>
        <v>0</v>
      </c>
      <c r="Q197" s="666">
        <f t="shared" si="25"/>
        <v>0</v>
      </c>
      <c r="R197" s="666">
        <f t="shared" si="25"/>
        <v>0</v>
      </c>
      <c r="S197" s="666">
        <f t="shared" si="25"/>
        <v>0</v>
      </c>
      <c r="T197" s="666">
        <f t="shared" si="25"/>
        <v>0</v>
      </c>
      <c r="U197" s="666">
        <f t="shared" si="25"/>
        <v>0</v>
      </c>
      <c r="V197" s="666">
        <f t="shared" si="25"/>
        <v>0</v>
      </c>
      <c r="W197" s="5"/>
      <c r="AB197" s="3"/>
    </row>
    <row r="198" spans="1:28" s="4" customFormat="1" ht="14.5" x14ac:dyDescent="0.35">
      <c r="A198" s="5"/>
      <c r="B198" s="463" t="s">
        <v>908</v>
      </c>
      <c r="C198" s="759">
        <f t="shared" si="26"/>
        <v>727.75376770538242</v>
      </c>
      <c r="D198" s="666">
        <f t="shared" ref="D198:O198" si="45">D167*$C198</f>
        <v>0</v>
      </c>
      <c r="E198" s="666">
        <f t="shared" si="45"/>
        <v>0</v>
      </c>
      <c r="F198" s="666">
        <f t="shared" si="45"/>
        <v>0</v>
      </c>
      <c r="G198" s="666">
        <f t="shared" si="45"/>
        <v>0</v>
      </c>
      <c r="H198" s="666">
        <f t="shared" si="45"/>
        <v>0</v>
      </c>
      <c r="I198" s="666">
        <f t="shared" si="45"/>
        <v>0</v>
      </c>
      <c r="J198" s="666">
        <f t="shared" ref="J198" si="46">J167*$C198</f>
        <v>0</v>
      </c>
      <c r="K198" s="666">
        <f t="shared" si="45"/>
        <v>0</v>
      </c>
      <c r="L198" s="666">
        <f t="shared" si="45"/>
        <v>0</v>
      </c>
      <c r="M198" s="666">
        <f t="shared" si="45"/>
        <v>0</v>
      </c>
      <c r="N198" s="666">
        <f t="shared" si="45"/>
        <v>0</v>
      </c>
      <c r="O198" s="666">
        <f t="shared" si="45"/>
        <v>0</v>
      </c>
      <c r="P198" s="666">
        <f t="shared" si="25"/>
        <v>0</v>
      </c>
      <c r="Q198" s="666">
        <f t="shared" si="25"/>
        <v>0</v>
      </c>
      <c r="R198" s="666">
        <f t="shared" si="25"/>
        <v>0</v>
      </c>
      <c r="S198" s="666">
        <f t="shared" si="25"/>
        <v>0</v>
      </c>
      <c r="T198" s="666">
        <f t="shared" si="25"/>
        <v>0</v>
      </c>
      <c r="U198" s="666">
        <f t="shared" si="25"/>
        <v>0</v>
      </c>
      <c r="V198" s="666">
        <f t="shared" si="25"/>
        <v>0</v>
      </c>
      <c r="W198" s="5"/>
      <c r="AB198" s="3"/>
    </row>
    <row r="199" spans="1:28" s="4" customFormat="1" ht="14.5" x14ac:dyDescent="0.35">
      <c r="A199" s="5"/>
      <c r="B199" s="758"/>
      <c r="C199" s="178"/>
      <c r="D199" s="178"/>
      <c r="E199" s="178"/>
      <c r="F199" s="178"/>
      <c r="G199" s="178"/>
      <c r="H199" s="178"/>
      <c r="I199" s="178"/>
      <c r="J199" s="178"/>
      <c r="K199" s="178"/>
      <c r="L199" s="178"/>
      <c r="M199" s="178"/>
      <c r="N199" s="178"/>
      <c r="O199" s="178"/>
      <c r="P199" s="178"/>
      <c r="Q199" s="693"/>
      <c r="R199" s="178"/>
      <c r="S199" s="5"/>
      <c r="T199" s="5"/>
      <c r="U199" s="5"/>
      <c r="V199" s="5"/>
      <c r="W199" s="5"/>
      <c r="AA199" s="3"/>
    </row>
    <row r="200" spans="1:28" s="4" customFormat="1" ht="14.5" x14ac:dyDescent="0.3">
      <c r="A200" s="5"/>
      <c r="B200" s="694" t="s">
        <v>910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AA200" s="3"/>
    </row>
    <row r="201" spans="1:28" s="4" customFormat="1" ht="14.5" x14ac:dyDescent="0.35">
      <c r="A201" s="5"/>
      <c r="B201" t="s">
        <v>911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AA201" s="3"/>
    </row>
    <row r="202" spans="1:28" ht="14" x14ac:dyDescent="0.3">
      <c r="A202" s="190"/>
      <c r="B202" s="190"/>
      <c r="C202" s="336"/>
      <c r="D202" s="336"/>
      <c r="E202" s="336"/>
      <c r="F202" s="336"/>
      <c r="G202" s="336"/>
      <c r="H202" s="336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5"/>
      <c r="X202" s="4"/>
      <c r="Y202" s="4"/>
    </row>
  </sheetData>
  <sheetProtection algorithmName="SHA-512" hashValue="kPQl/wxCzX/vKFUfURO63dAUioThDTx/VpF7728AJTJj0RR+mpebd/vEO/G9lKinZCPQ8eoFQYDM34qJHYrv9w==" saltValue="zAdQwqb4VARr2zP7AyWfeA==" spinCount="100000" sheet="1" objects="1" scenarios="1"/>
  <protectedRanges>
    <protectedRange sqref="C189:C198 B172:C173 B188:C188 B191:B199 B175:C182 B189 B157:V167" name="Range1"/>
  </protectedRanges>
  <hyperlinks>
    <hyperlink ref="B106" r:id="rId1" location="National-Tariff-Payment-System" display="https://www.england.nhs.uk/pay-syst/national-tariff/national-tariff-payment-system/#National-Tariff-Payment-System" xr:uid="{07A42822-B2C2-47CD-8645-06CEF4ED32D8}"/>
    <hyperlink ref="B129" r:id="rId2" location="National-Tariff-Payment-System" xr:uid="{20EB959E-79F7-4539-9E86-3ADDF93D0860}"/>
    <hyperlink ref="B143" r:id="rId3" location="National-Tariff-Payment-System" xr:uid="{9885F19C-CDD8-4680-A296-B6B7F5893CA7}"/>
    <hyperlink ref="B150" r:id="rId4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5"/>
  <ignoredErrors>
    <ignoredError sqref="K41 H33 H21 K33 M41:N4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87"/>
  <sheetViews>
    <sheetView showGridLines="0" zoomScale="80" zoomScaleNormal="80" zoomScaleSheetLayoutView="80" workbookViewId="0">
      <selection activeCell="C29" sqref="C29"/>
    </sheetView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 x14ac:dyDescent="0.35">
      <c r="B1" s="553" t="str">
        <f>'Inputs and eligible population'!B1</f>
        <v>Cladribine for treating active relapsing forms of multiple sclerosis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35">
      <c r="B2" s="379" t="s">
        <v>22</v>
      </c>
      <c r="C2" s="141"/>
      <c r="E2" s="127" t="s">
        <v>809</v>
      </c>
      <c r="F2" s="127" t="s">
        <v>809</v>
      </c>
      <c r="G2" s="127" t="s">
        <v>809</v>
      </c>
      <c r="H2" s="127" t="s">
        <v>809</v>
      </c>
      <c r="I2" s="127" t="s">
        <v>809</v>
      </c>
      <c r="J2" s="141"/>
    </row>
    <row r="3" spans="2:10" x14ac:dyDescent="0.35">
      <c r="B3" s="130" t="s">
        <v>809</v>
      </c>
      <c r="C3" s="130"/>
      <c r="D3" s="133" t="s">
        <v>809</v>
      </c>
      <c r="E3" s="133" t="s">
        <v>809</v>
      </c>
      <c r="F3" s="133" t="s">
        <v>809</v>
      </c>
      <c r="G3" s="133" t="s">
        <v>809</v>
      </c>
      <c r="H3" s="133" t="s">
        <v>809</v>
      </c>
      <c r="I3" s="133" t="s">
        <v>809</v>
      </c>
      <c r="J3" s="141"/>
    </row>
    <row r="4" spans="2:10" ht="43.5" x14ac:dyDescent="0.35">
      <c r="B4" s="257" t="s">
        <v>912</v>
      </c>
      <c r="C4" s="237" t="s">
        <v>913</v>
      </c>
      <c r="D4" s="270" t="s">
        <v>685</v>
      </c>
      <c r="E4" s="270" t="s">
        <v>686</v>
      </c>
      <c r="F4" s="271" t="s">
        <v>914</v>
      </c>
      <c r="G4" s="271" t="s">
        <v>915</v>
      </c>
      <c r="H4" s="270" t="s">
        <v>916</v>
      </c>
      <c r="J4" s="141"/>
    </row>
    <row r="5" spans="2:10" s="148" customFormat="1" x14ac:dyDescent="0.35">
      <c r="B5" s="166" t="s">
        <v>917</v>
      </c>
      <c r="C5" s="128">
        <f>'Inputs and eligible population'!F42</f>
        <v>43823.922631945847</v>
      </c>
      <c r="D5" s="128">
        <f>'Inputs and eligible population'!G42</f>
        <v>44246.464456277179</v>
      </c>
      <c r="E5" s="128">
        <f>'Inputs and eligible population'!H42</f>
        <v>44673.080347524185</v>
      </c>
      <c r="F5" s="128">
        <f>'Inputs and eligible population'!I42</f>
        <v>45103.809587055635</v>
      </c>
      <c r="G5" s="128">
        <f>'Inputs and eligible population'!J42</f>
        <v>45538.691834983736</v>
      </c>
      <c r="H5" s="128">
        <f>'Inputs and eligible population'!K42</f>
        <v>45977.767133815832</v>
      </c>
      <c r="I5"/>
      <c r="J5" s="141"/>
    </row>
    <row r="6" spans="2:10" x14ac:dyDescent="0.35">
      <c r="B6" s="259" t="s">
        <v>1101</v>
      </c>
      <c r="C6" s="530">
        <f>'Inputs and eligible population'!E84</f>
        <v>0</v>
      </c>
      <c r="D6" s="530">
        <f>'Inputs and eligible population'!F84</f>
        <v>0</v>
      </c>
      <c r="E6" s="530">
        <f>'Inputs and eligible population'!G84</f>
        <v>0</v>
      </c>
      <c r="F6" s="530">
        <f>'Inputs and eligible population'!H84</f>
        <v>0</v>
      </c>
      <c r="G6" s="530">
        <f>'Inputs and eligible population'!I84</f>
        <v>0</v>
      </c>
      <c r="H6" s="530">
        <f>'Inputs and eligible population'!J84</f>
        <v>0</v>
      </c>
      <c r="J6" s="141"/>
    </row>
    <row r="7" spans="2:10" x14ac:dyDescent="0.35">
      <c r="B7" s="166" t="s">
        <v>1113</v>
      </c>
      <c r="C7" s="128">
        <f>'Financial impact (cash)'!D19</f>
        <v>0</v>
      </c>
      <c r="D7" s="128">
        <f>'Financial impact (cash)'!E19</f>
        <v>0</v>
      </c>
      <c r="E7" s="128">
        <f>'Financial impact (cash)'!F19</f>
        <v>0</v>
      </c>
      <c r="F7" s="128">
        <f>'Financial impact (cash)'!G19</f>
        <v>0</v>
      </c>
      <c r="G7" s="128">
        <f>'Financial impact (cash)'!H19</f>
        <v>0</v>
      </c>
      <c r="H7" s="128">
        <f>'Financial impact (cash)'!I19</f>
        <v>0</v>
      </c>
      <c r="J7" s="133"/>
    </row>
    <row r="8" spans="2:10" ht="14.5" customHeight="1" x14ac:dyDescent="0.35">
      <c r="B8" s="243"/>
      <c r="C8" s="243"/>
      <c r="D8" s="133"/>
      <c r="E8" s="133"/>
      <c r="F8" s="133"/>
      <c r="G8" s="133"/>
      <c r="H8" s="133"/>
      <c r="J8" s="133"/>
    </row>
    <row r="9" spans="2:10" ht="43.5" x14ac:dyDescent="0.35">
      <c r="B9" s="264" t="s">
        <v>918</v>
      </c>
      <c r="C9" s="237" t="s">
        <v>913</v>
      </c>
      <c r="D9" s="270" t="s">
        <v>685</v>
      </c>
      <c r="E9" s="270" t="s">
        <v>686</v>
      </c>
      <c r="F9" s="271" t="s">
        <v>914</v>
      </c>
      <c r="G9" s="271" t="s">
        <v>915</v>
      </c>
      <c r="H9" s="270" t="s">
        <v>916</v>
      </c>
      <c r="J9" s="133"/>
    </row>
    <row r="10" spans="2:10" x14ac:dyDescent="0.35">
      <c r="B10" s="346" t="str">
        <f>'Financial impact (cash)'!B35</f>
        <v>Ublituximab</v>
      </c>
      <c r="C10" s="128">
        <f>'Inputs and eligible population'!E78*C$5</f>
        <v>0</v>
      </c>
      <c r="D10" s="128">
        <f>'Inputs and eligible population'!F78*D$5</f>
        <v>0</v>
      </c>
      <c r="E10" s="128">
        <f>'Inputs and eligible population'!G78*E$5</f>
        <v>0</v>
      </c>
      <c r="F10" s="128">
        <f>'Inputs and eligible population'!H78*F$5</f>
        <v>0</v>
      </c>
      <c r="G10" s="128">
        <f>'Inputs and eligible population'!I78*G$5</f>
        <v>0</v>
      </c>
      <c r="H10" s="128">
        <f>'Inputs and eligible population'!J78*H$5</f>
        <v>0</v>
      </c>
      <c r="J10" s="133"/>
    </row>
    <row r="11" spans="2:10" x14ac:dyDescent="0.35">
      <c r="B11" s="346" t="str">
        <f>'Financial impact (cash)'!B36</f>
        <v>Ocrelizumab IV</v>
      </c>
      <c r="C11" s="128">
        <f>'Inputs and eligible population'!E79*C$5</f>
        <v>0</v>
      </c>
      <c r="D11" s="128">
        <f>'Inputs and eligible population'!F79*D$5</f>
        <v>0</v>
      </c>
      <c r="E11" s="128">
        <f>'Inputs and eligible population'!G79*E$5</f>
        <v>0</v>
      </c>
      <c r="F11" s="128">
        <f>'Inputs and eligible population'!H79*F$5</f>
        <v>0</v>
      </c>
      <c r="G11" s="128">
        <f>'Inputs and eligible population'!I79*G$5</f>
        <v>0</v>
      </c>
      <c r="H11" s="128">
        <f>'Inputs and eligible population'!J79*H$5</f>
        <v>0</v>
      </c>
      <c r="J11" s="133"/>
    </row>
    <row r="12" spans="2:10" x14ac:dyDescent="0.35">
      <c r="B12" s="346" t="str">
        <f>'Financial impact (cash)'!B37</f>
        <v>Ocrelizumab SC</v>
      </c>
      <c r="C12" s="128">
        <f>'Inputs and eligible population'!E80*C$5</f>
        <v>0</v>
      </c>
      <c r="D12" s="128">
        <f>'Inputs and eligible population'!F80*D$5</f>
        <v>0</v>
      </c>
      <c r="E12" s="128">
        <f>'Inputs and eligible population'!G80*E$5</f>
        <v>0</v>
      </c>
      <c r="F12" s="128">
        <f>'Inputs and eligible population'!H80*F$5</f>
        <v>0</v>
      </c>
      <c r="G12" s="128">
        <f>'Inputs and eligible population'!I80*G$5</f>
        <v>0</v>
      </c>
      <c r="H12" s="128">
        <f>'Inputs and eligible population'!J80*H$5</f>
        <v>0</v>
      </c>
      <c r="J12" s="133"/>
    </row>
    <row r="13" spans="2:10" x14ac:dyDescent="0.35">
      <c r="B13" s="346" t="str">
        <f>'Financial impact (cash)'!B38</f>
        <v>Ofatumumab SC</v>
      </c>
      <c r="C13" s="128">
        <f>'Inputs and eligible population'!E81*C$5</f>
        <v>0</v>
      </c>
      <c r="D13" s="128">
        <f>'Inputs and eligible population'!F81*D$5</f>
        <v>0</v>
      </c>
      <c r="E13" s="128">
        <f>'Inputs and eligible population'!G81*E$5</f>
        <v>0</v>
      </c>
      <c r="F13" s="128">
        <f>'Inputs and eligible population'!H81*F$5</f>
        <v>0</v>
      </c>
      <c r="G13" s="128">
        <f>'Inputs and eligible population'!I81*G$5</f>
        <v>0</v>
      </c>
      <c r="H13" s="128">
        <f>'Inputs and eligible population'!J81*H$5</f>
        <v>0</v>
      </c>
      <c r="J13" s="133"/>
    </row>
    <row r="14" spans="2:10" x14ac:dyDescent="0.35">
      <c r="B14" s="346" t="str">
        <f>'Financial impact (cash)'!B39</f>
        <v xml:space="preserve">Ponesimod </v>
      </c>
      <c r="C14" s="128">
        <f>'Inputs and eligible population'!E82*C$5</f>
        <v>0</v>
      </c>
      <c r="D14" s="128">
        <f>'Inputs and eligible population'!F82*D$5</f>
        <v>0</v>
      </c>
      <c r="E14" s="128">
        <f>'Inputs and eligible population'!G82*E$5</f>
        <v>0</v>
      </c>
      <c r="F14" s="128">
        <f>'Inputs and eligible population'!H82*F$5</f>
        <v>0</v>
      </c>
      <c r="G14" s="128">
        <f>'Inputs and eligible population'!I82*G$5</f>
        <v>0</v>
      </c>
      <c r="H14" s="128">
        <f>'Inputs and eligible population'!J82*H$5</f>
        <v>0</v>
      </c>
      <c r="J14" s="133"/>
    </row>
    <row r="15" spans="2:10" x14ac:dyDescent="0.35">
      <c r="B15" s="346" t="str">
        <f>'Financial impact (cash)'!B40</f>
        <v>Alemtuzumab</v>
      </c>
      <c r="C15" s="128">
        <f>'Inputs and eligible population'!E83*C$5</f>
        <v>0</v>
      </c>
      <c r="D15" s="128">
        <f>'Inputs and eligible population'!F83*D$5</f>
        <v>0</v>
      </c>
      <c r="E15" s="128">
        <f>'Inputs and eligible population'!G83*E$5</f>
        <v>0</v>
      </c>
      <c r="F15" s="128">
        <f>'Inputs and eligible population'!H83*F$5</f>
        <v>0</v>
      </c>
      <c r="G15" s="128">
        <f>'Inputs and eligible population'!I83*G$5</f>
        <v>0</v>
      </c>
      <c r="H15" s="128">
        <f>'Inputs and eligible population'!J83*H$5</f>
        <v>0</v>
      </c>
      <c r="J15" s="133"/>
    </row>
    <row r="16" spans="2:10" x14ac:dyDescent="0.35">
      <c r="B16" s="346" t="str">
        <f>'Financial impact (cash)'!B41</f>
        <v>Cladribine</v>
      </c>
      <c r="C16" s="128">
        <f>'Inputs and eligible population'!E84*C$5</f>
        <v>0</v>
      </c>
      <c r="D16" s="128">
        <f>'Inputs and eligible population'!F84*D$5</f>
        <v>0</v>
      </c>
      <c r="E16" s="128">
        <f>'Inputs and eligible population'!G84*E$5</f>
        <v>0</v>
      </c>
      <c r="F16" s="128">
        <f>'Inputs and eligible population'!H84*F$5</f>
        <v>0</v>
      </c>
      <c r="G16" s="128">
        <f>'Inputs and eligible population'!I84*G$5</f>
        <v>0</v>
      </c>
      <c r="H16" s="128">
        <f>'Inputs and eligible population'!J84*H$5</f>
        <v>0</v>
      </c>
      <c r="J16" s="133"/>
    </row>
    <row r="17" spans="2:10" x14ac:dyDescent="0.35">
      <c r="B17" s="346" t="str">
        <f>'Financial impact (cash)'!B42</f>
        <v>Dimethyl fumarate</v>
      </c>
      <c r="C17" s="128">
        <f>'Inputs and eligible population'!E85*C$5</f>
        <v>0</v>
      </c>
      <c r="D17" s="128">
        <f>'Inputs and eligible population'!F85*D$5</f>
        <v>0</v>
      </c>
      <c r="E17" s="128">
        <f>'Inputs and eligible population'!G85*E$5</f>
        <v>0</v>
      </c>
      <c r="F17" s="128">
        <f>'Inputs and eligible population'!H85*F$5</f>
        <v>0</v>
      </c>
      <c r="G17" s="128">
        <f>'Inputs and eligible population'!I85*G$5</f>
        <v>0</v>
      </c>
      <c r="H17" s="128">
        <f>'Inputs and eligible population'!J85*H$5</f>
        <v>0</v>
      </c>
      <c r="J17" s="133"/>
    </row>
    <row r="18" spans="2:10" x14ac:dyDescent="0.35">
      <c r="B18" s="346" t="str">
        <f>'Financial impact (cash)'!B43</f>
        <v>Diroximel fumarate</v>
      </c>
      <c r="C18" s="128">
        <f>'Inputs and eligible population'!E86*C$5</f>
        <v>0</v>
      </c>
      <c r="D18" s="128">
        <f>'Inputs and eligible population'!F86*D$5</f>
        <v>0</v>
      </c>
      <c r="E18" s="128">
        <f>'Inputs and eligible population'!G86*E$5</f>
        <v>0</v>
      </c>
      <c r="F18" s="128">
        <f>'Inputs and eligible population'!H86*F$5</f>
        <v>0</v>
      </c>
      <c r="G18" s="128">
        <f>'Inputs and eligible population'!I86*G$5</f>
        <v>0</v>
      </c>
      <c r="H18" s="128">
        <f>'Inputs and eligible population'!J86*H$5</f>
        <v>0</v>
      </c>
      <c r="J18" s="133"/>
    </row>
    <row r="19" spans="2:10" x14ac:dyDescent="0.35">
      <c r="B19" s="346" t="str">
        <f>'Financial impact (cash)'!B44</f>
        <v>Fingolimod</v>
      </c>
      <c r="C19" s="128">
        <f>'Inputs and eligible population'!E87*C$5</f>
        <v>0</v>
      </c>
      <c r="D19" s="128">
        <f>'Inputs and eligible population'!F87*D$5</f>
        <v>0</v>
      </c>
      <c r="E19" s="128">
        <f>'Inputs and eligible population'!G87*E$5</f>
        <v>0</v>
      </c>
      <c r="F19" s="128">
        <f>'Inputs and eligible population'!H87*F$5</f>
        <v>0</v>
      </c>
      <c r="G19" s="128">
        <f>'Inputs and eligible population'!I87*G$5</f>
        <v>0</v>
      </c>
      <c r="H19" s="128">
        <f>'Inputs and eligible population'!J87*H$5</f>
        <v>0</v>
      </c>
      <c r="J19" s="133"/>
    </row>
    <row r="20" spans="2:10" x14ac:dyDescent="0.35">
      <c r="B20" s="346" t="str">
        <f>'Financial impact (cash)'!B45</f>
        <v>Glatiramer acetate</v>
      </c>
      <c r="C20" s="128">
        <f>'Inputs and eligible population'!E88*C$5</f>
        <v>0</v>
      </c>
      <c r="D20" s="128">
        <f>'Inputs and eligible population'!F88*D$5</f>
        <v>0</v>
      </c>
      <c r="E20" s="128">
        <f>'Inputs and eligible population'!G88*E$5</f>
        <v>0</v>
      </c>
      <c r="F20" s="128">
        <f>'Inputs and eligible population'!H88*F$5</f>
        <v>0</v>
      </c>
      <c r="G20" s="128">
        <f>'Inputs and eligible population'!I88*G$5</f>
        <v>0</v>
      </c>
      <c r="H20" s="128">
        <f>'Inputs and eligible population'!J88*H$5</f>
        <v>0</v>
      </c>
      <c r="J20" s="133"/>
    </row>
    <row r="21" spans="2:10" x14ac:dyDescent="0.35">
      <c r="B21" s="346" t="str">
        <f>'Financial impact (cash)'!B46</f>
        <v>Interferon beta-1a 22 mcg</v>
      </c>
      <c r="C21" s="128">
        <f>'Inputs and eligible population'!E89*C$5</f>
        <v>0</v>
      </c>
      <c r="D21" s="128">
        <f>'Inputs and eligible population'!F89*D$5</f>
        <v>0</v>
      </c>
      <c r="E21" s="128">
        <f>'Inputs and eligible population'!G89*E$5</f>
        <v>0</v>
      </c>
      <c r="F21" s="128">
        <f>'Inputs and eligible population'!H89*F$5</f>
        <v>0</v>
      </c>
      <c r="G21" s="128">
        <f>'Inputs and eligible population'!I89*G$5</f>
        <v>0</v>
      </c>
      <c r="H21" s="128">
        <f>'Inputs and eligible population'!J89*H$5</f>
        <v>0</v>
      </c>
      <c r="J21" s="133"/>
    </row>
    <row r="22" spans="2:10" x14ac:dyDescent="0.35">
      <c r="B22" s="346" t="str">
        <f>'Financial impact (cash)'!B47</f>
        <v>Interferon beta-1a 30 mcg</v>
      </c>
      <c r="C22" s="128">
        <f>'Inputs and eligible population'!E90*C$5</f>
        <v>0</v>
      </c>
      <c r="D22" s="128">
        <f>'Inputs and eligible population'!F90*D$5</f>
        <v>0</v>
      </c>
      <c r="E22" s="128">
        <f>'Inputs and eligible population'!G90*E$5</f>
        <v>0</v>
      </c>
      <c r="F22" s="128">
        <f>'Inputs and eligible population'!H90*F$5</f>
        <v>0</v>
      </c>
      <c r="G22" s="128">
        <f>'Inputs and eligible population'!I90*G$5</f>
        <v>0</v>
      </c>
      <c r="H22" s="128">
        <f>'Inputs and eligible population'!J90*H$5</f>
        <v>0</v>
      </c>
      <c r="J22" s="133"/>
    </row>
    <row r="23" spans="2:10" x14ac:dyDescent="0.35">
      <c r="B23" s="346" t="str">
        <f>'Financial impact (cash)'!B48</f>
        <v>Interferon beta-1a 44mcg SC</v>
      </c>
      <c r="C23" s="128">
        <f>'Inputs and eligible population'!E91*C$5</f>
        <v>0</v>
      </c>
      <c r="D23" s="128">
        <f>'Inputs and eligible population'!F91*D$5</f>
        <v>0</v>
      </c>
      <c r="E23" s="128">
        <f>'Inputs and eligible population'!G91*E$5</f>
        <v>0</v>
      </c>
      <c r="F23" s="128">
        <f>'Inputs and eligible population'!H91*F$5</f>
        <v>0</v>
      </c>
      <c r="G23" s="128">
        <f>'Inputs and eligible population'!I91*G$5</f>
        <v>0</v>
      </c>
      <c r="H23" s="128">
        <f>'Inputs and eligible population'!J91*H$5</f>
        <v>0</v>
      </c>
      <c r="J23" s="133"/>
    </row>
    <row r="24" spans="2:10" x14ac:dyDescent="0.35">
      <c r="B24" s="346" t="str">
        <f>'Financial impact (cash)'!B49</f>
        <v>Interferon beta-1b 250mcg SC</v>
      </c>
      <c r="C24" s="128">
        <f>'Inputs and eligible population'!E92*C$5</f>
        <v>0</v>
      </c>
      <c r="D24" s="128">
        <f>'Inputs and eligible population'!F92*D$5</f>
        <v>0</v>
      </c>
      <c r="E24" s="128">
        <f>'Inputs and eligible population'!G92*E$5</f>
        <v>0</v>
      </c>
      <c r="F24" s="128">
        <f>'Inputs and eligible population'!H92*F$5</f>
        <v>0</v>
      </c>
      <c r="G24" s="128">
        <f>'Inputs and eligible population'!I92*G$5</f>
        <v>0</v>
      </c>
      <c r="H24" s="128">
        <f>'Inputs and eligible population'!J92*H$5</f>
        <v>0</v>
      </c>
      <c r="J24" s="133"/>
    </row>
    <row r="25" spans="2:10" x14ac:dyDescent="0.35">
      <c r="B25" s="346" t="str">
        <f>'Financial impact (cash)'!B50</f>
        <v>Natalizumab</v>
      </c>
      <c r="C25" s="128">
        <f>'Inputs and eligible population'!E93*C$5</f>
        <v>0</v>
      </c>
      <c r="D25" s="128">
        <f>'Inputs and eligible population'!F93*D$5</f>
        <v>0</v>
      </c>
      <c r="E25" s="128">
        <f>'Inputs and eligible population'!G93*E$5</f>
        <v>0</v>
      </c>
      <c r="F25" s="128">
        <f>'Inputs and eligible population'!H93*F$5</f>
        <v>0</v>
      </c>
      <c r="G25" s="128">
        <f>'Inputs and eligible population'!I93*G$5</f>
        <v>0</v>
      </c>
      <c r="H25" s="128">
        <f>'Inputs and eligible population'!J93*H$5</f>
        <v>0</v>
      </c>
      <c r="J25" s="133"/>
    </row>
    <row r="26" spans="2:10" x14ac:dyDescent="0.35">
      <c r="B26" s="346" t="str">
        <f>'Financial impact (cash)'!B51</f>
        <v>Peginterferon beta-1a</v>
      </c>
      <c r="C26" s="128">
        <f>'Inputs and eligible population'!E94*C$5</f>
        <v>0</v>
      </c>
      <c r="D26" s="128">
        <f>'Inputs and eligible population'!F94*D$5</f>
        <v>0</v>
      </c>
      <c r="E26" s="128">
        <f>'Inputs and eligible population'!G94*E$5</f>
        <v>0</v>
      </c>
      <c r="F26" s="128">
        <f>'Inputs and eligible population'!H94*F$5</f>
        <v>0</v>
      </c>
      <c r="G26" s="128">
        <f>'Inputs and eligible population'!I94*G$5</f>
        <v>0</v>
      </c>
      <c r="H26" s="128">
        <f>'Inputs and eligible population'!J94*H$5</f>
        <v>0</v>
      </c>
      <c r="J26" s="133"/>
    </row>
    <row r="27" spans="2:10" x14ac:dyDescent="0.35">
      <c r="B27" s="346" t="str">
        <f>'Financial impact (cash)'!B52</f>
        <v>Teriflunomide</v>
      </c>
      <c r="C27" s="128">
        <f>'Inputs and eligible population'!E95*C$5</f>
        <v>0</v>
      </c>
      <c r="D27" s="128">
        <f>'Inputs and eligible population'!F95*D$5</f>
        <v>0</v>
      </c>
      <c r="E27" s="128">
        <f>'Inputs and eligible population'!G95*E$5</f>
        <v>0</v>
      </c>
      <c r="F27" s="128">
        <f>'Inputs and eligible population'!H95*F$5</f>
        <v>0</v>
      </c>
      <c r="G27" s="128">
        <f>'Inputs and eligible population'!I95*G$5</f>
        <v>0</v>
      </c>
      <c r="H27" s="128">
        <f>'Inputs and eligible population'!J95*H$5</f>
        <v>0</v>
      </c>
      <c r="J27" s="133"/>
    </row>
    <row r="28" spans="2:10" x14ac:dyDescent="0.35">
      <c r="B28" s="346" t="str">
        <f>'Financial impact (cash)'!B53</f>
        <v>Best supportive care</v>
      </c>
      <c r="C28" s="128">
        <f>'Inputs and eligible population'!E96*C$5</f>
        <v>0</v>
      </c>
      <c r="D28" s="128">
        <f>'Inputs and eligible population'!F96*D$5</f>
        <v>0</v>
      </c>
      <c r="E28" s="128">
        <f>'Inputs and eligible population'!G96*E$5</f>
        <v>0</v>
      </c>
      <c r="F28" s="128">
        <f>'Inputs and eligible population'!H96*F$5</f>
        <v>0</v>
      </c>
      <c r="G28" s="128">
        <f>'Inputs and eligible population'!I96*G$5</f>
        <v>0</v>
      </c>
      <c r="H28" s="128">
        <f>'Inputs and eligible population'!J96*H$5</f>
        <v>0</v>
      </c>
      <c r="J28" s="133"/>
    </row>
    <row r="29" spans="2:10" x14ac:dyDescent="0.35">
      <c r="B29" s="265"/>
      <c r="C29" s="180">
        <f t="shared" ref="C29:H29" si="0">SUM(C10:C28)</f>
        <v>0</v>
      </c>
      <c r="D29" s="180">
        <f t="shared" si="0"/>
        <v>0</v>
      </c>
      <c r="E29" s="180">
        <f t="shared" si="0"/>
        <v>0</v>
      </c>
      <c r="F29" s="180">
        <f t="shared" si="0"/>
        <v>0</v>
      </c>
      <c r="G29" s="180">
        <f t="shared" si="0"/>
        <v>0</v>
      </c>
      <c r="H29" s="180">
        <f t="shared" si="0"/>
        <v>0</v>
      </c>
      <c r="J29" s="133"/>
    </row>
    <row r="30" spans="2:10" ht="15" thickBot="1" x14ac:dyDescent="0.4">
      <c r="B30" s="504"/>
      <c r="C30" s="504"/>
      <c r="D30" s="505"/>
      <c r="E30" s="505"/>
      <c r="F30" s="505"/>
      <c r="G30" s="505"/>
      <c r="H30" s="505"/>
      <c r="I30" s="506"/>
      <c r="J30" s="133"/>
    </row>
    <row r="31" spans="2:10" x14ac:dyDescent="0.35">
      <c r="B31" s="267"/>
      <c r="C31" s="267"/>
      <c r="D31" s="337"/>
      <c r="E31" s="337"/>
      <c r="F31" s="337"/>
      <c r="G31" s="337"/>
      <c r="H31" s="337"/>
      <c r="I31" s="133"/>
      <c r="J31" s="133"/>
    </row>
    <row r="32" spans="2:10" ht="43.5" x14ac:dyDescent="0.35">
      <c r="B32" s="260" t="s">
        <v>919</v>
      </c>
      <c r="C32" s="237" t="s">
        <v>913</v>
      </c>
      <c r="D32" s="270" t="s">
        <v>685</v>
      </c>
      <c r="E32" s="270" t="s">
        <v>686</v>
      </c>
      <c r="F32" s="271" t="s">
        <v>914</v>
      </c>
      <c r="G32" s="271" t="s">
        <v>915</v>
      </c>
      <c r="H32" s="270" t="s">
        <v>916</v>
      </c>
      <c r="I32" s="133"/>
      <c r="J32" s="133"/>
    </row>
    <row r="33" spans="1:10" x14ac:dyDescent="0.35">
      <c r="B33" s="293" t="s">
        <v>920</v>
      </c>
      <c r="C33" s="695" t="s">
        <v>921</v>
      </c>
      <c r="D33" s="695" t="s">
        <v>921</v>
      </c>
      <c r="E33" s="695" t="s">
        <v>921</v>
      </c>
      <c r="F33" s="695" t="s">
        <v>921</v>
      </c>
      <c r="G33" s="695" t="s">
        <v>921</v>
      </c>
      <c r="H33" s="695" t="s">
        <v>921</v>
      </c>
      <c r="I33" s="133"/>
      <c r="J33" s="133"/>
    </row>
    <row r="34" spans="1:10" x14ac:dyDescent="0.35">
      <c r="B34" s="266" t="s">
        <v>922</v>
      </c>
      <c r="C34" s="252">
        <f>'Financial impact (cash)'!D54</f>
        <v>0</v>
      </c>
      <c r="D34" s="252">
        <f>'Financial impact (cash)'!E54</f>
        <v>0</v>
      </c>
      <c r="E34" s="252">
        <f>'Financial impact (cash)'!F54</f>
        <v>0</v>
      </c>
      <c r="F34" s="252">
        <f>'Financial impact (cash)'!G54</f>
        <v>0</v>
      </c>
      <c r="G34" s="252">
        <f>'Financial impact (cash)'!H54</f>
        <v>0</v>
      </c>
      <c r="H34" s="252">
        <f>'Financial impact (cash)'!I54</f>
        <v>0</v>
      </c>
      <c r="I34" s="133"/>
      <c r="J34" s="133"/>
    </row>
    <row r="35" spans="1:10" x14ac:dyDescent="0.35">
      <c r="C35" s="78"/>
      <c r="D35" s="193">
        <f>D34-$C$34</f>
        <v>0</v>
      </c>
      <c r="E35" s="193">
        <f>E34-$C$34</f>
        <v>0</v>
      </c>
      <c r="F35" s="193">
        <f>F34-$C$34</f>
        <v>0</v>
      </c>
      <c r="G35" s="193">
        <f>G34-$C$34</f>
        <v>0</v>
      </c>
      <c r="H35" s="193">
        <f>H34-$C$34</f>
        <v>0</v>
      </c>
      <c r="I35" s="467" t="s">
        <v>923</v>
      </c>
      <c r="J35" s="133"/>
    </row>
    <row r="36" spans="1:10" x14ac:dyDescent="0.35">
      <c r="C36" s="88"/>
      <c r="D36" s="193">
        <f>D34-C34</f>
        <v>0</v>
      </c>
      <c r="E36" s="193">
        <f>E34-D34</f>
        <v>0</v>
      </c>
      <c r="F36" s="193">
        <f>F34-E34</f>
        <v>0</v>
      </c>
      <c r="G36" s="193">
        <f>G34-F34</f>
        <v>0</v>
      </c>
      <c r="H36" s="193">
        <f>H34-G34</f>
        <v>0</v>
      </c>
      <c r="I36" s="467" t="s">
        <v>924</v>
      </c>
      <c r="J36" s="133"/>
    </row>
    <row r="37" spans="1:10" x14ac:dyDescent="0.35">
      <c r="B37" s="267"/>
      <c r="C37" s="267"/>
      <c r="D37" s="406"/>
      <c r="E37" s="406"/>
      <c r="F37" s="406"/>
      <c r="G37" s="406"/>
      <c r="H37" s="406"/>
      <c r="J37" s="133"/>
    </row>
    <row r="38" spans="1:10" x14ac:dyDescent="0.35">
      <c r="B38" t="s">
        <v>925</v>
      </c>
      <c r="C38" s="267"/>
      <c r="D38" s="406"/>
      <c r="E38" s="406"/>
      <c r="F38" s="406"/>
      <c r="G38" s="406"/>
      <c r="H38" s="406"/>
      <c r="J38" s="133"/>
    </row>
    <row r="39" spans="1:10" x14ac:dyDescent="0.35">
      <c r="B39" s="631" t="s">
        <v>55</v>
      </c>
      <c r="C39" s="267"/>
      <c r="D39" s="406"/>
      <c r="E39" s="406"/>
      <c r="F39" s="406"/>
      <c r="G39" s="406"/>
      <c r="H39" s="406"/>
      <c r="J39" s="133"/>
    </row>
    <row r="40" spans="1:10" x14ac:dyDescent="0.35">
      <c r="B40" s="267"/>
      <c r="C40" s="267"/>
      <c r="D40" s="406"/>
      <c r="E40" s="406"/>
      <c r="F40" s="406"/>
      <c r="G40" s="406"/>
      <c r="H40" s="406"/>
      <c r="J40" s="133"/>
    </row>
    <row r="41" spans="1:10" ht="43.5" x14ac:dyDescent="0.35">
      <c r="A41" s="406"/>
      <c r="B41" s="260" t="s">
        <v>926</v>
      </c>
      <c r="C41" s="237" t="s">
        <v>913</v>
      </c>
      <c r="D41" s="270" t="s">
        <v>685</v>
      </c>
      <c r="E41" s="270" t="s">
        <v>686</v>
      </c>
      <c r="F41" s="271" t="s">
        <v>914</v>
      </c>
      <c r="G41" s="271" t="s">
        <v>915</v>
      </c>
      <c r="H41" s="270" t="s">
        <v>916</v>
      </c>
      <c r="J41" s="133"/>
    </row>
    <row r="42" spans="1:10" x14ac:dyDescent="0.35">
      <c r="A42" s="406"/>
      <c r="B42" s="293" t="s">
        <v>927</v>
      </c>
      <c r="C42" s="695" t="s">
        <v>921</v>
      </c>
      <c r="D42" s="695" t="s">
        <v>921</v>
      </c>
      <c r="E42" s="695" t="s">
        <v>921</v>
      </c>
      <c r="F42" s="695" t="s">
        <v>921</v>
      </c>
      <c r="G42" s="695" t="s">
        <v>921</v>
      </c>
      <c r="H42" s="695" t="s">
        <v>921</v>
      </c>
      <c r="J42" s="133"/>
    </row>
    <row r="43" spans="1:10" x14ac:dyDescent="0.35">
      <c r="A43" s="406"/>
      <c r="B43" s="266" t="s">
        <v>928</v>
      </c>
      <c r="C43" s="252">
        <f>IF($B$39="national prices",'Capacity (national prices)'!L23,IF($B$39="local prices",'Capacity (local prices)'!L24,0))</f>
        <v>0</v>
      </c>
      <c r="D43" s="252">
        <f>IF($B$39="national prices",'Capacity (national prices)'!M23,IF($B$39="local prices",'Capacity (local prices)'!M24,0))</f>
        <v>0</v>
      </c>
      <c r="E43" s="252">
        <f>IF($B$39="national prices",'Capacity (national prices)'!N23,IF($B$39="local prices",'Capacity (local prices)'!N24,0))</f>
        <v>0</v>
      </c>
      <c r="F43" s="252">
        <f>IF($B$39="national prices",'Capacity (national prices)'!O23,IF($B$39="local prices",'Capacity (local prices)'!O24,0))</f>
        <v>0</v>
      </c>
      <c r="G43" s="252">
        <f>IF($B$39="national prices",'Capacity (national prices)'!P23,IF($B$39="local prices",'Capacity (local prices)'!P24,0))</f>
        <v>0</v>
      </c>
      <c r="H43" s="252">
        <f>IF($B$39="national prices",'Capacity (national prices)'!Q23,IF($B$39="local prices",'Capacity (local prices)'!Q24,0))</f>
        <v>0</v>
      </c>
      <c r="J43" s="133"/>
    </row>
    <row r="44" spans="1:10" x14ac:dyDescent="0.35">
      <c r="A44" s="406"/>
      <c r="C44" s="78"/>
      <c r="D44" s="193">
        <f>D43-$C$43</f>
        <v>0</v>
      </c>
      <c r="E44" s="193">
        <f>E43-$C$43</f>
        <v>0</v>
      </c>
      <c r="F44" s="193">
        <f>F43-$C$43</f>
        <v>0</v>
      </c>
      <c r="G44" s="193">
        <f>G43-$C$43</f>
        <v>0</v>
      </c>
      <c r="H44" s="193">
        <f>H43-$C$43</f>
        <v>0</v>
      </c>
      <c r="I44" s="467" t="s">
        <v>923</v>
      </c>
      <c r="J44" s="133"/>
    </row>
    <row r="45" spans="1:10" x14ac:dyDescent="0.35">
      <c r="A45" s="406"/>
      <c r="C45" s="88"/>
      <c r="D45" s="193">
        <f>D43-C43</f>
        <v>0</v>
      </c>
      <c r="E45" s="193">
        <f>E43-D43</f>
        <v>0</v>
      </c>
      <c r="F45" s="193">
        <f>F43-E43</f>
        <v>0</v>
      </c>
      <c r="G45" s="193">
        <f>G43-F43</f>
        <v>0</v>
      </c>
      <c r="H45" s="193">
        <f>H43-G43</f>
        <v>0</v>
      </c>
      <c r="I45" s="467" t="s">
        <v>924</v>
      </c>
      <c r="J45" s="133"/>
    </row>
    <row r="46" spans="1:10" x14ac:dyDescent="0.35">
      <c r="A46" s="406"/>
      <c r="B46" s="406"/>
      <c r="C46" s="406"/>
      <c r="D46" s="406"/>
      <c r="E46" s="406"/>
      <c r="F46" s="406"/>
      <c r="G46" s="406"/>
      <c r="H46" s="406"/>
      <c r="J46" s="133"/>
    </row>
    <row r="47" spans="1:10" ht="43.5" x14ac:dyDescent="0.35">
      <c r="A47" s="406"/>
      <c r="B47" s="260" t="s">
        <v>929</v>
      </c>
      <c r="C47" s="237" t="s">
        <v>913</v>
      </c>
      <c r="D47" s="270" t="s">
        <v>685</v>
      </c>
      <c r="E47" s="270" t="s">
        <v>686</v>
      </c>
      <c r="F47" s="271" t="s">
        <v>914</v>
      </c>
      <c r="G47" s="271" t="s">
        <v>915</v>
      </c>
      <c r="H47" s="270" t="s">
        <v>916</v>
      </c>
      <c r="J47" s="133"/>
    </row>
    <row r="48" spans="1:10" x14ac:dyDescent="0.35">
      <c r="B48" s="293"/>
      <c r="C48" s="695" t="s">
        <v>921</v>
      </c>
      <c r="D48" s="695" t="s">
        <v>921</v>
      </c>
      <c r="E48" s="695" t="s">
        <v>921</v>
      </c>
      <c r="F48" s="695" t="s">
        <v>921</v>
      </c>
      <c r="G48" s="695" t="s">
        <v>921</v>
      </c>
      <c r="H48" s="695" t="s">
        <v>921</v>
      </c>
      <c r="I48" s="133"/>
      <c r="J48" s="133"/>
    </row>
    <row r="49" spans="2:10" x14ac:dyDescent="0.35">
      <c r="B49" s="500" t="s">
        <v>930</v>
      </c>
      <c r="C49" s="520">
        <f>C34+C43</f>
        <v>0</v>
      </c>
      <c r="D49" s="520">
        <f t="shared" ref="D49:H49" si="1">D34+D43</f>
        <v>0</v>
      </c>
      <c r="E49" s="520">
        <f t="shared" si="1"/>
        <v>0</v>
      </c>
      <c r="F49" s="520">
        <f t="shared" si="1"/>
        <v>0</v>
      </c>
      <c r="G49" s="520">
        <f t="shared" si="1"/>
        <v>0</v>
      </c>
      <c r="H49" s="520">
        <f t="shared" si="1"/>
        <v>0</v>
      </c>
      <c r="I49" s="133"/>
      <c r="J49" s="133"/>
    </row>
    <row r="50" spans="2:10" x14ac:dyDescent="0.35">
      <c r="B50" s="499"/>
      <c r="C50" s="501"/>
      <c r="D50" s="502">
        <f>D49-$C$49</f>
        <v>0</v>
      </c>
      <c r="E50" s="502">
        <f>E49-$C$49</f>
        <v>0</v>
      </c>
      <c r="F50" s="502">
        <f>F49-$C$49</f>
        <v>0</v>
      </c>
      <c r="G50" s="502">
        <f>G49-$C$49</f>
        <v>0</v>
      </c>
      <c r="H50" s="502">
        <f>H49-$C$49</f>
        <v>0</v>
      </c>
      <c r="I50" s="467" t="s">
        <v>923</v>
      </c>
      <c r="J50" s="133"/>
    </row>
    <row r="51" spans="2:10" x14ac:dyDescent="0.35">
      <c r="B51" s="499"/>
      <c r="C51" s="501"/>
      <c r="D51" s="503">
        <f>D49-C49</f>
        <v>0</v>
      </c>
      <c r="E51" s="503">
        <f>E49-D49</f>
        <v>0</v>
      </c>
      <c r="F51" s="503">
        <f>F49-E49</f>
        <v>0</v>
      </c>
      <c r="G51" s="503">
        <f>G49-F49</f>
        <v>0</v>
      </c>
      <c r="H51" s="503">
        <f>H49-G49</f>
        <v>0</v>
      </c>
      <c r="I51" s="467" t="s">
        <v>924</v>
      </c>
      <c r="J51" s="133"/>
    </row>
    <row r="52" spans="2:10" ht="15" thickBot="1" x14ac:dyDescent="0.4">
      <c r="B52" s="504"/>
      <c r="C52" s="504"/>
      <c r="D52" s="505"/>
      <c r="E52" s="505"/>
      <c r="F52" s="505"/>
      <c r="G52" s="505"/>
      <c r="H52" s="505"/>
      <c r="I52" s="506"/>
      <c r="J52" s="133"/>
    </row>
    <row r="53" spans="2:10" x14ac:dyDescent="0.35">
      <c r="B53" s="267"/>
      <c r="C53" s="267"/>
      <c r="D53" s="337"/>
      <c r="E53" s="337"/>
      <c r="F53" s="337"/>
      <c r="G53" s="337"/>
      <c r="H53" s="337"/>
      <c r="I53" s="133"/>
      <c r="J53" s="133"/>
    </row>
    <row r="54" spans="2:10" ht="43.5" x14ac:dyDescent="0.35">
      <c r="B54" s="260" t="s">
        <v>931</v>
      </c>
      <c r="C54" s="492"/>
      <c r="D54" s="270" t="s">
        <v>685</v>
      </c>
      <c r="E54" s="270" t="s">
        <v>686</v>
      </c>
      <c r="F54" s="271" t="s">
        <v>914</v>
      </c>
      <c r="G54" s="271" t="s">
        <v>915</v>
      </c>
      <c r="H54" s="270" t="s">
        <v>916</v>
      </c>
      <c r="I54" s="133"/>
      <c r="J54" s="133"/>
    </row>
    <row r="55" spans="2:10" x14ac:dyDescent="0.35">
      <c r="B55" s="495"/>
      <c r="C55" s="493"/>
      <c r="D55" s="494"/>
      <c r="E55" s="494"/>
      <c r="F55" s="494"/>
      <c r="G55" s="494"/>
      <c r="H55" s="494"/>
      <c r="I55" s="133"/>
      <c r="J55" s="133"/>
    </row>
    <row r="56" spans="2:10" x14ac:dyDescent="0.35">
      <c r="B56" s="260" t="s">
        <v>932</v>
      </c>
      <c r="C56" s="258"/>
      <c r="D56" s="254"/>
      <c r="E56" s="254"/>
      <c r="F56" s="254"/>
      <c r="G56" s="254"/>
      <c r="H56" s="255"/>
      <c r="I56" s="133"/>
      <c r="J56" s="133"/>
    </row>
    <row r="57" spans="2:10" hidden="1" x14ac:dyDescent="0.35">
      <c r="B57" s="629" t="s">
        <v>933</v>
      </c>
      <c r="C57" s="628"/>
      <c r="D57" s="630">
        <f>'Capacity (local prices)'!E10-'Capacity (local prices)'!$D10</f>
        <v>0</v>
      </c>
      <c r="E57" s="630">
        <f>'Capacity (local prices)'!F10-'Capacity (local prices)'!$D10</f>
        <v>0</v>
      </c>
      <c r="F57" s="630">
        <f>'Capacity (local prices)'!G10-'Capacity (local prices)'!$D10</f>
        <v>0</v>
      </c>
      <c r="G57" s="630">
        <f>'Capacity (local prices)'!H10-'Capacity (local prices)'!$D10</f>
        <v>0</v>
      </c>
      <c r="H57" s="630">
        <f>'Capacity (local prices)'!I10-'Capacity (local prices)'!$D10</f>
        <v>0</v>
      </c>
      <c r="I57" s="133"/>
      <c r="J57" s="133"/>
    </row>
    <row r="58" spans="2:10" x14ac:dyDescent="0.35">
      <c r="B58" s="629" t="s">
        <v>934</v>
      </c>
      <c r="C58" s="628"/>
      <c r="D58" s="630">
        <f>'Capacity (local prices)'!E11-'Capacity (local prices)'!$D11</f>
        <v>0</v>
      </c>
      <c r="E58" s="630">
        <f>'Capacity (local prices)'!F11-'Capacity (local prices)'!$D11</f>
        <v>0</v>
      </c>
      <c r="F58" s="630">
        <f>'Capacity (local prices)'!G11-'Capacity (local prices)'!$D11</f>
        <v>0</v>
      </c>
      <c r="G58" s="630">
        <f>'Capacity (local prices)'!H11-'Capacity (local prices)'!$D11</f>
        <v>0</v>
      </c>
      <c r="H58" s="630">
        <f>'Capacity (local prices)'!I11-'Capacity (local prices)'!$D11</f>
        <v>0</v>
      </c>
      <c r="I58" s="133"/>
      <c r="J58" s="133"/>
    </row>
    <row r="59" spans="2:10" hidden="1" x14ac:dyDescent="0.35">
      <c r="B59" s="262" t="s">
        <v>935</v>
      </c>
      <c r="C59" s="263"/>
      <c r="D59" s="180">
        <f>'Capacity (local prices)'!E35</f>
        <v>0</v>
      </c>
      <c r="E59" s="180">
        <f>'Capacity (local prices)'!F35</f>
        <v>0</v>
      </c>
      <c r="F59" s="180">
        <f>'Capacity (local prices)'!G35</f>
        <v>0</v>
      </c>
      <c r="G59" s="180">
        <f>'Capacity (local prices)'!H35</f>
        <v>0</v>
      </c>
      <c r="H59" s="180">
        <f>'Capacity (local prices)'!I35</f>
        <v>0</v>
      </c>
      <c r="I59" s="133"/>
      <c r="J59" s="133"/>
    </row>
    <row r="60" spans="2:10" x14ac:dyDescent="0.35">
      <c r="B60" s="262" t="s">
        <v>936</v>
      </c>
      <c r="C60" s="263"/>
      <c r="D60" s="180">
        <f>'Capacity (local prices)'!E59</f>
        <v>0</v>
      </c>
      <c r="E60" s="180">
        <f>'Capacity (local prices)'!F59</f>
        <v>0</v>
      </c>
      <c r="F60" s="180">
        <f>'Capacity (local prices)'!G59</f>
        <v>0</v>
      </c>
      <c r="G60" s="180">
        <f>'Capacity (local prices)'!H59</f>
        <v>0</v>
      </c>
      <c r="H60" s="180">
        <f>'Capacity (local prices)'!I59</f>
        <v>0</v>
      </c>
      <c r="I60" s="133"/>
      <c r="J60" s="133"/>
    </row>
    <row r="61" spans="2:10" x14ac:dyDescent="0.35">
      <c r="B61" s="262" t="s">
        <v>937</v>
      </c>
      <c r="C61" s="263"/>
      <c r="D61" s="180">
        <f>'Capacity (local prices)'!E68</f>
        <v>0</v>
      </c>
      <c r="E61" s="180">
        <f>'Capacity (local prices)'!F68</f>
        <v>0</v>
      </c>
      <c r="F61" s="180">
        <f>'Capacity (local prices)'!G68</f>
        <v>0</v>
      </c>
      <c r="G61" s="180">
        <f>'Capacity (local prices)'!H68</f>
        <v>0</v>
      </c>
      <c r="H61" s="180">
        <f>'Capacity (local prices)'!I68</f>
        <v>0</v>
      </c>
      <c r="I61" s="133"/>
      <c r="J61" s="133"/>
    </row>
    <row r="62" spans="2:10" x14ac:dyDescent="0.35">
      <c r="B62" s="262" t="s">
        <v>938</v>
      </c>
      <c r="C62" s="263"/>
      <c r="D62" s="180">
        <f>'Capacity (local prices)'!E75</f>
        <v>0</v>
      </c>
      <c r="E62" s="180">
        <f>'Capacity (local prices)'!F75</f>
        <v>0</v>
      </c>
      <c r="F62" s="180">
        <f>'Capacity (local prices)'!G75</f>
        <v>0</v>
      </c>
      <c r="G62" s="180">
        <f>'Capacity (local prices)'!H75</f>
        <v>0</v>
      </c>
      <c r="H62" s="180">
        <f>'Capacity (local prices)'!I75</f>
        <v>0</v>
      </c>
      <c r="I62" s="133"/>
      <c r="J62" s="133"/>
    </row>
    <row r="63" spans="2:10" x14ac:dyDescent="0.35">
      <c r="B63" s="262" t="s">
        <v>939</v>
      </c>
      <c r="C63" s="263"/>
      <c r="D63" s="180">
        <f>'Capacity (local prices)'!E99</f>
        <v>0</v>
      </c>
      <c r="E63" s="180">
        <f>'Capacity (local prices)'!F99</f>
        <v>0</v>
      </c>
      <c r="F63" s="180">
        <f>'Capacity (local prices)'!G99</f>
        <v>0</v>
      </c>
      <c r="G63" s="180">
        <f>'Capacity (local prices)'!H99</f>
        <v>0</v>
      </c>
      <c r="H63" s="180">
        <f>'Capacity (local prices)'!I99</f>
        <v>0</v>
      </c>
      <c r="I63" s="133"/>
      <c r="J63" s="133"/>
    </row>
    <row r="64" spans="2:10" x14ac:dyDescent="0.35">
      <c r="I64" s="133"/>
      <c r="J64" s="133"/>
    </row>
    <row r="65" spans="2:10" x14ac:dyDescent="0.35">
      <c r="B65" s="260" t="s">
        <v>940</v>
      </c>
      <c r="C65" s="261"/>
      <c r="D65" s="254"/>
      <c r="E65" s="254"/>
      <c r="F65" s="254"/>
      <c r="G65" s="254"/>
      <c r="H65" s="255"/>
      <c r="I65" s="133"/>
      <c r="J65" s="133"/>
    </row>
    <row r="66" spans="2:10" x14ac:dyDescent="0.35">
      <c r="B66" s="262" t="s">
        <v>941</v>
      </c>
      <c r="C66" s="263"/>
      <c r="D66" s="180">
        <f>'Capacity (local prices)'!E124</f>
        <v>0</v>
      </c>
      <c r="E66" s="180">
        <f>'Capacity (local prices)'!F124</f>
        <v>0</v>
      </c>
      <c r="F66" s="180">
        <f>'Capacity (local prices)'!G124</f>
        <v>0</v>
      </c>
      <c r="G66" s="180">
        <f>'Capacity (local prices)'!H124</f>
        <v>0</v>
      </c>
      <c r="H66" s="180">
        <f>'Capacity (local prices)'!I124</f>
        <v>0</v>
      </c>
      <c r="I66" s="133"/>
      <c r="J66" s="133"/>
    </row>
    <row r="67" spans="2:10" x14ac:dyDescent="0.35">
      <c r="B67" s="262" t="s">
        <v>942</v>
      </c>
      <c r="C67" s="263"/>
      <c r="D67" s="180">
        <f>'Capacity (local prices)'!E148</f>
        <v>0</v>
      </c>
      <c r="E67" s="180">
        <f>'Capacity (local prices)'!F148</f>
        <v>0</v>
      </c>
      <c r="F67" s="180">
        <f>'Capacity (local prices)'!G148</f>
        <v>0</v>
      </c>
      <c r="G67" s="180">
        <f>'Capacity (local prices)'!H148</f>
        <v>0</v>
      </c>
      <c r="H67" s="180">
        <f>'Capacity (local prices)'!I148</f>
        <v>0</v>
      </c>
      <c r="I67" s="133"/>
      <c r="J67" s="133"/>
    </row>
    <row r="68" spans="2:10" x14ac:dyDescent="0.35">
      <c r="B68" s="262" t="s">
        <v>943</v>
      </c>
      <c r="C68" s="263"/>
      <c r="D68" s="180">
        <f>'Capacity (local prices)'!E172</f>
        <v>0</v>
      </c>
      <c r="E68" s="180">
        <f>'Capacity (local prices)'!F172</f>
        <v>0</v>
      </c>
      <c r="F68" s="180">
        <f>'Capacity (local prices)'!G172</f>
        <v>0</v>
      </c>
      <c r="G68" s="180">
        <f>'Capacity (local prices)'!H172</f>
        <v>0</v>
      </c>
      <c r="H68" s="180">
        <f>'Capacity (local prices)'!I172</f>
        <v>0</v>
      </c>
      <c r="I68" s="133"/>
      <c r="J68" s="133"/>
    </row>
    <row r="69" spans="2:10" x14ac:dyDescent="0.35">
      <c r="I69" s="133"/>
      <c r="J69" s="133"/>
    </row>
    <row r="70" spans="2:10" hidden="1" x14ac:dyDescent="0.35">
      <c r="B70" s="260" t="s">
        <v>944</v>
      </c>
      <c r="C70" s="261"/>
      <c r="D70" s="254"/>
      <c r="E70" s="254"/>
      <c r="F70" s="254"/>
      <c r="G70" s="254"/>
      <c r="H70" s="255"/>
      <c r="I70" s="133"/>
      <c r="J70" s="133"/>
    </row>
    <row r="71" spans="2:10" hidden="1" x14ac:dyDescent="0.35">
      <c r="B71" s="344" t="s">
        <v>945</v>
      </c>
      <c r="C71" s="268"/>
      <c r="D71" s="378">
        <f>'Capacity (local prices)'!E181</f>
        <v>0</v>
      </c>
      <c r="E71" s="180">
        <f>'Capacity (local prices)'!F181</f>
        <v>0</v>
      </c>
      <c r="F71" s="180">
        <f>'Capacity (local prices)'!G181</f>
        <v>0</v>
      </c>
      <c r="G71" s="180">
        <f>'Capacity (local prices)'!H181</f>
        <v>0</v>
      </c>
      <c r="H71" s="180">
        <f>'Capacity (local prices)'!I181</f>
        <v>0</v>
      </c>
      <c r="I71" s="133"/>
      <c r="J71" s="133"/>
    </row>
    <row r="72" spans="2:10" hidden="1" x14ac:dyDescent="0.35">
      <c r="I72" s="133"/>
      <c r="J72" s="133"/>
    </row>
    <row r="73" spans="2:10" hidden="1" x14ac:dyDescent="0.35">
      <c r="B73" s="260" t="s">
        <v>946</v>
      </c>
      <c r="C73" s="261"/>
      <c r="D73" s="254"/>
      <c r="E73" s="254"/>
      <c r="F73" s="254"/>
      <c r="G73" s="254"/>
      <c r="H73" s="255"/>
      <c r="I73" s="133"/>
      <c r="J73" s="133"/>
    </row>
    <row r="74" spans="2:10" hidden="1" x14ac:dyDescent="0.35">
      <c r="B74" s="344" t="s">
        <v>947</v>
      </c>
      <c r="C74" s="268"/>
      <c r="D74" s="378">
        <f>'Capacity (local prices)'!E190</f>
        <v>0</v>
      </c>
      <c r="E74" s="180">
        <f>'Capacity (local prices)'!F190</f>
        <v>0</v>
      </c>
      <c r="F74" s="180">
        <f>'Capacity (local prices)'!G190</f>
        <v>0</v>
      </c>
      <c r="G74" s="180">
        <f>'Capacity (local prices)'!H190</f>
        <v>0</v>
      </c>
      <c r="H74" s="180">
        <f>'Capacity (local prices)'!I190</f>
        <v>0</v>
      </c>
      <c r="I74" s="133"/>
      <c r="J74" s="133"/>
    </row>
    <row r="75" spans="2:10" hidden="1" x14ac:dyDescent="0.35">
      <c r="I75" s="133"/>
      <c r="J75" s="133"/>
    </row>
    <row r="76" spans="2:10" x14ac:dyDescent="0.35">
      <c r="B76" s="260" t="s">
        <v>948</v>
      </c>
      <c r="C76" s="261"/>
      <c r="D76" s="254"/>
      <c r="E76" s="254"/>
      <c r="F76" s="254"/>
      <c r="G76" s="254"/>
      <c r="H76" s="255"/>
      <c r="I76" s="133"/>
      <c r="J76" s="133"/>
    </row>
    <row r="77" spans="2:10" x14ac:dyDescent="0.35">
      <c r="B77" s="344" t="s">
        <v>949</v>
      </c>
      <c r="C77" s="263"/>
      <c r="D77" s="378">
        <f>'Capacity (local prices)'!E215</f>
        <v>0</v>
      </c>
      <c r="E77" s="180">
        <f>'Capacity (local prices)'!F215</f>
        <v>0</v>
      </c>
      <c r="F77" s="180">
        <f>'Capacity (local prices)'!G215</f>
        <v>0</v>
      </c>
      <c r="G77" s="180">
        <f>'Capacity (local prices)'!H215</f>
        <v>0</v>
      </c>
      <c r="H77" s="180">
        <f>'Capacity (local prices)'!I215</f>
        <v>0</v>
      </c>
      <c r="I77" s="133"/>
      <c r="J77" s="133"/>
    </row>
    <row r="78" spans="2:10" x14ac:dyDescent="0.35">
      <c r="B78" s="344" t="s">
        <v>950</v>
      </c>
      <c r="C78" s="263"/>
      <c r="D78" s="378">
        <f>'Capacity (local prices)'!E239</f>
        <v>0</v>
      </c>
      <c r="E78" s="180">
        <f>'Capacity (local prices)'!F239</f>
        <v>0</v>
      </c>
      <c r="F78" s="180">
        <f>'Capacity (local prices)'!G239</f>
        <v>0</v>
      </c>
      <c r="G78" s="180">
        <f>'Capacity (local prices)'!H239</f>
        <v>0</v>
      </c>
      <c r="H78" s="180">
        <f>'Capacity (local prices)'!I239</f>
        <v>0</v>
      </c>
      <c r="I78" s="133"/>
      <c r="J78" s="133"/>
    </row>
    <row r="79" spans="2:10" x14ac:dyDescent="0.35">
      <c r="B79" s="344" t="s">
        <v>951</v>
      </c>
      <c r="C79" s="263"/>
      <c r="D79" s="378">
        <f>'Capacity (local prices)'!E263</f>
        <v>0</v>
      </c>
      <c r="E79" s="180">
        <f>'Capacity (local prices)'!F263</f>
        <v>0</v>
      </c>
      <c r="F79" s="180">
        <f>'Capacity (local prices)'!G263</f>
        <v>0</v>
      </c>
      <c r="G79" s="180">
        <f>'Capacity (local prices)'!H263</f>
        <v>0</v>
      </c>
      <c r="H79" s="180">
        <f>'Capacity (local prices)'!I263</f>
        <v>0</v>
      </c>
      <c r="I79" s="133"/>
      <c r="J79" s="133"/>
    </row>
    <row r="80" spans="2:10" x14ac:dyDescent="0.35">
      <c r="I80" s="133"/>
      <c r="J80" s="133"/>
    </row>
    <row r="81" spans="2:14" x14ac:dyDescent="0.35">
      <c r="B81" s="260" t="s">
        <v>952</v>
      </c>
      <c r="C81" s="258"/>
      <c r="D81" s="254"/>
      <c r="E81" s="254"/>
      <c r="F81" s="254"/>
      <c r="G81" s="254"/>
      <c r="H81" s="255"/>
      <c r="I81" s="133"/>
      <c r="J81" s="133"/>
    </row>
    <row r="82" spans="2:14" x14ac:dyDescent="0.35">
      <c r="B82" s="262" t="s">
        <v>953</v>
      </c>
      <c r="C82" s="263"/>
      <c r="D82" s="378">
        <f>'Capacity (local prices)'!E280</f>
        <v>0</v>
      </c>
      <c r="E82" s="180">
        <f>'Capacity (local prices)'!F280</f>
        <v>0</v>
      </c>
      <c r="F82" s="180">
        <f>'Capacity (local prices)'!G280</f>
        <v>0</v>
      </c>
      <c r="G82" s="180">
        <f>'Capacity (local prices)'!H280</f>
        <v>0</v>
      </c>
      <c r="H82" s="180">
        <f>'Capacity (local prices)'!I280</f>
        <v>0</v>
      </c>
      <c r="I82" s="133"/>
      <c r="J82" s="133"/>
    </row>
    <row r="83" spans="2:14" x14ac:dyDescent="0.35">
      <c r="B83" s="267"/>
      <c r="C83" s="267"/>
      <c r="D83" s="253"/>
      <c r="E83" s="253"/>
      <c r="F83" s="253"/>
      <c r="G83" s="253"/>
      <c r="H83" s="253"/>
      <c r="I83" s="133"/>
      <c r="J83" s="133"/>
    </row>
    <row r="85" spans="2:14" x14ac:dyDescent="0.35">
      <c r="D85" s="803"/>
      <c r="E85" s="804"/>
      <c r="F85" s="804"/>
      <c r="G85" s="804"/>
      <c r="H85" s="804"/>
      <c r="I85" s="804"/>
      <c r="J85" s="804"/>
      <c r="K85" s="804"/>
      <c r="L85" s="804"/>
      <c r="M85" s="804"/>
      <c r="N85" s="804"/>
    </row>
    <row r="86" spans="2:14" x14ac:dyDescent="0.35">
      <c r="D86" s="804"/>
      <c r="E86" s="804"/>
      <c r="F86" s="804"/>
      <c r="G86" s="804"/>
      <c r="H86" s="804"/>
      <c r="I86" s="804"/>
      <c r="J86" s="804"/>
      <c r="K86" s="804"/>
      <c r="L86" s="804"/>
      <c r="M86" s="804"/>
      <c r="N86" s="804"/>
    </row>
    <row r="87" spans="2:14" x14ac:dyDescent="0.35">
      <c r="D87" s="803"/>
      <c r="E87" s="804"/>
      <c r="F87" s="804"/>
      <c r="G87" s="804"/>
      <c r="H87" s="804"/>
      <c r="I87" s="804"/>
      <c r="J87" s="804"/>
      <c r="K87" s="804"/>
      <c r="L87" s="804"/>
      <c r="M87" s="804"/>
      <c r="N87" s="804"/>
    </row>
  </sheetData>
  <sheetProtection algorithmName="SHA-512" hashValue="CFaG6zoWZ5gWBNHPfwhDzQ9lcLRQPrZUSxuZ8LJ/Jl5dh+TLerkzcFul1xXS3p6FBUHPusTQ8qKlt1ffNSt1iQ==" saltValue="VH4NzE3vgLCbGn/IlEx3/A==" spinCount="100000" sheet="1" objects="1" scenarios="1"/>
  <mergeCells count="2">
    <mergeCell ref="D85:N86"/>
    <mergeCell ref="D87:N87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61"/>
  <sheetViews>
    <sheetView showGridLines="0" zoomScale="80" zoomScaleNormal="80" zoomScaleSheetLayoutView="80" workbookViewId="0">
      <selection activeCell="D14" sqref="D14"/>
    </sheetView>
  </sheetViews>
  <sheetFormatPr defaultColWidth="8.81640625" defaultRowHeight="14.5" x14ac:dyDescent="0.3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553" t="str">
        <f>'Inputs and eligible population'!B1</f>
        <v>Cladribine for treating active relapsing forms of multiple sclerosis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5" customHeight="1" x14ac:dyDescent="0.35">
      <c r="B2" s="376" t="s">
        <v>954</v>
      </c>
      <c r="C2" s="127" t="s">
        <v>809</v>
      </c>
      <c r="D2" s="127" t="s">
        <v>809</v>
      </c>
      <c r="E2" s="127" t="s">
        <v>809</v>
      </c>
      <c r="F2" s="127" t="s">
        <v>809</v>
      </c>
      <c r="G2" s="127" t="s">
        <v>809</v>
      </c>
      <c r="H2" s="127"/>
      <c r="I2" s="127" t="s">
        <v>809</v>
      </c>
      <c r="J2" s="127" t="s">
        <v>809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35">
      <c r="B3" s="130" t="s">
        <v>809</v>
      </c>
      <c r="C3" s="133" t="s">
        <v>809</v>
      </c>
      <c r="D3" s="133" t="s">
        <v>809</v>
      </c>
      <c r="E3" s="133" t="s">
        <v>809</v>
      </c>
      <c r="F3" s="133" t="s">
        <v>809</v>
      </c>
      <c r="G3" s="133" t="s">
        <v>809</v>
      </c>
      <c r="H3" s="133" t="s">
        <v>809</v>
      </c>
      <c r="I3" s="133" t="s">
        <v>809</v>
      </c>
      <c r="J3" s="133" t="s">
        <v>809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1" customFormat="1" x14ac:dyDescent="0.35">
      <c r="B4" s="246" t="s">
        <v>955</v>
      </c>
      <c r="F4" s="133"/>
      <c r="G4" s="133"/>
      <c r="H4" s="133"/>
      <c r="I4" s="133"/>
      <c r="J4" s="133" t="s">
        <v>809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1" customFormat="1" x14ac:dyDescent="0.35">
      <c r="B5" s="246" t="s">
        <v>956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1" customFormat="1" x14ac:dyDescent="0.35">
      <c r="B6" s="246"/>
      <c r="C6" s="133" t="s">
        <v>809</v>
      </c>
      <c r="D6" s="133" t="s">
        <v>809</v>
      </c>
      <c r="E6" s="133"/>
      <c r="F6" s="133"/>
      <c r="G6" s="133"/>
      <c r="H6" s="133"/>
      <c r="I6" s="133" t="s">
        <v>809</v>
      </c>
      <c r="J6" s="133" t="s">
        <v>809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1" customFormat="1" ht="43.5" x14ac:dyDescent="0.35">
      <c r="B7" s="257" t="s">
        <v>917</v>
      </c>
      <c r="C7" s="269"/>
      <c r="D7" s="421" t="s">
        <v>957</v>
      </c>
      <c r="E7" s="270" t="s">
        <v>685</v>
      </c>
      <c r="F7" s="270" t="s">
        <v>686</v>
      </c>
      <c r="G7" s="271" t="s">
        <v>914</v>
      </c>
      <c r="H7" s="271" t="s">
        <v>915</v>
      </c>
      <c r="I7" s="270" t="s">
        <v>916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35">
      <c r="B8" s="224" t="s">
        <v>917</v>
      </c>
      <c r="C8" s="181"/>
      <c r="D8" s="180">
        <f>'Inputs and eligible population'!F42</f>
        <v>43823.922631945847</v>
      </c>
      <c r="E8" s="180">
        <f>'Inputs and eligible population'!G42</f>
        <v>44246.464456277179</v>
      </c>
      <c r="F8" s="180">
        <f>'Inputs and eligible population'!H42</f>
        <v>44673.080347524185</v>
      </c>
      <c r="G8" s="180">
        <f>'Inputs and eligible population'!I42</f>
        <v>45103.809587055635</v>
      </c>
      <c r="H8" s="180">
        <f>'Inputs and eligible population'!J42</f>
        <v>45538.691834983736</v>
      </c>
      <c r="I8" s="180">
        <f>'Inputs and eligible population'!K42</f>
        <v>45977.767133815832</v>
      </c>
      <c r="K8" s="133"/>
      <c r="L8" s="133"/>
    </row>
    <row r="9" spans="2:34" s="241" customFormat="1" x14ac:dyDescent="0.35">
      <c r="B9" s="243" t="s">
        <v>809</v>
      </c>
      <c r="C9" s="133" t="s">
        <v>809</v>
      </c>
      <c r="D9" s="133" t="s">
        <v>809</v>
      </c>
      <c r="E9" s="133" t="s">
        <v>809</v>
      </c>
      <c r="F9" s="133" t="s">
        <v>809</v>
      </c>
      <c r="G9" s="133" t="s">
        <v>809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72"/>
      <c r="AE9" s="272"/>
      <c r="AF9" s="272"/>
      <c r="AG9" s="272"/>
      <c r="AH9" s="272"/>
    </row>
    <row r="10" spans="2:34" s="241" customFormat="1" x14ac:dyDescent="0.35">
      <c r="B10" s="340" t="s">
        <v>920</v>
      </c>
      <c r="C10" s="341"/>
      <c r="D10" s="342"/>
      <c r="E10" s="342"/>
      <c r="F10" s="342"/>
      <c r="G10" s="342"/>
      <c r="H10" s="342"/>
      <c r="I10" s="343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41" customFormat="1" x14ac:dyDescent="0.35">
      <c r="B11" s="243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72"/>
      <c r="AE11" s="272"/>
      <c r="AF11" s="272"/>
      <c r="AG11" s="272"/>
      <c r="AH11" s="272"/>
    </row>
    <row r="12" spans="2:34" s="241" customFormat="1" x14ac:dyDescent="0.35">
      <c r="B12" s="278" t="s">
        <v>958</v>
      </c>
      <c r="C12" s="273"/>
      <c r="D12" s="182"/>
      <c r="E12" s="182"/>
      <c r="F12" s="182"/>
      <c r="G12" s="182"/>
      <c r="H12" s="182"/>
      <c r="I12" s="183"/>
      <c r="N12" s="133"/>
      <c r="O12" s="133"/>
      <c r="P12" s="133"/>
      <c r="Q12" s="133"/>
      <c r="R12" s="133"/>
      <c r="S12" s="133"/>
      <c r="T12" s="133"/>
    </row>
    <row r="13" spans="2:34" s="241" customFormat="1" x14ac:dyDescent="0.35">
      <c r="B13" s="348" t="str">
        <f>'Inputs and eligible population'!D78</f>
        <v>Ublituximab</v>
      </c>
      <c r="C13" s="349"/>
      <c r="D13" s="274">
        <f>'Inputs and eligible population'!L78</f>
        <v>0</v>
      </c>
      <c r="E13" s="274">
        <f>'Inputs and eligible population'!M78</f>
        <v>0</v>
      </c>
      <c r="F13" s="274">
        <f>'Inputs and eligible population'!N78</f>
        <v>0</v>
      </c>
      <c r="G13" s="274">
        <f>'Inputs and eligible population'!O78</f>
        <v>0</v>
      </c>
      <c r="H13" s="274">
        <f>'Inputs and eligible population'!P78</f>
        <v>0</v>
      </c>
      <c r="I13" s="274">
        <f>'Inputs and eligible population'!Q78</f>
        <v>0</v>
      </c>
      <c r="N13" s="133"/>
      <c r="O13" s="133"/>
      <c r="P13" s="133"/>
      <c r="Q13" s="133"/>
      <c r="R13" s="133"/>
      <c r="S13" s="133"/>
      <c r="T13" s="133"/>
      <c r="V13" s="272"/>
      <c r="W13" s="272"/>
      <c r="X13" s="272"/>
      <c r="Y13" s="272"/>
      <c r="Z13" s="272"/>
      <c r="AA13" s="272"/>
      <c r="AC13" s="272"/>
      <c r="AD13" s="272"/>
      <c r="AE13" s="272"/>
      <c r="AF13" s="272"/>
      <c r="AG13" s="272"/>
      <c r="AH13" s="272"/>
    </row>
    <row r="14" spans="2:34" s="241" customFormat="1" x14ac:dyDescent="0.35">
      <c r="B14" s="348" t="str">
        <f>'Inputs and eligible population'!D79</f>
        <v>Ocrelizumab IV</v>
      </c>
      <c r="C14" s="349"/>
      <c r="D14" s="274">
        <f>'Inputs and eligible population'!L79</f>
        <v>0</v>
      </c>
      <c r="E14" s="274">
        <f>'Inputs and eligible population'!M79</f>
        <v>0</v>
      </c>
      <c r="F14" s="274">
        <f>'Inputs and eligible population'!N79</f>
        <v>0</v>
      </c>
      <c r="G14" s="274">
        <f>'Inputs and eligible population'!O79</f>
        <v>0</v>
      </c>
      <c r="H14" s="274">
        <f>'Inputs and eligible population'!P79</f>
        <v>0</v>
      </c>
      <c r="I14" s="274">
        <f>'Inputs and eligible population'!Q79</f>
        <v>0</v>
      </c>
      <c r="N14" s="133"/>
      <c r="O14" s="133"/>
      <c r="P14" s="133"/>
      <c r="Q14" s="133"/>
      <c r="R14" s="133"/>
      <c r="S14" s="133"/>
      <c r="T14" s="133"/>
      <c r="V14" s="272"/>
      <c r="W14" s="272"/>
      <c r="X14" s="272"/>
      <c r="Y14" s="272"/>
      <c r="Z14" s="272"/>
      <c r="AA14" s="272"/>
      <c r="AC14" s="272"/>
      <c r="AD14" s="272"/>
      <c r="AE14" s="272"/>
      <c r="AF14" s="272"/>
      <c r="AG14" s="272"/>
      <c r="AH14" s="272"/>
    </row>
    <row r="15" spans="2:34" s="241" customFormat="1" x14ac:dyDescent="0.35">
      <c r="B15" s="348" t="str">
        <f>'Inputs and eligible population'!D80</f>
        <v>Ocrelizumab SC</v>
      </c>
      <c r="C15" s="349"/>
      <c r="D15" s="274">
        <f>'Inputs and eligible population'!L80</f>
        <v>0</v>
      </c>
      <c r="E15" s="274">
        <f>'Inputs and eligible population'!M80</f>
        <v>0</v>
      </c>
      <c r="F15" s="274">
        <f>'Inputs and eligible population'!N80</f>
        <v>0</v>
      </c>
      <c r="G15" s="274">
        <f>'Inputs and eligible population'!O80</f>
        <v>0</v>
      </c>
      <c r="H15" s="274">
        <f>'Inputs and eligible population'!P80</f>
        <v>0</v>
      </c>
      <c r="I15" s="274">
        <f>'Inputs and eligible population'!Q80</f>
        <v>0</v>
      </c>
      <c r="N15" s="133"/>
      <c r="O15" s="133"/>
      <c r="P15" s="133"/>
      <c r="Q15" s="133"/>
      <c r="R15" s="133"/>
      <c r="S15" s="133"/>
      <c r="T15" s="133"/>
      <c r="V15" s="272"/>
      <c r="W15" s="272"/>
      <c r="X15" s="272"/>
      <c r="Y15" s="272"/>
      <c r="Z15" s="272"/>
      <c r="AA15" s="272"/>
      <c r="AC15" s="272"/>
      <c r="AD15" s="272"/>
      <c r="AE15" s="272"/>
      <c r="AF15" s="272"/>
      <c r="AG15" s="272"/>
      <c r="AH15" s="272"/>
    </row>
    <row r="16" spans="2:34" s="241" customFormat="1" x14ac:dyDescent="0.35">
      <c r="B16" s="348" t="str">
        <f>'Inputs and eligible population'!D81</f>
        <v>Ofatumumab SC</v>
      </c>
      <c r="C16" s="350"/>
      <c r="D16" s="274">
        <f>'Inputs and eligible population'!L81</f>
        <v>0</v>
      </c>
      <c r="E16" s="274">
        <f>'Inputs and eligible population'!M81</f>
        <v>0</v>
      </c>
      <c r="F16" s="274">
        <f>'Inputs and eligible population'!N81</f>
        <v>0</v>
      </c>
      <c r="G16" s="274">
        <f>'Inputs and eligible population'!O81</f>
        <v>0</v>
      </c>
      <c r="H16" s="274">
        <f>'Inputs and eligible population'!P81</f>
        <v>0</v>
      </c>
      <c r="I16" s="274">
        <f>'Inputs and eligible population'!Q81</f>
        <v>0</v>
      </c>
      <c r="N16" s="133"/>
      <c r="O16" s="133"/>
      <c r="P16" s="133"/>
      <c r="Q16" s="133"/>
      <c r="R16" s="133"/>
      <c r="S16" s="133"/>
      <c r="T16" s="133"/>
      <c r="V16" s="272"/>
      <c r="W16" s="272"/>
      <c r="X16" s="272"/>
      <c r="Y16" s="272"/>
      <c r="Z16" s="272"/>
      <c r="AA16" s="272"/>
      <c r="AC16" s="272"/>
      <c r="AD16" s="272"/>
      <c r="AE16" s="272"/>
      <c r="AF16" s="272"/>
      <c r="AG16" s="272"/>
      <c r="AH16" s="272"/>
    </row>
    <row r="17" spans="2:34" s="241" customFormat="1" x14ac:dyDescent="0.35">
      <c r="B17" s="348" t="str">
        <f>'Inputs and eligible population'!D82</f>
        <v xml:space="preserve">Ponesimod </v>
      </c>
      <c r="C17" s="745"/>
      <c r="D17" s="274">
        <f>'Inputs and eligible population'!L82</f>
        <v>0</v>
      </c>
      <c r="E17" s="274">
        <f>'Inputs and eligible population'!M82</f>
        <v>0</v>
      </c>
      <c r="F17" s="274">
        <f>'Inputs and eligible population'!N82</f>
        <v>0</v>
      </c>
      <c r="G17" s="274">
        <f>'Inputs and eligible population'!O82</f>
        <v>0</v>
      </c>
      <c r="H17" s="274">
        <f>'Inputs and eligible population'!P82</f>
        <v>0</v>
      </c>
      <c r="I17" s="274">
        <f>'Inputs and eligible population'!Q82</f>
        <v>0</v>
      </c>
      <c r="N17" s="133"/>
      <c r="O17" s="133"/>
      <c r="P17" s="133"/>
      <c r="Q17" s="133"/>
      <c r="R17" s="133"/>
      <c r="S17" s="133"/>
      <c r="T17" s="133"/>
      <c r="V17" s="272"/>
      <c r="W17" s="272"/>
      <c r="X17" s="272"/>
      <c r="Y17" s="272"/>
      <c r="Z17" s="272"/>
      <c r="AA17" s="272"/>
      <c r="AC17" s="272"/>
      <c r="AD17" s="272"/>
      <c r="AE17" s="272"/>
      <c r="AF17" s="272"/>
      <c r="AG17" s="272"/>
      <c r="AH17" s="272"/>
    </row>
    <row r="18" spans="2:34" s="241" customFormat="1" x14ac:dyDescent="0.35">
      <c r="B18" s="348" t="str">
        <f>'Inputs and eligible population'!D83</f>
        <v>Alemtuzumab</v>
      </c>
      <c r="C18" s="745"/>
      <c r="D18" s="274">
        <f>'Inputs and eligible population'!L83</f>
        <v>0</v>
      </c>
      <c r="E18" s="274">
        <f>'Inputs and eligible population'!M83</f>
        <v>0</v>
      </c>
      <c r="F18" s="274">
        <f>'Inputs and eligible population'!N83</f>
        <v>0</v>
      </c>
      <c r="G18" s="274">
        <f>'Inputs and eligible population'!O83</f>
        <v>0</v>
      </c>
      <c r="H18" s="274">
        <f>'Inputs and eligible population'!P83</f>
        <v>0</v>
      </c>
      <c r="I18" s="274">
        <f>'Inputs and eligible population'!Q83</f>
        <v>0</v>
      </c>
      <c r="N18" s="133"/>
      <c r="O18" s="133"/>
      <c r="P18" s="133"/>
      <c r="Q18" s="133"/>
      <c r="R18" s="133"/>
      <c r="S18" s="133"/>
      <c r="T18" s="133"/>
      <c r="V18" s="272"/>
      <c r="W18" s="272"/>
      <c r="X18" s="272"/>
      <c r="Y18" s="272"/>
      <c r="Z18" s="272"/>
      <c r="AA18" s="272"/>
      <c r="AC18" s="272"/>
      <c r="AD18" s="272"/>
      <c r="AE18" s="272"/>
      <c r="AF18" s="272"/>
      <c r="AG18" s="272"/>
      <c r="AH18" s="272"/>
    </row>
    <row r="19" spans="2:34" s="241" customFormat="1" x14ac:dyDescent="0.35">
      <c r="B19" s="348" t="str">
        <f>'Inputs and eligible population'!D84</f>
        <v>Cladribine</v>
      </c>
      <c r="C19" s="745"/>
      <c r="D19" s="274">
        <f>'Inputs and eligible population'!L84</f>
        <v>0</v>
      </c>
      <c r="E19" s="274">
        <f>'Inputs and eligible population'!M84</f>
        <v>0</v>
      </c>
      <c r="F19" s="274">
        <f>'Inputs and eligible population'!N84</f>
        <v>0</v>
      </c>
      <c r="G19" s="274">
        <f>'Inputs and eligible population'!O84</f>
        <v>0</v>
      </c>
      <c r="H19" s="274">
        <f>'Inputs and eligible population'!P84</f>
        <v>0</v>
      </c>
      <c r="I19" s="274">
        <f>'Inputs and eligible population'!Q84</f>
        <v>0</v>
      </c>
      <c r="N19" s="133"/>
      <c r="O19" s="133"/>
      <c r="P19" s="133"/>
      <c r="Q19" s="133"/>
      <c r="R19" s="133"/>
      <c r="S19" s="133"/>
      <c r="T19" s="133"/>
      <c r="V19" s="272"/>
      <c r="W19" s="272"/>
      <c r="X19" s="272"/>
      <c r="Y19" s="272"/>
      <c r="Z19" s="272"/>
      <c r="AA19" s="272"/>
      <c r="AC19" s="272"/>
      <c r="AD19" s="272"/>
      <c r="AE19" s="272"/>
      <c r="AF19" s="272"/>
      <c r="AG19" s="272"/>
      <c r="AH19" s="272"/>
    </row>
    <row r="20" spans="2:34" s="241" customFormat="1" x14ac:dyDescent="0.35">
      <c r="B20" s="348" t="str">
        <f>'Inputs and eligible population'!D85</f>
        <v>Dimethyl fumarate</v>
      </c>
      <c r="C20" s="745"/>
      <c r="D20" s="274">
        <f>'Inputs and eligible population'!L85</f>
        <v>0</v>
      </c>
      <c r="E20" s="274">
        <f>'Inputs and eligible population'!M85</f>
        <v>0</v>
      </c>
      <c r="F20" s="274">
        <f>'Inputs and eligible population'!N85</f>
        <v>0</v>
      </c>
      <c r="G20" s="274">
        <f>'Inputs and eligible population'!O85</f>
        <v>0</v>
      </c>
      <c r="H20" s="274">
        <f>'Inputs and eligible population'!P85</f>
        <v>0</v>
      </c>
      <c r="I20" s="274">
        <f>'Inputs and eligible population'!Q85</f>
        <v>0</v>
      </c>
      <c r="N20" s="133"/>
      <c r="O20" s="133"/>
      <c r="P20" s="133"/>
      <c r="Q20" s="133"/>
      <c r="R20" s="133"/>
      <c r="S20" s="133"/>
      <c r="T20" s="133"/>
      <c r="V20" s="272"/>
      <c r="W20" s="272"/>
      <c r="X20" s="272"/>
      <c r="Y20" s="272"/>
      <c r="Z20" s="272"/>
      <c r="AA20" s="272"/>
      <c r="AC20" s="272"/>
      <c r="AD20" s="272"/>
      <c r="AE20" s="272"/>
      <c r="AF20" s="272"/>
      <c r="AG20" s="272"/>
      <c r="AH20" s="272"/>
    </row>
    <row r="21" spans="2:34" s="241" customFormat="1" x14ac:dyDescent="0.35">
      <c r="B21" s="348" t="str">
        <f>'Inputs and eligible population'!D86</f>
        <v>Diroximel fumarate</v>
      </c>
      <c r="C21" s="745"/>
      <c r="D21" s="274">
        <f>'Inputs and eligible population'!L86</f>
        <v>0</v>
      </c>
      <c r="E21" s="274">
        <f>'Inputs and eligible population'!M86</f>
        <v>0</v>
      </c>
      <c r="F21" s="274">
        <f>'Inputs and eligible population'!N86</f>
        <v>0</v>
      </c>
      <c r="G21" s="274">
        <f>'Inputs and eligible population'!O86</f>
        <v>0</v>
      </c>
      <c r="H21" s="274">
        <f>'Inputs and eligible population'!P86</f>
        <v>0</v>
      </c>
      <c r="I21" s="274">
        <f>'Inputs and eligible population'!Q86</f>
        <v>0</v>
      </c>
      <c r="N21" s="133"/>
      <c r="O21" s="133"/>
      <c r="P21" s="133"/>
      <c r="Q21" s="133"/>
      <c r="R21" s="133"/>
      <c r="S21" s="133"/>
      <c r="T21" s="133"/>
      <c r="V21" s="272"/>
      <c r="W21" s="272"/>
      <c r="X21" s="272"/>
      <c r="Y21" s="272"/>
      <c r="Z21" s="272"/>
      <c r="AA21" s="272"/>
      <c r="AC21" s="272"/>
      <c r="AD21" s="272"/>
      <c r="AE21" s="272"/>
      <c r="AF21" s="272"/>
      <c r="AG21" s="272"/>
      <c r="AH21" s="272"/>
    </row>
    <row r="22" spans="2:34" s="241" customFormat="1" x14ac:dyDescent="0.35">
      <c r="B22" s="348" t="str">
        <f>'Inputs and eligible population'!D87</f>
        <v>Fingolimod</v>
      </c>
      <c r="C22" s="745"/>
      <c r="D22" s="274">
        <f>'Inputs and eligible population'!L87</f>
        <v>0</v>
      </c>
      <c r="E22" s="274">
        <f>'Inputs and eligible population'!M87</f>
        <v>0</v>
      </c>
      <c r="F22" s="274">
        <f>'Inputs and eligible population'!N87</f>
        <v>0</v>
      </c>
      <c r="G22" s="274">
        <f>'Inputs and eligible population'!O87</f>
        <v>0</v>
      </c>
      <c r="H22" s="274">
        <f>'Inputs and eligible population'!P87</f>
        <v>0</v>
      </c>
      <c r="I22" s="274">
        <f>'Inputs and eligible population'!Q87</f>
        <v>0</v>
      </c>
      <c r="N22" s="133"/>
      <c r="O22" s="133"/>
      <c r="P22" s="133"/>
      <c r="Q22" s="133"/>
      <c r="R22" s="133"/>
      <c r="S22" s="133"/>
      <c r="T22" s="133"/>
      <c r="V22" s="272"/>
      <c r="W22" s="272"/>
      <c r="X22" s="272"/>
      <c r="Y22" s="272"/>
      <c r="Z22" s="272"/>
      <c r="AA22" s="272"/>
      <c r="AC22" s="272"/>
      <c r="AD22" s="272"/>
      <c r="AE22" s="272"/>
      <c r="AF22" s="272"/>
      <c r="AG22" s="272"/>
      <c r="AH22" s="272"/>
    </row>
    <row r="23" spans="2:34" s="241" customFormat="1" x14ac:dyDescent="0.35">
      <c r="B23" s="348" t="str">
        <f>'Inputs and eligible population'!D88</f>
        <v>Glatiramer acetate</v>
      </c>
      <c r="C23" s="745"/>
      <c r="D23" s="274">
        <f>'Inputs and eligible population'!L88</f>
        <v>0</v>
      </c>
      <c r="E23" s="274">
        <f>'Inputs and eligible population'!M88</f>
        <v>0</v>
      </c>
      <c r="F23" s="274">
        <f>'Inputs and eligible population'!N88</f>
        <v>0</v>
      </c>
      <c r="G23" s="274">
        <f>'Inputs and eligible population'!O88</f>
        <v>0</v>
      </c>
      <c r="H23" s="274">
        <f>'Inputs and eligible population'!P88</f>
        <v>0</v>
      </c>
      <c r="I23" s="274">
        <f>'Inputs and eligible population'!Q88</f>
        <v>0</v>
      </c>
      <c r="N23" s="133"/>
      <c r="O23" s="133"/>
      <c r="P23" s="133"/>
      <c r="Q23" s="133"/>
      <c r="R23" s="133"/>
      <c r="S23" s="133"/>
      <c r="T23" s="133"/>
      <c r="V23" s="272"/>
      <c r="W23" s="272"/>
      <c r="X23" s="272"/>
      <c r="Y23" s="272"/>
      <c r="Z23" s="272"/>
      <c r="AA23" s="272"/>
      <c r="AC23" s="272"/>
      <c r="AD23" s="272"/>
      <c r="AE23" s="272"/>
      <c r="AF23" s="272"/>
      <c r="AG23" s="272"/>
      <c r="AH23" s="272"/>
    </row>
    <row r="24" spans="2:34" s="241" customFormat="1" x14ac:dyDescent="0.35">
      <c r="B24" s="348" t="str">
        <f>'Inputs and eligible population'!D89</f>
        <v>Interferon beta-1a 22 mcg</v>
      </c>
      <c r="C24" s="745"/>
      <c r="D24" s="274">
        <f>'Inputs and eligible population'!L89</f>
        <v>0</v>
      </c>
      <c r="E24" s="274">
        <f>'Inputs and eligible population'!M89</f>
        <v>0</v>
      </c>
      <c r="F24" s="274">
        <f>'Inputs and eligible population'!N89</f>
        <v>0</v>
      </c>
      <c r="G24" s="274">
        <f>'Inputs and eligible population'!O89</f>
        <v>0</v>
      </c>
      <c r="H24" s="274">
        <f>'Inputs and eligible population'!P89</f>
        <v>0</v>
      </c>
      <c r="I24" s="274">
        <f>'Inputs and eligible population'!Q89</f>
        <v>0</v>
      </c>
      <c r="N24" s="133"/>
      <c r="O24" s="133"/>
      <c r="P24" s="133"/>
      <c r="Q24" s="133"/>
      <c r="R24" s="133"/>
      <c r="S24" s="133"/>
      <c r="T24" s="133"/>
      <c r="V24" s="272"/>
      <c r="W24" s="272"/>
      <c r="X24" s="272"/>
      <c r="Y24" s="272"/>
      <c r="Z24" s="272"/>
      <c r="AA24" s="272"/>
      <c r="AC24" s="272"/>
      <c r="AD24" s="272"/>
      <c r="AE24" s="272"/>
      <c r="AF24" s="272"/>
      <c r="AG24" s="272"/>
      <c r="AH24" s="272"/>
    </row>
    <row r="25" spans="2:34" s="241" customFormat="1" x14ac:dyDescent="0.35">
      <c r="B25" s="348" t="str">
        <f>'Inputs and eligible population'!D90</f>
        <v>Interferon beta-1a 30 mcg</v>
      </c>
      <c r="C25" s="745"/>
      <c r="D25" s="274">
        <f>'Inputs and eligible population'!L90</f>
        <v>0</v>
      </c>
      <c r="E25" s="274">
        <f>'Inputs and eligible population'!M90</f>
        <v>0</v>
      </c>
      <c r="F25" s="274">
        <f>'Inputs and eligible population'!N90</f>
        <v>0</v>
      </c>
      <c r="G25" s="274">
        <f>'Inputs and eligible population'!O90</f>
        <v>0</v>
      </c>
      <c r="H25" s="274">
        <f>'Inputs and eligible population'!P90</f>
        <v>0</v>
      </c>
      <c r="I25" s="274">
        <f>'Inputs and eligible population'!Q90</f>
        <v>0</v>
      </c>
      <c r="N25" s="133"/>
      <c r="O25" s="133"/>
      <c r="P25" s="133"/>
      <c r="Q25" s="133"/>
      <c r="R25" s="133"/>
      <c r="S25" s="133"/>
      <c r="T25" s="133"/>
      <c r="V25" s="272"/>
      <c r="W25" s="272"/>
      <c r="X25" s="272"/>
      <c r="Y25" s="272"/>
      <c r="Z25" s="272"/>
      <c r="AA25" s="272"/>
      <c r="AC25" s="272"/>
      <c r="AD25" s="272"/>
      <c r="AE25" s="272"/>
      <c r="AF25" s="272"/>
      <c r="AG25" s="272"/>
      <c r="AH25" s="272"/>
    </row>
    <row r="26" spans="2:34" s="241" customFormat="1" x14ac:dyDescent="0.35">
      <c r="B26" s="348" t="str">
        <f>'Inputs and eligible population'!D91</f>
        <v>Interferon beta-1a 44mcg SC</v>
      </c>
      <c r="C26" s="745"/>
      <c r="D26" s="274">
        <f>'Inputs and eligible population'!L91</f>
        <v>0</v>
      </c>
      <c r="E26" s="274">
        <f>'Inputs and eligible population'!M91</f>
        <v>0</v>
      </c>
      <c r="F26" s="274">
        <f>'Inputs and eligible population'!N91</f>
        <v>0</v>
      </c>
      <c r="G26" s="274">
        <f>'Inputs and eligible population'!O91</f>
        <v>0</v>
      </c>
      <c r="H26" s="274">
        <f>'Inputs and eligible population'!P91</f>
        <v>0</v>
      </c>
      <c r="I26" s="274">
        <f>'Inputs and eligible population'!Q91</f>
        <v>0</v>
      </c>
      <c r="N26" s="133"/>
      <c r="O26" s="133"/>
      <c r="P26" s="133"/>
      <c r="Q26" s="133"/>
      <c r="R26" s="133"/>
      <c r="S26" s="133"/>
      <c r="T26" s="133"/>
      <c r="V26" s="272"/>
      <c r="W26" s="272"/>
      <c r="X26" s="272"/>
      <c r="Y26" s="272"/>
      <c r="Z26" s="272"/>
      <c r="AA26" s="272"/>
      <c r="AC26" s="272"/>
      <c r="AD26" s="272"/>
      <c r="AE26" s="272"/>
      <c r="AF26" s="272"/>
      <c r="AG26" s="272"/>
      <c r="AH26" s="272"/>
    </row>
    <row r="27" spans="2:34" s="241" customFormat="1" x14ac:dyDescent="0.35">
      <c r="B27" s="348" t="str">
        <f>'Inputs and eligible population'!D92</f>
        <v>Interferon beta-1b 250mcg SC</v>
      </c>
      <c r="C27" s="745"/>
      <c r="D27" s="274">
        <f>'Inputs and eligible population'!L92</f>
        <v>0</v>
      </c>
      <c r="E27" s="274">
        <f>'Inputs and eligible population'!M92</f>
        <v>0</v>
      </c>
      <c r="F27" s="274">
        <f>'Inputs and eligible population'!N92</f>
        <v>0</v>
      </c>
      <c r="G27" s="274">
        <f>'Inputs and eligible population'!O92</f>
        <v>0</v>
      </c>
      <c r="H27" s="274">
        <f>'Inputs and eligible population'!P92</f>
        <v>0</v>
      </c>
      <c r="I27" s="274">
        <f>'Inputs and eligible population'!Q92</f>
        <v>0</v>
      </c>
      <c r="N27" s="133"/>
      <c r="O27" s="133"/>
      <c r="P27" s="133"/>
      <c r="Q27" s="133"/>
      <c r="R27" s="133"/>
      <c r="S27" s="133"/>
      <c r="T27" s="133"/>
      <c r="V27" s="272"/>
      <c r="W27" s="272"/>
      <c r="X27" s="272"/>
      <c r="Y27" s="272"/>
      <c r="Z27" s="272"/>
      <c r="AA27" s="272"/>
      <c r="AC27" s="272"/>
      <c r="AD27" s="272"/>
      <c r="AE27" s="272"/>
      <c r="AF27" s="272"/>
      <c r="AG27" s="272"/>
      <c r="AH27" s="272"/>
    </row>
    <row r="28" spans="2:34" s="241" customFormat="1" x14ac:dyDescent="0.35">
      <c r="B28" s="348" t="str">
        <f>'Inputs and eligible population'!D93</f>
        <v>Natalizumab</v>
      </c>
      <c r="C28" s="745"/>
      <c r="D28" s="274">
        <f>'Inputs and eligible population'!L93</f>
        <v>0</v>
      </c>
      <c r="E28" s="274">
        <f>'Inputs and eligible population'!M93</f>
        <v>0</v>
      </c>
      <c r="F28" s="274">
        <f>'Inputs and eligible population'!N93</f>
        <v>0</v>
      </c>
      <c r="G28" s="274">
        <f>'Inputs and eligible population'!O93</f>
        <v>0</v>
      </c>
      <c r="H28" s="274">
        <f>'Inputs and eligible population'!P93</f>
        <v>0</v>
      </c>
      <c r="I28" s="274">
        <f>'Inputs and eligible population'!Q93</f>
        <v>0</v>
      </c>
      <c r="N28" s="133"/>
      <c r="O28" s="133"/>
      <c r="P28" s="133"/>
      <c r="Q28" s="133"/>
      <c r="R28" s="133"/>
      <c r="S28" s="133"/>
      <c r="T28" s="133"/>
      <c r="V28" s="272"/>
      <c r="W28" s="272"/>
      <c r="X28" s="272"/>
      <c r="Y28" s="272"/>
      <c r="Z28" s="272"/>
      <c r="AA28" s="272"/>
      <c r="AC28" s="272"/>
      <c r="AD28" s="272"/>
      <c r="AE28" s="272"/>
      <c r="AF28" s="272"/>
      <c r="AG28" s="272"/>
      <c r="AH28" s="272"/>
    </row>
    <row r="29" spans="2:34" s="241" customFormat="1" x14ac:dyDescent="0.35">
      <c r="B29" s="348" t="str">
        <f>'Inputs and eligible population'!D94</f>
        <v>Peginterferon beta-1a</v>
      </c>
      <c r="C29" s="745"/>
      <c r="D29" s="274">
        <f>'Inputs and eligible population'!L94</f>
        <v>0</v>
      </c>
      <c r="E29" s="274">
        <f>'Inputs and eligible population'!M94</f>
        <v>0</v>
      </c>
      <c r="F29" s="274">
        <f>'Inputs and eligible population'!N94</f>
        <v>0</v>
      </c>
      <c r="G29" s="274">
        <f>'Inputs and eligible population'!O94</f>
        <v>0</v>
      </c>
      <c r="H29" s="274">
        <f>'Inputs and eligible population'!P94</f>
        <v>0</v>
      </c>
      <c r="I29" s="274">
        <f>'Inputs and eligible population'!Q94</f>
        <v>0</v>
      </c>
      <c r="N29" s="133"/>
      <c r="O29" s="133"/>
      <c r="P29" s="133"/>
      <c r="Q29" s="133"/>
      <c r="R29" s="133"/>
      <c r="S29" s="133"/>
      <c r="T29" s="133"/>
      <c r="V29" s="272"/>
      <c r="W29" s="272"/>
      <c r="X29" s="272"/>
      <c r="Y29" s="272"/>
      <c r="Z29" s="272"/>
      <c r="AA29" s="272"/>
      <c r="AC29" s="272"/>
      <c r="AD29" s="272"/>
      <c r="AE29" s="272"/>
      <c r="AF29" s="272"/>
      <c r="AG29" s="272"/>
      <c r="AH29" s="272"/>
    </row>
    <row r="30" spans="2:34" s="241" customFormat="1" x14ac:dyDescent="0.35">
      <c r="B30" s="348" t="str">
        <f>'Inputs and eligible population'!D95</f>
        <v>Teriflunomide</v>
      </c>
      <c r="C30" s="745"/>
      <c r="D30" s="274">
        <f>'Inputs and eligible population'!L95</f>
        <v>0</v>
      </c>
      <c r="E30" s="274">
        <f>'Inputs and eligible population'!M95</f>
        <v>0</v>
      </c>
      <c r="F30" s="274">
        <f>'Inputs and eligible population'!N95</f>
        <v>0</v>
      </c>
      <c r="G30" s="274">
        <f>'Inputs and eligible population'!O95</f>
        <v>0</v>
      </c>
      <c r="H30" s="274">
        <f>'Inputs and eligible population'!P95</f>
        <v>0</v>
      </c>
      <c r="I30" s="274">
        <f>'Inputs and eligible population'!Q95</f>
        <v>0</v>
      </c>
      <c r="N30" s="133"/>
      <c r="O30" s="133"/>
      <c r="P30" s="133"/>
      <c r="Q30" s="133"/>
      <c r="R30" s="133"/>
      <c r="S30" s="133"/>
      <c r="T30" s="133"/>
      <c r="V30" s="272"/>
      <c r="W30" s="272"/>
      <c r="X30" s="272"/>
      <c r="Y30" s="272"/>
      <c r="Z30" s="272"/>
      <c r="AA30" s="272"/>
      <c r="AC30" s="272"/>
      <c r="AD30" s="272"/>
      <c r="AE30" s="272"/>
      <c r="AF30" s="272"/>
      <c r="AG30" s="272"/>
      <c r="AH30" s="272"/>
    </row>
    <row r="31" spans="2:34" s="241" customFormat="1" x14ac:dyDescent="0.35">
      <c r="B31" s="348" t="str">
        <f>'Inputs and eligible population'!D96</f>
        <v>Best supportive care</v>
      </c>
      <c r="C31" s="745"/>
      <c r="D31" s="274">
        <f>'Inputs and eligible population'!L96</f>
        <v>0</v>
      </c>
      <c r="E31" s="274">
        <f>'Inputs and eligible population'!M96</f>
        <v>0</v>
      </c>
      <c r="F31" s="274">
        <f>'Inputs and eligible population'!N96</f>
        <v>0</v>
      </c>
      <c r="G31" s="274">
        <f>'Inputs and eligible population'!O96</f>
        <v>0</v>
      </c>
      <c r="H31" s="274">
        <f>'Inputs and eligible population'!P96</f>
        <v>0</v>
      </c>
      <c r="I31" s="274">
        <f>'Inputs and eligible population'!Q96</f>
        <v>0</v>
      </c>
      <c r="N31" s="133"/>
      <c r="O31" s="133"/>
      <c r="P31" s="133"/>
      <c r="Q31" s="133"/>
      <c r="R31" s="133"/>
      <c r="S31" s="133"/>
      <c r="T31" s="133"/>
      <c r="V31" s="272"/>
      <c r="W31" s="272"/>
      <c r="X31" s="272"/>
      <c r="Y31" s="272"/>
      <c r="Z31" s="272"/>
      <c r="AA31" s="272"/>
      <c r="AC31" s="272"/>
      <c r="AD31" s="272"/>
      <c r="AE31" s="272"/>
      <c r="AF31" s="272"/>
      <c r="AG31" s="272"/>
      <c r="AH31" s="272"/>
    </row>
    <row r="32" spans="2:34" s="241" customFormat="1" x14ac:dyDescent="0.35">
      <c r="B32" s="279"/>
      <c r="C32" s="184"/>
      <c r="D32" s="185">
        <f t="shared" ref="D32:I32" si="0">SUM(D13:D31)</f>
        <v>0</v>
      </c>
      <c r="E32" s="185">
        <f t="shared" si="0"/>
        <v>0</v>
      </c>
      <c r="F32" s="185">
        <f t="shared" si="0"/>
        <v>0</v>
      </c>
      <c r="G32" s="185">
        <f t="shared" si="0"/>
        <v>0</v>
      </c>
      <c r="H32" s="185">
        <f t="shared" si="0"/>
        <v>0</v>
      </c>
      <c r="I32" s="185">
        <f t="shared" si="0"/>
        <v>0</v>
      </c>
      <c r="N32" s="133"/>
      <c r="O32" s="133"/>
      <c r="P32" s="133"/>
      <c r="Q32" s="133"/>
      <c r="R32" s="133"/>
      <c r="S32" s="133"/>
      <c r="T32" s="133"/>
      <c r="V32" s="272"/>
      <c r="W32" s="272"/>
      <c r="X32" s="272"/>
      <c r="Y32" s="272"/>
      <c r="Z32" s="272"/>
      <c r="AA32" s="272"/>
      <c r="AC32" s="272"/>
      <c r="AD32" s="272"/>
      <c r="AE32" s="272"/>
      <c r="AF32" s="272"/>
      <c r="AG32" s="272"/>
      <c r="AH32" s="272"/>
    </row>
    <row r="33" spans="2:34" s="241" customFormat="1" x14ac:dyDescent="0.35">
      <c r="B33" s="280"/>
      <c r="C33" s="133"/>
      <c r="D33" s="133"/>
      <c r="E33" s="133"/>
      <c r="F33" s="133"/>
      <c r="G33" s="133"/>
      <c r="H33" s="133"/>
      <c r="I33" s="133"/>
      <c r="N33" s="133"/>
      <c r="O33" s="133"/>
      <c r="P33" s="133"/>
      <c r="Q33" s="133"/>
      <c r="R33" s="133"/>
      <c r="S33" s="133"/>
      <c r="T33" s="133"/>
      <c r="AD33" s="272"/>
      <c r="AE33" s="272"/>
      <c r="AF33" s="272"/>
      <c r="AG33" s="272"/>
      <c r="AH33" s="272"/>
    </row>
    <row r="34" spans="2:34" s="241" customFormat="1" x14ac:dyDescent="0.35">
      <c r="B34" s="281" t="s">
        <v>959</v>
      </c>
      <c r="C34" s="275" t="s">
        <v>960</v>
      </c>
      <c r="D34" s="695" t="s">
        <v>921</v>
      </c>
      <c r="E34" s="695" t="s">
        <v>921</v>
      </c>
      <c r="F34" s="695" t="s">
        <v>921</v>
      </c>
      <c r="G34" s="695" t="s">
        <v>921</v>
      </c>
      <c r="H34" s="695" t="s">
        <v>921</v>
      </c>
      <c r="I34" s="695" t="s">
        <v>921</v>
      </c>
      <c r="N34" s="133"/>
      <c r="O34" s="133"/>
      <c r="P34" s="133"/>
      <c r="Q34" s="133"/>
      <c r="R34" s="133"/>
      <c r="S34" s="133"/>
      <c r="T34" s="133"/>
      <c r="AD34" s="272"/>
      <c r="AE34" s="272"/>
      <c r="AF34" s="272"/>
      <c r="AG34" s="272"/>
      <c r="AH34" s="272"/>
    </row>
    <row r="35" spans="2:34" s="241" customFormat="1" x14ac:dyDescent="0.35">
      <c r="B35" s="347" t="str">
        <f t="shared" ref="B35:B53" si="1">B13</f>
        <v>Ublituximab</v>
      </c>
      <c r="C35" s="276">
        <f>'Unit costs'!Q17</f>
        <v>0</v>
      </c>
      <c r="D35" s="276">
        <f t="shared" ref="D35:I35" si="2">D13*$C35/1000</f>
        <v>0</v>
      </c>
      <c r="E35" s="276">
        <f t="shared" si="2"/>
        <v>0</v>
      </c>
      <c r="F35" s="276">
        <f t="shared" si="2"/>
        <v>0</v>
      </c>
      <c r="G35" s="276">
        <f t="shared" si="2"/>
        <v>0</v>
      </c>
      <c r="H35" s="276">
        <f t="shared" si="2"/>
        <v>0</v>
      </c>
      <c r="I35" s="276">
        <f t="shared" si="2"/>
        <v>0</v>
      </c>
      <c r="K35" s="772"/>
      <c r="N35" s="133"/>
      <c r="O35" s="133"/>
      <c r="P35" s="133"/>
      <c r="Q35" s="133"/>
      <c r="R35" s="133"/>
      <c r="S35" s="133"/>
      <c r="T35" s="133"/>
      <c r="AD35" s="272"/>
      <c r="AE35" s="272"/>
      <c r="AF35" s="272"/>
      <c r="AG35" s="272"/>
      <c r="AH35" s="272"/>
    </row>
    <row r="36" spans="2:34" s="241" customFormat="1" x14ac:dyDescent="0.35">
      <c r="B36" s="347" t="str">
        <f t="shared" si="1"/>
        <v>Ocrelizumab IV</v>
      </c>
      <c r="C36" s="276">
        <f>'Unit costs'!Q24</f>
        <v>0</v>
      </c>
      <c r="D36" s="276">
        <f t="shared" ref="D36:I37" si="3">D14*$C36/1000</f>
        <v>0</v>
      </c>
      <c r="E36" s="276">
        <f t="shared" si="3"/>
        <v>0</v>
      </c>
      <c r="F36" s="276">
        <f t="shared" si="3"/>
        <v>0</v>
      </c>
      <c r="G36" s="276">
        <f t="shared" si="3"/>
        <v>0</v>
      </c>
      <c r="H36" s="276">
        <f t="shared" si="3"/>
        <v>0</v>
      </c>
      <c r="I36" s="276">
        <f t="shared" si="3"/>
        <v>0</v>
      </c>
      <c r="K36" s="772"/>
      <c r="N36" s="133"/>
      <c r="O36" s="133"/>
      <c r="P36" s="133"/>
      <c r="Q36" s="133"/>
      <c r="R36" s="133"/>
      <c r="S36" s="133"/>
      <c r="T36" s="133"/>
      <c r="AD36" s="272"/>
      <c r="AE36" s="272"/>
      <c r="AF36" s="272"/>
      <c r="AG36" s="272"/>
      <c r="AH36" s="272"/>
    </row>
    <row r="37" spans="2:34" s="241" customFormat="1" x14ac:dyDescent="0.35">
      <c r="B37" s="347" t="str">
        <f t="shared" si="1"/>
        <v>Ocrelizumab SC</v>
      </c>
      <c r="C37" s="276">
        <f>'Unit costs'!Q29</f>
        <v>0</v>
      </c>
      <c r="D37" s="276">
        <f t="shared" si="3"/>
        <v>0</v>
      </c>
      <c r="E37" s="276">
        <f t="shared" si="3"/>
        <v>0</v>
      </c>
      <c r="F37" s="276">
        <f t="shared" si="3"/>
        <v>0</v>
      </c>
      <c r="G37" s="276">
        <f t="shared" si="3"/>
        <v>0</v>
      </c>
      <c r="H37" s="276">
        <f t="shared" si="3"/>
        <v>0</v>
      </c>
      <c r="I37" s="276">
        <f t="shared" si="3"/>
        <v>0</v>
      </c>
      <c r="K37" s="772"/>
      <c r="N37" s="133"/>
      <c r="O37" s="133"/>
      <c r="P37" s="133"/>
      <c r="Q37" s="133"/>
      <c r="R37" s="133"/>
      <c r="S37" s="133"/>
      <c r="T37" s="133"/>
      <c r="AD37" s="272"/>
      <c r="AE37" s="272"/>
      <c r="AF37" s="272"/>
      <c r="AG37" s="272"/>
      <c r="AH37" s="272"/>
    </row>
    <row r="38" spans="2:34" s="241" customFormat="1" x14ac:dyDescent="0.35">
      <c r="B38" s="347" t="str">
        <f t="shared" si="1"/>
        <v>Ofatumumab SC</v>
      </c>
      <c r="C38" s="276">
        <f>'Unit costs'!Q37</f>
        <v>0</v>
      </c>
      <c r="D38" s="276">
        <f t="shared" ref="D38:I38" si="4">D16*$C38/1000</f>
        <v>0</v>
      </c>
      <c r="E38" s="276">
        <f t="shared" si="4"/>
        <v>0</v>
      </c>
      <c r="F38" s="276">
        <f t="shared" si="4"/>
        <v>0</v>
      </c>
      <c r="G38" s="276">
        <f t="shared" si="4"/>
        <v>0</v>
      </c>
      <c r="H38" s="276">
        <f t="shared" si="4"/>
        <v>0</v>
      </c>
      <c r="I38" s="276">
        <f t="shared" si="4"/>
        <v>0</v>
      </c>
      <c r="K38" s="772"/>
      <c r="N38" s="133"/>
      <c r="O38" s="133"/>
      <c r="P38" s="133"/>
      <c r="Q38" s="133"/>
      <c r="R38" s="133"/>
      <c r="S38" s="133"/>
      <c r="T38" s="133"/>
      <c r="AD38" s="272"/>
      <c r="AE38" s="272"/>
      <c r="AF38" s="272"/>
      <c r="AG38" s="272"/>
      <c r="AH38" s="272"/>
    </row>
    <row r="39" spans="2:34" s="241" customFormat="1" x14ac:dyDescent="0.35">
      <c r="B39" s="347" t="str">
        <f t="shared" si="1"/>
        <v xml:space="preserve">Ponesimod </v>
      </c>
      <c r="C39" s="350">
        <f>'Unit costs'!Q44</f>
        <v>0</v>
      </c>
      <c r="D39" s="276">
        <f t="shared" ref="D39:I39" si="5">D17*$C39/1000</f>
        <v>0</v>
      </c>
      <c r="E39" s="276">
        <f t="shared" si="5"/>
        <v>0</v>
      </c>
      <c r="F39" s="276">
        <f t="shared" si="5"/>
        <v>0</v>
      </c>
      <c r="G39" s="276">
        <f t="shared" si="5"/>
        <v>0</v>
      </c>
      <c r="H39" s="276">
        <f t="shared" si="5"/>
        <v>0</v>
      </c>
      <c r="I39" s="276">
        <f t="shared" si="5"/>
        <v>0</v>
      </c>
      <c r="K39" s="772"/>
      <c r="N39" s="133"/>
      <c r="O39" s="133"/>
      <c r="P39" s="133"/>
      <c r="Q39" s="133"/>
      <c r="R39" s="133"/>
      <c r="S39" s="133"/>
      <c r="T39" s="133"/>
      <c r="AD39" s="272"/>
      <c r="AE39" s="272"/>
      <c r="AF39" s="272"/>
      <c r="AG39" s="272"/>
      <c r="AH39" s="272"/>
    </row>
    <row r="40" spans="2:34" s="241" customFormat="1" x14ac:dyDescent="0.35">
      <c r="B40" s="347" t="str">
        <f t="shared" si="1"/>
        <v>Alemtuzumab</v>
      </c>
      <c r="C40" s="350">
        <f>'Unit costs'!Q50</f>
        <v>0</v>
      </c>
      <c r="D40" s="276">
        <f t="shared" ref="D40:I41" si="6">D18*$C40/1000</f>
        <v>0</v>
      </c>
      <c r="E40" s="276">
        <f t="shared" si="6"/>
        <v>0</v>
      </c>
      <c r="F40" s="276">
        <f t="shared" si="6"/>
        <v>0</v>
      </c>
      <c r="G40" s="276">
        <f t="shared" si="6"/>
        <v>0</v>
      </c>
      <c r="H40" s="276">
        <f t="shared" si="6"/>
        <v>0</v>
      </c>
      <c r="I40" s="276">
        <f t="shared" si="6"/>
        <v>0</v>
      </c>
      <c r="K40" s="772"/>
      <c r="N40" s="133"/>
      <c r="O40" s="133"/>
      <c r="P40" s="133"/>
      <c r="Q40" s="133"/>
      <c r="R40" s="133"/>
      <c r="S40" s="133"/>
      <c r="T40" s="133"/>
      <c r="AD40" s="272"/>
      <c r="AE40" s="272"/>
      <c r="AF40" s="272"/>
      <c r="AG40" s="272"/>
      <c r="AH40" s="272"/>
    </row>
    <row r="41" spans="2:34" s="241" customFormat="1" x14ac:dyDescent="0.35">
      <c r="B41" s="347" t="str">
        <f t="shared" si="1"/>
        <v>Cladribine</v>
      </c>
      <c r="C41" s="350">
        <f>'Unit costs'!Q54</f>
        <v>0</v>
      </c>
      <c r="D41" s="276">
        <f t="shared" si="6"/>
        <v>0</v>
      </c>
      <c r="E41" s="276">
        <f t="shared" si="6"/>
        <v>0</v>
      </c>
      <c r="F41" s="276">
        <f t="shared" si="6"/>
        <v>0</v>
      </c>
      <c r="G41" s="276">
        <f t="shared" si="6"/>
        <v>0</v>
      </c>
      <c r="H41" s="276">
        <f t="shared" si="6"/>
        <v>0</v>
      </c>
      <c r="I41" s="276">
        <f t="shared" si="6"/>
        <v>0</v>
      </c>
      <c r="K41" s="772"/>
      <c r="N41" s="133"/>
      <c r="O41" s="133"/>
      <c r="P41" s="133"/>
      <c r="Q41" s="133"/>
      <c r="R41" s="133"/>
      <c r="S41" s="133"/>
      <c r="T41" s="133"/>
      <c r="AD41" s="272"/>
      <c r="AE41" s="272"/>
      <c r="AF41" s="272"/>
      <c r="AG41" s="272"/>
      <c r="AH41" s="272"/>
    </row>
    <row r="42" spans="2:34" s="241" customFormat="1" x14ac:dyDescent="0.35">
      <c r="B42" s="347" t="str">
        <f t="shared" si="1"/>
        <v>Dimethyl fumarate</v>
      </c>
      <c r="C42" s="350">
        <f>'Unit costs'!Q61</f>
        <v>0</v>
      </c>
      <c r="D42" s="276">
        <f t="shared" ref="D42:I42" si="7">D20*$C42/1000</f>
        <v>0</v>
      </c>
      <c r="E42" s="276">
        <f t="shared" si="7"/>
        <v>0</v>
      </c>
      <c r="F42" s="276">
        <f t="shared" si="7"/>
        <v>0</v>
      </c>
      <c r="G42" s="276">
        <f t="shared" si="7"/>
        <v>0</v>
      </c>
      <c r="H42" s="276">
        <f t="shared" si="7"/>
        <v>0</v>
      </c>
      <c r="I42" s="276">
        <f t="shared" si="7"/>
        <v>0</v>
      </c>
      <c r="K42" s="772"/>
      <c r="N42" s="133"/>
      <c r="O42" s="133"/>
      <c r="P42" s="133"/>
      <c r="Q42" s="133"/>
      <c r="R42" s="133"/>
      <c r="S42" s="133"/>
      <c r="T42" s="133"/>
      <c r="AD42" s="272"/>
      <c r="AE42" s="272"/>
      <c r="AF42" s="272"/>
      <c r="AG42" s="272"/>
      <c r="AH42" s="272"/>
    </row>
    <row r="43" spans="2:34" s="241" customFormat="1" x14ac:dyDescent="0.35">
      <c r="B43" s="347" t="str">
        <f t="shared" si="1"/>
        <v>Diroximel fumarate</v>
      </c>
      <c r="C43" s="350">
        <f>'Unit costs'!Q68</f>
        <v>0</v>
      </c>
      <c r="D43" s="276">
        <f t="shared" ref="D43:I43" si="8">D21*$C43/1000</f>
        <v>0</v>
      </c>
      <c r="E43" s="276">
        <f t="shared" si="8"/>
        <v>0</v>
      </c>
      <c r="F43" s="276">
        <f t="shared" si="8"/>
        <v>0</v>
      </c>
      <c r="G43" s="276">
        <f t="shared" si="8"/>
        <v>0</v>
      </c>
      <c r="H43" s="276">
        <f t="shared" si="8"/>
        <v>0</v>
      </c>
      <c r="I43" s="276">
        <f t="shared" si="8"/>
        <v>0</v>
      </c>
      <c r="K43" s="772"/>
      <c r="N43" s="133"/>
      <c r="O43" s="133"/>
      <c r="P43" s="133"/>
      <c r="Q43" s="133"/>
      <c r="R43" s="133"/>
      <c r="S43" s="133"/>
      <c r="T43" s="133"/>
      <c r="AD43" s="272"/>
      <c r="AE43" s="272"/>
      <c r="AF43" s="272"/>
      <c r="AG43" s="272"/>
      <c r="AH43" s="272"/>
    </row>
    <row r="44" spans="2:34" s="241" customFormat="1" x14ac:dyDescent="0.35">
      <c r="B44" s="347" t="str">
        <f t="shared" si="1"/>
        <v>Fingolimod</v>
      </c>
      <c r="C44" s="350">
        <f>'Unit costs'!Q72</f>
        <v>0</v>
      </c>
      <c r="D44" s="276">
        <f t="shared" ref="D44:I44" si="9">D22*$C44/1000</f>
        <v>0</v>
      </c>
      <c r="E44" s="276">
        <f t="shared" si="9"/>
        <v>0</v>
      </c>
      <c r="F44" s="276">
        <f t="shared" si="9"/>
        <v>0</v>
      </c>
      <c r="G44" s="276">
        <f t="shared" si="9"/>
        <v>0</v>
      </c>
      <c r="H44" s="276">
        <f t="shared" si="9"/>
        <v>0</v>
      </c>
      <c r="I44" s="276">
        <f t="shared" si="9"/>
        <v>0</v>
      </c>
      <c r="K44" s="772"/>
      <c r="N44" s="133"/>
      <c r="O44" s="133"/>
      <c r="P44" s="133"/>
      <c r="Q44" s="133"/>
      <c r="R44" s="133"/>
      <c r="S44" s="133"/>
      <c r="T44" s="133"/>
      <c r="AD44" s="272"/>
      <c r="AE44" s="272"/>
      <c r="AF44" s="272"/>
      <c r="AG44" s="272"/>
      <c r="AH44" s="272"/>
    </row>
    <row r="45" spans="2:34" s="241" customFormat="1" x14ac:dyDescent="0.35">
      <c r="B45" s="347" t="str">
        <f t="shared" si="1"/>
        <v>Glatiramer acetate</v>
      </c>
      <c r="C45" s="350">
        <f>'Unit costs'!Q76</f>
        <v>0</v>
      </c>
      <c r="D45" s="276">
        <f t="shared" ref="D45:I45" si="10">D23*$C45/1000</f>
        <v>0</v>
      </c>
      <c r="E45" s="276">
        <f t="shared" si="10"/>
        <v>0</v>
      </c>
      <c r="F45" s="276">
        <f t="shared" si="10"/>
        <v>0</v>
      </c>
      <c r="G45" s="276">
        <f t="shared" si="10"/>
        <v>0</v>
      </c>
      <c r="H45" s="276">
        <f t="shared" si="10"/>
        <v>0</v>
      </c>
      <c r="I45" s="276">
        <f t="shared" si="10"/>
        <v>0</v>
      </c>
      <c r="K45" s="772"/>
      <c r="N45" s="133"/>
      <c r="O45" s="133"/>
      <c r="P45" s="133"/>
      <c r="Q45" s="133"/>
      <c r="R45" s="133"/>
      <c r="S45" s="133"/>
      <c r="T45" s="133"/>
      <c r="AD45" s="272"/>
      <c r="AE45" s="272"/>
      <c r="AF45" s="272"/>
      <c r="AG45" s="272"/>
      <c r="AH45" s="272"/>
    </row>
    <row r="46" spans="2:34" s="241" customFormat="1" x14ac:dyDescent="0.35">
      <c r="B46" s="347" t="str">
        <f t="shared" si="1"/>
        <v>Interferon beta-1a 22 mcg</v>
      </c>
      <c r="C46" s="350">
        <f>'Unit costs'!Q80</f>
        <v>0</v>
      </c>
      <c r="D46" s="276">
        <f t="shared" ref="D46:I46" si="11">D24*$C46/1000</f>
        <v>0</v>
      </c>
      <c r="E46" s="276">
        <f t="shared" si="11"/>
        <v>0</v>
      </c>
      <c r="F46" s="276">
        <f t="shared" si="11"/>
        <v>0</v>
      </c>
      <c r="G46" s="276">
        <f t="shared" si="11"/>
        <v>0</v>
      </c>
      <c r="H46" s="276">
        <f t="shared" si="11"/>
        <v>0</v>
      </c>
      <c r="I46" s="276">
        <f t="shared" si="11"/>
        <v>0</v>
      </c>
      <c r="K46" s="772"/>
      <c r="N46" s="133"/>
      <c r="O46" s="133"/>
      <c r="P46" s="133"/>
      <c r="Q46" s="133"/>
      <c r="R46" s="133"/>
      <c r="S46" s="133"/>
      <c r="T46" s="133"/>
      <c r="AD46" s="272"/>
      <c r="AE46" s="272"/>
      <c r="AF46" s="272"/>
      <c r="AG46" s="272"/>
      <c r="AH46" s="272"/>
    </row>
    <row r="47" spans="2:34" s="241" customFormat="1" x14ac:dyDescent="0.35">
      <c r="B47" s="347" t="str">
        <f t="shared" si="1"/>
        <v>Interferon beta-1a 30 mcg</v>
      </c>
      <c r="C47" s="350">
        <f>'Unit costs'!Q84</f>
        <v>0</v>
      </c>
      <c r="D47" s="276">
        <f t="shared" ref="D47:I47" si="12">D25*$C47/1000</f>
        <v>0</v>
      </c>
      <c r="E47" s="276">
        <f t="shared" si="12"/>
        <v>0</v>
      </c>
      <c r="F47" s="276">
        <f t="shared" si="12"/>
        <v>0</v>
      </c>
      <c r="G47" s="276">
        <f t="shared" si="12"/>
        <v>0</v>
      </c>
      <c r="H47" s="276">
        <f t="shared" si="12"/>
        <v>0</v>
      </c>
      <c r="I47" s="276">
        <f t="shared" si="12"/>
        <v>0</v>
      </c>
      <c r="K47" s="772"/>
      <c r="N47" s="133"/>
      <c r="O47" s="133"/>
      <c r="P47" s="133"/>
      <c r="Q47" s="133"/>
      <c r="R47" s="133"/>
      <c r="S47" s="133"/>
      <c r="T47" s="133"/>
      <c r="AD47" s="272"/>
      <c r="AE47" s="272"/>
      <c r="AF47" s="272"/>
      <c r="AG47" s="272"/>
      <c r="AH47" s="272"/>
    </row>
    <row r="48" spans="2:34" s="241" customFormat="1" x14ac:dyDescent="0.35">
      <c r="B48" s="347" t="str">
        <f t="shared" si="1"/>
        <v>Interferon beta-1a 44mcg SC</v>
      </c>
      <c r="C48" s="350">
        <f>'Unit costs'!Q88</f>
        <v>0</v>
      </c>
      <c r="D48" s="276">
        <f t="shared" ref="D48:I48" si="13">D26*$C48/1000</f>
        <v>0</v>
      </c>
      <c r="E48" s="276">
        <f t="shared" si="13"/>
        <v>0</v>
      </c>
      <c r="F48" s="276">
        <f t="shared" si="13"/>
        <v>0</v>
      </c>
      <c r="G48" s="276">
        <f t="shared" si="13"/>
        <v>0</v>
      </c>
      <c r="H48" s="276">
        <f t="shared" si="13"/>
        <v>0</v>
      </c>
      <c r="I48" s="276">
        <f t="shared" si="13"/>
        <v>0</v>
      </c>
      <c r="K48" s="772"/>
      <c r="N48" s="133"/>
      <c r="O48" s="133"/>
      <c r="P48" s="133"/>
      <c r="Q48" s="133"/>
      <c r="R48" s="133"/>
      <c r="S48" s="133"/>
      <c r="T48" s="133"/>
      <c r="AD48" s="272"/>
      <c r="AE48" s="272"/>
      <c r="AF48" s="272"/>
      <c r="AG48" s="272"/>
      <c r="AH48" s="272"/>
    </row>
    <row r="49" spans="2:34" s="241" customFormat="1" x14ac:dyDescent="0.35">
      <c r="B49" s="347" t="str">
        <f t="shared" si="1"/>
        <v>Interferon beta-1b 250mcg SC</v>
      </c>
      <c r="C49" s="350">
        <f>'Unit costs'!Q92</f>
        <v>0</v>
      </c>
      <c r="D49" s="276">
        <f t="shared" ref="D49:I49" si="14">D27*$C49/1000</f>
        <v>0</v>
      </c>
      <c r="E49" s="276">
        <f t="shared" si="14"/>
        <v>0</v>
      </c>
      <c r="F49" s="276">
        <f t="shared" si="14"/>
        <v>0</v>
      </c>
      <c r="G49" s="276">
        <f t="shared" si="14"/>
        <v>0</v>
      </c>
      <c r="H49" s="276">
        <f t="shared" si="14"/>
        <v>0</v>
      </c>
      <c r="I49" s="276">
        <f t="shared" si="14"/>
        <v>0</v>
      </c>
      <c r="K49" s="772"/>
      <c r="N49" s="133"/>
      <c r="O49" s="133"/>
      <c r="P49" s="133"/>
      <c r="Q49" s="133"/>
      <c r="R49" s="133"/>
      <c r="S49" s="133"/>
      <c r="T49" s="133"/>
      <c r="AD49" s="272"/>
      <c r="AE49" s="272"/>
      <c r="AF49" s="272"/>
      <c r="AG49" s="272"/>
      <c r="AH49" s="272"/>
    </row>
    <row r="50" spans="2:34" s="241" customFormat="1" x14ac:dyDescent="0.35">
      <c r="B50" s="347" t="str">
        <f t="shared" si="1"/>
        <v>Natalizumab</v>
      </c>
      <c r="C50" s="350">
        <f>'Unit costs'!Q96</f>
        <v>0</v>
      </c>
      <c r="D50" s="276">
        <f t="shared" ref="D50:I50" si="15">D28*$C50/1000</f>
        <v>0</v>
      </c>
      <c r="E50" s="276">
        <f t="shared" si="15"/>
        <v>0</v>
      </c>
      <c r="F50" s="276">
        <f t="shared" si="15"/>
        <v>0</v>
      </c>
      <c r="G50" s="276">
        <f t="shared" si="15"/>
        <v>0</v>
      </c>
      <c r="H50" s="276">
        <f t="shared" si="15"/>
        <v>0</v>
      </c>
      <c r="I50" s="276">
        <f t="shared" si="15"/>
        <v>0</v>
      </c>
      <c r="K50" s="772"/>
      <c r="N50" s="133"/>
      <c r="O50" s="133"/>
      <c r="P50" s="133"/>
      <c r="Q50" s="133"/>
      <c r="R50" s="133"/>
      <c r="S50" s="133"/>
      <c r="T50" s="133"/>
      <c r="AD50" s="272"/>
      <c r="AE50" s="272"/>
      <c r="AF50" s="272"/>
      <c r="AG50" s="272"/>
      <c r="AH50" s="272"/>
    </row>
    <row r="51" spans="2:34" s="241" customFormat="1" x14ac:dyDescent="0.35">
      <c r="B51" s="347" t="str">
        <f t="shared" si="1"/>
        <v>Peginterferon beta-1a</v>
      </c>
      <c r="C51" s="350">
        <f>'Unit costs'!Q100</f>
        <v>0</v>
      </c>
      <c r="D51" s="276">
        <f t="shared" ref="D51:I51" si="16">D29*$C51/1000</f>
        <v>0</v>
      </c>
      <c r="E51" s="276">
        <f t="shared" si="16"/>
        <v>0</v>
      </c>
      <c r="F51" s="276">
        <f t="shared" si="16"/>
        <v>0</v>
      </c>
      <c r="G51" s="276">
        <f t="shared" si="16"/>
        <v>0</v>
      </c>
      <c r="H51" s="276">
        <f t="shared" si="16"/>
        <v>0</v>
      </c>
      <c r="I51" s="276">
        <f t="shared" si="16"/>
        <v>0</v>
      </c>
      <c r="K51" s="772"/>
      <c r="N51" s="133"/>
      <c r="O51" s="133"/>
      <c r="P51" s="133"/>
      <c r="Q51" s="133"/>
      <c r="R51" s="133"/>
      <c r="S51" s="133"/>
      <c r="T51" s="133"/>
      <c r="AD51" s="272"/>
      <c r="AE51" s="272"/>
      <c r="AF51" s="272"/>
      <c r="AG51" s="272"/>
      <c r="AH51" s="272"/>
    </row>
    <row r="52" spans="2:34" s="241" customFormat="1" x14ac:dyDescent="0.35">
      <c r="B52" s="347" t="str">
        <f t="shared" si="1"/>
        <v>Teriflunomide</v>
      </c>
      <c r="C52" s="350">
        <f>'Unit costs'!Q104</f>
        <v>0</v>
      </c>
      <c r="D52" s="276">
        <f t="shared" ref="D52:I52" si="17">D30*$C52/1000</f>
        <v>0</v>
      </c>
      <c r="E52" s="276">
        <f t="shared" si="17"/>
        <v>0</v>
      </c>
      <c r="F52" s="276">
        <f t="shared" si="17"/>
        <v>0</v>
      </c>
      <c r="G52" s="276">
        <f t="shared" si="17"/>
        <v>0</v>
      </c>
      <c r="H52" s="276">
        <f t="shared" si="17"/>
        <v>0</v>
      </c>
      <c r="I52" s="276">
        <f t="shared" si="17"/>
        <v>0</v>
      </c>
      <c r="K52" s="772"/>
      <c r="N52" s="133"/>
      <c r="O52" s="133"/>
      <c r="P52" s="133"/>
      <c r="Q52" s="133"/>
      <c r="R52" s="133"/>
      <c r="S52" s="133"/>
      <c r="T52" s="133"/>
      <c r="AD52" s="272"/>
      <c r="AE52" s="272"/>
      <c r="AF52" s="272"/>
      <c r="AG52" s="272"/>
      <c r="AH52" s="272"/>
    </row>
    <row r="53" spans="2:34" s="241" customFormat="1" x14ac:dyDescent="0.35">
      <c r="B53" s="347" t="str">
        <f t="shared" si="1"/>
        <v>Best supportive care</v>
      </c>
      <c r="C53" s="350">
        <v>0</v>
      </c>
      <c r="D53" s="276">
        <f t="shared" ref="D53:I53" si="18">D31*$C53/1000</f>
        <v>0</v>
      </c>
      <c r="E53" s="276">
        <f t="shared" si="18"/>
        <v>0</v>
      </c>
      <c r="F53" s="276">
        <f t="shared" si="18"/>
        <v>0</v>
      </c>
      <c r="G53" s="276">
        <f t="shared" si="18"/>
        <v>0</v>
      </c>
      <c r="H53" s="276">
        <f t="shared" si="18"/>
        <v>0</v>
      </c>
      <c r="I53" s="276">
        <f t="shared" si="18"/>
        <v>0</v>
      </c>
      <c r="K53" s="772">
        <v>0</v>
      </c>
      <c r="N53" s="133"/>
      <c r="O53" s="133"/>
      <c r="P53" s="133"/>
      <c r="Q53" s="133"/>
      <c r="R53" s="133"/>
      <c r="S53" s="133"/>
      <c r="T53" s="133"/>
      <c r="AD53" s="272"/>
      <c r="AE53" s="272"/>
      <c r="AF53" s="272"/>
      <c r="AG53" s="272"/>
      <c r="AH53" s="272"/>
    </row>
    <row r="54" spans="2:34" s="241" customFormat="1" x14ac:dyDescent="0.35">
      <c r="B54" s="279" t="s">
        <v>961</v>
      </c>
      <c r="C54" s="668"/>
      <c r="D54" s="186">
        <f t="shared" ref="D54:I54" si="19">SUM(D35:D53)</f>
        <v>0</v>
      </c>
      <c r="E54" s="186">
        <f t="shared" si="19"/>
        <v>0</v>
      </c>
      <c r="F54" s="186">
        <f t="shared" si="19"/>
        <v>0</v>
      </c>
      <c r="G54" s="186">
        <f t="shared" si="19"/>
        <v>0</v>
      </c>
      <c r="H54" s="186">
        <f t="shared" si="19"/>
        <v>0</v>
      </c>
      <c r="I54" s="186">
        <f t="shared" si="19"/>
        <v>0</v>
      </c>
      <c r="J54" s="357"/>
      <c r="N54" s="133"/>
      <c r="O54" s="133"/>
      <c r="P54" s="133"/>
      <c r="Q54" s="133"/>
      <c r="R54" s="133"/>
      <c r="S54" s="133"/>
      <c r="T54" s="133"/>
      <c r="AD54" s="272"/>
      <c r="AE54" s="272"/>
      <c r="AF54" s="272"/>
      <c r="AG54" s="272"/>
      <c r="AH54" s="272"/>
    </row>
    <row r="55" spans="2:34" s="241" customFormat="1" x14ac:dyDescent="0.35">
      <c r="B55" s="280"/>
      <c r="C55" s="133"/>
      <c r="D55" s="133"/>
      <c r="E55" s="133"/>
      <c r="F55" s="133"/>
      <c r="G55" s="133"/>
      <c r="H55" s="133"/>
      <c r="I55" s="133"/>
      <c r="N55" s="133"/>
      <c r="O55" s="133"/>
      <c r="P55" s="133"/>
      <c r="Q55" s="133"/>
      <c r="R55" s="133"/>
      <c r="S55" s="133"/>
      <c r="T55" s="133"/>
      <c r="AD55" s="272"/>
      <c r="AE55" s="272"/>
      <c r="AF55" s="272"/>
      <c r="AG55" s="272"/>
      <c r="AH55" s="272"/>
    </row>
    <row r="56" spans="2:34" s="241" customFormat="1" x14ac:dyDescent="0.35">
      <c r="B56" s="377"/>
      <c r="C56" s="277"/>
      <c r="D56" s="356" t="s">
        <v>923</v>
      </c>
      <c r="E56" s="186">
        <f>E54-$D$54</f>
        <v>0</v>
      </c>
      <c r="F56" s="186">
        <f>F54-$D$54</f>
        <v>0</v>
      </c>
      <c r="G56" s="186">
        <f>G54-$D$54</f>
        <v>0</v>
      </c>
      <c r="H56" s="186">
        <f>H54-$D$54</f>
        <v>0</v>
      </c>
      <c r="I56" s="186">
        <f>I54-$D$54</f>
        <v>0</v>
      </c>
      <c r="N56" s="133"/>
      <c r="O56" s="133"/>
      <c r="P56" s="133"/>
      <c r="Q56" s="133"/>
      <c r="R56" s="133"/>
      <c r="S56" s="133"/>
      <c r="T56" s="133"/>
      <c r="AD56" s="272"/>
      <c r="AE56" s="272"/>
      <c r="AF56" s="272"/>
      <c r="AG56" s="272"/>
      <c r="AH56" s="272"/>
    </row>
    <row r="57" spans="2:34" s="241" customFormat="1" x14ac:dyDescent="0.35">
      <c r="B57" s="377"/>
      <c r="C57" s="277"/>
      <c r="D57" s="283" t="s">
        <v>962</v>
      </c>
      <c r="E57" s="186">
        <f>E56</f>
        <v>0</v>
      </c>
      <c r="F57" s="187">
        <f>F56-E56</f>
        <v>0</v>
      </c>
      <c r="G57" s="187">
        <f>G56-F56</f>
        <v>0</v>
      </c>
      <c r="H57" s="187">
        <f>H56-G56</f>
        <v>0</v>
      </c>
      <c r="I57" s="187">
        <f>I56-H56</f>
        <v>0</v>
      </c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AD57" s="272"/>
      <c r="AE57" s="272"/>
      <c r="AF57" s="272"/>
      <c r="AG57" s="272"/>
      <c r="AH57" s="272"/>
    </row>
    <row r="59" spans="2:34" x14ac:dyDescent="0.35">
      <c r="J59" s="241"/>
      <c r="K59" s="241"/>
    </row>
    <row r="60" spans="2:34" x14ac:dyDescent="0.35">
      <c r="J60" s="241"/>
      <c r="K60" s="241"/>
    </row>
    <row r="61" spans="2:34" x14ac:dyDescent="0.35">
      <c r="J61" s="241"/>
      <c r="K61" s="241"/>
    </row>
  </sheetData>
  <sheetProtection algorithmName="SHA-512" hashValue="8lrMnIjQnYeRzEi3rRJ6tiKxlQkNJXDdiezawXWU5ns3prurg6MZz4Qv2abAGA6S3XmDp/di0gtkeERguTGjZg==" saltValue="e4Wu+hT4S/TdYO2JxmDv7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286"/>
  <sheetViews>
    <sheetView showGridLines="0" zoomScale="80" zoomScaleNormal="80" zoomScaleSheetLayoutView="30" workbookViewId="0">
      <selection activeCell="D264" sqref="D264"/>
    </sheetView>
  </sheetViews>
  <sheetFormatPr defaultColWidth="8.81640625" defaultRowHeight="14.5" x14ac:dyDescent="0.35"/>
  <cols>
    <col min="1" max="1" width="3.54296875" customWidth="1"/>
    <col min="2" max="2" width="76.08984375" style="1" customWidth="1"/>
    <col min="3" max="3" width="14.453125" customWidth="1"/>
    <col min="4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553" t="str">
        <f>'Inputs and eligible population'!B1</f>
        <v>Cladribine for treating active relapsing forms of multiple sclerosis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 x14ac:dyDescent="0.35">
      <c r="B2" s="212" t="s">
        <v>963</v>
      </c>
      <c r="C2" s="127" t="s">
        <v>809</v>
      </c>
      <c r="D2" s="127" t="s">
        <v>809</v>
      </c>
      <c r="E2" s="498"/>
      <c r="F2" s="127" t="s">
        <v>809</v>
      </c>
      <c r="G2" s="127" t="s">
        <v>809</v>
      </c>
      <c r="H2" s="127" t="s">
        <v>809</v>
      </c>
      <c r="I2" s="127" t="s">
        <v>809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 x14ac:dyDescent="0.35">
      <c r="B3" s="130" t="s">
        <v>809</v>
      </c>
      <c r="C3" s="133" t="s">
        <v>809</v>
      </c>
      <c r="D3" s="133" t="s">
        <v>809</v>
      </c>
      <c r="F3" s="133" t="s">
        <v>809</v>
      </c>
      <c r="G3" s="133" t="s">
        <v>809</v>
      </c>
      <c r="H3" s="133" t="s">
        <v>809</v>
      </c>
      <c r="I3" s="133" t="s">
        <v>809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5" customHeight="1" x14ac:dyDescent="0.35">
      <c r="B4" t="s">
        <v>964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 x14ac:dyDescent="0.3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5" x14ac:dyDescent="0.35">
      <c r="B6" s="257" t="s">
        <v>917</v>
      </c>
      <c r="C6" s="207"/>
      <c r="D6" s="421" t="s">
        <v>957</v>
      </c>
      <c r="E6" s="255" t="s">
        <v>685</v>
      </c>
      <c r="F6" s="255" t="s">
        <v>686</v>
      </c>
      <c r="G6" s="164" t="s">
        <v>914</v>
      </c>
      <c r="H6" s="164" t="s">
        <v>915</v>
      </c>
      <c r="I6" s="255" t="s">
        <v>916</v>
      </c>
      <c r="L6" s="421" t="s">
        <v>957</v>
      </c>
      <c r="M6" s="255" t="s">
        <v>685</v>
      </c>
      <c r="N6" s="255" t="s">
        <v>686</v>
      </c>
      <c r="O6" s="164" t="s">
        <v>914</v>
      </c>
      <c r="P6" s="164" t="s">
        <v>915</v>
      </c>
      <c r="Q6" s="255" t="s">
        <v>916</v>
      </c>
      <c r="R6" s="133"/>
      <c r="S6" s="133"/>
      <c r="T6" s="133"/>
      <c r="U6" s="133"/>
      <c r="V6" s="133"/>
      <c r="W6" s="133"/>
      <c r="X6" s="133"/>
      <c r="Y6" s="133"/>
      <c r="Z6" s="133"/>
      <c r="AJ6" s="285"/>
      <c r="AK6" s="285"/>
      <c r="AL6" s="285"/>
      <c r="AM6" s="285"/>
      <c r="AN6" s="285"/>
    </row>
    <row r="7" spans="1:40" x14ac:dyDescent="0.35">
      <c r="B7" s="224" t="s">
        <v>917</v>
      </c>
      <c r="C7" s="167"/>
      <c r="D7" s="378">
        <f>'Inputs and eligible population'!F42</f>
        <v>43823.922631945847</v>
      </c>
      <c r="E7" s="378">
        <f>'Inputs and eligible population'!G42</f>
        <v>44246.464456277179</v>
      </c>
      <c r="F7" s="378">
        <f>'Inputs and eligible population'!H42</f>
        <v>44673.080347524185</v>
      </c>
      <c r="G7" s="378">
        <f>'Inputs and eligible population'!I42</f>
        <v>45103.809587055635</v>
      </c>
      <c r="H7" s="378">
        <f>'Inputs and eligible population'!J42</f>
        <v>45538.691834983736</v>
      </c>
      <c r="I7" s="378">
        <f>'Inputs and eligible population'!K42</f>
        <v>45977.767133815832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5"/>
      <c r="AK7" s="285"/>
      <c r="AL7" s="285"/>
      <c r="AM7" s="285"/>
      <c r="AN7" s="285"/>
    </row>
    <row r="8" spans="1:40" x14ac:dyDescent="0.35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5"/>
      <c r="AK8" s="285"/>
      <c r="AL8" s="285"/>
      <c r="AM8" s="285"/>
      <c r="AN8" s="285"/>
    </row>
    <row r="9" spans="1:40" x14ac:dyDescent="0.35">
      <c r="B9" s="278" t="s">
        <v>965</v>
      </c>
      <c r="C9" s="440"/>
      <c r="D9" s="440"/>
      <c r="E9" s="441"/>
      <c r="F9" s="440"/>
      <c r="G9" s="442"/>
      <c r="H9" s="443"/>
      <c r="I9" s="576"/>
      <c r="L9" s="695" t="s">
        <v>921</v>
      </c>
      <c r="M9" s="695" t="s">
        <v>921</v>
      </c>
      <c r="N9" s="695" t="s">
        <v>921</v>
      </c>
      <c r="O9" s="695" t="s">
        <v>921</v>
      </c>
      <c r="P9" s="695" t="s">
        <v>921</v>
      </c>
      <c r="Q9" s="695" t="s">
        <v>921</v>
      </c>
      <c r="R9" s="133"/>
      <c r="S9" s="133"/>
      <c r="T9" s="133"/>
      <c r="U9" s="133"/>
      <c r="V9" s="133"/>
      <c r="W9" s="133"/>
      <c r="X9" s="133"/>
      <c r="Y9" s="133"/>
      <c r="Z9" s="133"/>
      <c r="AJ9" s="285"/>
      <c r="AK9" s="285"/>
      <c r="AL9" s="285"/>
      <c r="AM9" s="285"/>
      <c r="AN9" s="285"/>
    </row>
    <row r="10" spans="1:40" hidden="1" x14ac:dyDescent="0.35">
      <c r="A10" s="287"/>
      <c r="B10" s="570" t="str">
        <f>'Capacity (national prices)'!B10</f>
        <v>First attendances - number of appointments</v>
      </c>
      <c r="C10" s="383"/>
      <c r="D10" s="423">
        <f>'Capacity (national prices)'!D10</f>
        <v>0</v>
      </c>
      <c r="E10" s="423">
        <f>'Capacity (national prices)'!E10</f>
        <v>0</v>
      </c>
      <c r="F10" s="423">
        <f>'Capacity (national prices)'!F10</f>
        <v>0</v>
      </c>
      <c r="G10" s="423">
        <f>'Capacity (national prices)'!G10</f>
        <v>0</v>
      </c>
      <c r="H10" s="423">
        <f>'Capacity (national prices)'!H10</f>
        <v>0</v>
      </c>
      <c r="I10" s="423">
        <f>'Capacity (national prices)'!I10</f>
        <v>0</v>
      </c>
      <c r="L10" s="251"/>
      <c r="M10" s="251"/>
      <c r="N10" s="251"/>
      <c r="O10" s="251"/>
      <c r="P10" s="251"/>
      <c r="Q10" s="251"/>
      <c r="R10" s="133"/>
      <c r="S10" s="133"/>
      <c r="T10" s="133"/>
      <c r="U10" s="133"/>
      <c r="V10" s="133"/>
      <c r="W10" s="133"/>
      <c r="X10" s="133"/>
      <c r="Y10" s="133"/>
      <c r="Z10" s="133"/>
      <c r="AJ10" s="285"/>
      <c r="AK10" s="285"/>
      <c r="AL10" s="285"/>
      <c r="AM10" s="285"/>
      <c r="AN10" s="285"/>
    </row>
    <row r="11" spans="1:40" x14ac:dyDescent="0.35">
      <c r="A11" s="287"/>
      <c r="B11" s="570" t="str">
        <f>'Capacity (national prices)'!B11</f>
        <v>Follow up attendances - number of appointments</v>
      </c>
      <c r="C11" s="383"/>
      <c r="D11" s="423">
        <f>'Capacity (national prices)'!D11</f>
        <v>0</v>
      </c>
      <c r="E11" s="423">
        <f>'Capacity (national prices)'!E11</f>
        <v>0</v>
      </c>
      <c r="F11" s="423">
        <f>'Capacity (national prices)'!F11</f>
        <v>0</v>
      </c>
      <c r="G11" s="423">
        <f>'Capacity (national prices)'!G11</f>
        <v>0</v>
      </c>
      <c r="H11" s="423">
        <f>'Capacity (national prices)'!H11</f>
        <v>0</v>
      </c>
      <c r="I11" s="423">
        <f>'Capacity (national prices)'!I11</f>
        <v>0</v>
      </c>
      <c r="L11" s="251"/>
      <c r="M11" s="251"/>
      <c r="N11" s="251"/>
      <c r="O11" s="251"/>
      <c r="P11" s="251"/>
      <c r="Q11" s="251"/>
      <c r="R11" s="133"/>
      <c r="S11" s="133"/>
      <c r="T11" s="133"/>
      <c r="U11" s="133"/>
      <c r="V11" s="133"/>
      <c r="W11" s="133"/>
      <c r="X11" s="133"/>
      <c r="Y11" s="133"/>
      <c r="Z11" s="133"/>
      <c r="AJ11" s="285"/>
      <c r="AK11" s="285"/>
      <c r="AL11" s="285"/>
      <c r="AM11" s="285"/>
      <c r="AN11" s="285"/>
    </row>
    <row r="12" spans="1:40" hidden="1" x14ac:dyDescent="0.35">
      <c r="A12" s="287"/>
      <c r="B12" s="570" t="str">
        <f>B29</f>
        <v>First attendances - hours and cost</v>
      </c>
      <c r="C12" s="383"/>
      <c r="D12" s="423">
        <f t="shared" ref="D12:I12" si="0">D34</f>
        <v>0</v>
      </c>
      <c r="E12" s="423">
        <f t="shared" si="0"/>
        <v>0</v>
      </c>
      <c r="F12" s="423">
        <f t="shared" si="0"/>
        <v>0</v>
      </c>
      <c r="G12" s="423">
        <f t="shared" si="0"/>
        <v>0</v>
      </c>
      <c r="H12" s="423">
        <f t="shared" si="0"/>
        <v>0</v>
      </c>
      <c r="I12" s="423">
        <f t="shared" si="0"/>
        <v>0</v>
      </c>
      <c r="L12" s="291">
        <f>L34</f>
        <v>0</v>
      </c>
      <c r="M12" s="149"/>
      <c r="N12" s="149"/>
      <c r="O12" s="149"/>
      <c r="P12" s="669"/>
      <c r="Q12" s="669"/>
      <c r="R12" s="133"/>
      <c r="S12" s="133"/>
      <c r="T12" s="133"/>
      <c r="U12" s="133"/>
      <c r="V12" s="133"/>
      <c r="W12" s="133"/>
      <c r="X12" s="133"/>
      <c r="Y12" s="133"/>
      <c r="Z12" s="133"/>
      <c r="AJ12" s="285"/>
      <c r="AK12" s="285"/>
      <c r="AL12" s="285"/>
      <c r="AM12" s="285"/>
      <c r="AN12" s="285"/>
    </row>
    <row r="13" spans="1:40" x14ac:dyDescent="0.35">
      <c r="A13" s="287"/>
      <c r="B13" s="570" t="str">
        <f>B37</f>
        <v>Follow up attendances hours and cost</v>
      </c>
      <c r="C13" s="383"/>
      <c r="D13" s="423">
        <f t="shared" ref="D13:I13" si="1">D58</f>
        <v>0</v>
      </c>
      <c r="E13" s="423">
        <f t="shared" si="1"/>
        <v>0</v>
      </c>
      <c r="F13" s="423">
        <f t="shared" si="1"/>
        <v>0</v>
      </c>
      <c r="G13" s="423">
        <f t="shared" si="1"/>
        <v>0</v>
      </c>
      <c r="H13" s="423">
        <f t="shared" si="1"/>
        <v>0</v>
      </c>
      <c r="I13" s="423">
        <f t="shared" si="1"/>
        <v>0</v>
      </c>
      <c r="L13" s="291">
        <f>L58</f>
        <v>0</v>
      </c>
      <c r="M13" s="291">
        <f t="shared" ref="M13:Q13" si="2">M58</f>
        <v>0</v>
      </c>
      <c r="N13" s="291">
        <f t="shared" si="2"/>
        <v>0</v>
      </c>
      <c r="O13" s="291">
        <f t="shared" si="2"/>
        <v>0</v>
      </c>
      <c r="P13" s="291">
        <f t="shared" si="2"/>
        <v>0</v>
      </c>
      <c r="Q13" s="291">
        <f t="shared" si="2"/>
        <v>0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85"/>
      <c r="AK13" s="285"/>
      <c r="AL13" s="285"/>
      <c r="AM13" s="285"/>
      <c r="AN13" s="285"/>
    </row>
    <row r="14" spans="1:40" x14ac:dyDescent="0.35">
      <c r="A14" s="294"/>
      <c r="B14" s="444" t="str">
        <f>B70</f>
        <v>Number of administrations</v>
      </c>
      <c r="C14" s="417"/>
      <c r="D14" s="416">
        <f t="shared" ref="D14:I14" si="3">D74</f>
        <v>0</v>
      </c>
      <c r="E14" s="416">
        <f t="shared" si="3"/>
        <v>0</v>
      </c>
      <c r="F14" s="416">
        <f t="shared" si="3"/>
        <v>0</v>
      </c>
      <c r="G14" s="416">
        <f t="shared" si="3"/>
        <v>0</v>
      </c>
      <c r="H14" s="416">
        <f t="shared" si="3"/>
        <v>0</v>
      </c>
      <c r="I14" s="416">
        <f t="shared" si="3"/>
        <v>0</v>
      </c>
      <c r="L14" s="205"/>
      <c r="M14" s="205"/>
      <c r="N14" s="205"/>
      <c r="O14" s="205"/>
      <c r="P14" s="415"/>
      <c r="Q14" s="415"/>
      <c r="R14" s="133"/>
      <c r="S14" s="133"/>
      <c r="T14" s="133"/>
      <c r="U14" s="133"/>
      <c r="V14" s="133"/>
      <c r="W14" s="133"/>
      <c r="X14" s="133"/>
      <c r="Y14" s="133"/>
      <c r="Z14" s="133"/>
      <c r="AJ14" s="285"/>
      <c r="AK14" s="285"/>
      <c r="AL14" s="285"/>
      <c r="AM14" s="285"/>
      <c r="AN14" s="285"/>
    </row>
    <row r="15" spans="1:40" x14ac:dyDescent="0.35">
      <c r="A15" s="286"/>
      <c r="B15" s="445" t="str">
        <f>B102</f>
        <v>Administrations - duration of administrations (hours)</v>
      </c>
      <c r="C15" s="452"/>
      <c r="D15" s="418">
        <f t="shared" ref="D15:I15" si="4">D123</f>
        <v>0</v>
      </c>
      <c r="E15" s="418">
        <f t="shared" si="4"/>
        <v>0</v>
      </c>
      <c r="F15" s="418">
        <f t="shared" si="4"/>
        <v>0</v>
      </c>
      <c r="G15" s="418">
        <f t="shared" si="4"/>
        <v>0</v>
      </c>
      <c r="H15" s="418">
        <f t="shared" si="4"/>
        <v>0</v>
      </c>
      <c r="I15" s="418">
        <f t="shared" si="4"/>
        <v>0</v>
      </c>
      <c r="L15" s="291">
        <f t="shared" ref="L15:Q15" si="5">L123</f>
        <v>0</v>
      </c>
      <c r="M15" s="291">
        <f t="shared" si="5"/>
        <v>0</v>
      </c>
      <c r="N15" s="291">
        <f t="shared" si="5"/>
        <v>0</v>
      </c>
      <c r="O15" s="291">
        <f t="shared" si="5"/>
        <v>0</v>
      </c>
      <c r="P15" s="291">
        <f t="shared" si="5"/>
        <v>0</v>
      </c>
      <c r="Q15" s="291">
        <f t="shared" si="5"/>
        <v>0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5"/>
      <c r="AK15" s="285"/>
      <c r="AL15" s="285"/>
      <c r="AM15" s="285"/>
      <c r="AN15" s="285"/>
    </row>
    <row r="16" spans="1:40" x14ac:dyDescent="0.35">
      <c r="A16" s="286"/>
      <c r="B16" s="445" t="str">
        <f>B126</f>
        <v>Preparation time before administration (hours)</v>
      </c>
      <c r="C16" s="452"/>
      <c r="D16" s="418">
        <f t="shared" ref="D16:I16" si="6">D147</f>
        <v>0</v>
      </c>
      <c r="E16" s="418">
        <f t="shared" si="6"/>
        <v>0</v>
      </c>
      <c r="F16" s="418">
        <f t="shared" si="6"/>
        <v>0</v>
      </c>
      <c r="G16" s="418">
        <f t="shared" si="6"/>
        <v>0</v>
      </c>
      <c r="H16" s="418">
        <f t="shared" si="6"/>
        <v>0</v>
      </c>
      <c r="I16" s="418">
        <f t="shared" si="6"/>
        <v>0</v>
      </c>
      <c r="L16" s="291">
        <f t="shared" ref="L16:Q16" si="7">L147</f>
        <v>0</v>
      </c>
      <c r="M16" s="291">
        <f t="shared" si="7"/>
        <v>0</v>
      </c>
      <c r="N16" s="291">
        <f t="shared" si="7"/>
        <v>0</v>
      </c>
      <c r="O16" s="291">
        <f t="shared" si="7"/>
        <v>0</v>
      </c>
      <c r="P16" s="291">
        <f t="shared" si="7"/>
        <v>0</v>
      </c>
      <c r="Q16" s="291">
        <f t="shared" si="7"/>
        <v>0</v>
      </c>
      <c r="R16" s="133"/>
      <c r="S16" s="133"/>
      <c r="T16" s="133"/>
      <c r="U16" s="133"/>
      <c r="V16" s="133"/>
      <c r="W16" s="133"/>
      <c r="X16" s="133"/>
      <c r="Y16" s="133"/>
      <c r="Z16" s="133"/>
      <c r="AJ16" s="285"/>
      <c r="AK16" s="285"/>
      <c r="AL16" s="285"/>
      <c r="AM16" s="285"/>
      <c r="AN16" s="285"/>
    </row>
    <row r="17" spans="1:40" x14ac:dyDescent="0.35">
      <c r="A17" s="286"/>
      <c r="B17" s="445" t="str">
        <f>B150</f>
        <v>Post administration nursing time (hours)</v>
      </c>
      <c r="C17" s="452"/>
      <c r="D17" s="418">
        <f t="shared" ref="D17:I17" si="8">D171</f>
        <v>0</v>
      </c>
      <c r="E17" s="419">
        <f t="shared" si="8"/>
        <v>0</v>
      </c>
      <c r="F17" s="418">
        <f t="shared" si="8"/>
        <v>0</v>
      </c>
      <c r="G17" s="418">
        <f t="shared" si="8"/>
        <v>0</v>
      </c>
      <c r="H17" s="418">
        <f t="shared" si="8"/>
        <v>0</v>
      </c>
      <c r="I17" s="418">
        <f t="shared" si="8"/>
        <v>0</v>
      </c>
      <c r="L17" s="291">
        <f t="shared" ref="L17:Q17" si="9">L171</f>
        <v>0</v>
      </c>
      <c r="M17" s="291">
        <f t="shared" si="9"/>
        <v>0</v>
      </c>
      <c r="N17" s="291">
        <f t="shared" si="9"/>
        <v>0</v>
      </c>
      <c r="O17" s="291">
        <f t="shared" si="9"/>
        <v>0</v>
      </c>
      <c r="P17" s="291">
        <f t="shared" si="9"/>
        <v>0</v>
      </c>
      <c r="Q17" s="291">
        <f t="shared" si="9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5"/>
      <c r="AK17" s="285"/>
      <c r="AL17" s="285"/>
      <c r="AM17" s="285"/>
      <c r="AN17" s="285"/>
    </row>
    <row r="18" spans="1:40" hidden="1" x14ac:dyDescent="0.35">
      <c r="A18" s="288"/>
      <c r="B18" s="446" t="str">
        <f>B175</f>
        <v>Pharmacy support (hours)</v>
      </c>
      <c r="C18" s="453"/>
      <c r="D18" s="420">
        <f t="shared" ref="D18:I18" si="10">D180</f>
        <v>0</v>
      </c>
      <c r="E18" s="420">
        <f t="shared" si="10"/>
        <v>0</v>
      </c>
      <c r="F18" s="420">
        <f t="shared" si="10"/>
        <v>0</v>
      </c>
      <c r="G18" s="420">
        <f t="shared" si="10"/>
        <v>0</v>
      </c>
      <c r="H18" s="420">
        <f t="shared" si="10"/>
        <v>0</v>
      </c>
      <c r="I18" s="420">
        <f t="shared" si="10"/>
        <v>0</v>
      </c>
      <c r="L18" s="291">
        <f t="shared" ref="L18:Q18" si="11">L180</f>
        <v>0</v>
      </c>
      <c r="M18" s="291">
        <f t="shared" si="11"/>
        <v>0</v>
      </c>
      <c r="N18" s="291">
        <f t="shared" si="11"/>
        <v>0</v>
      </c>
      <c r="O18" s="291">
        <f t="shared" si="11"/>
        <v>0</v>
      </c>
      <c r="P18" s="291">
        <f t="shared" si="11"/>
        <v>0</v>
      </c>
      <c r="Q18" s="291">
        <f t="shared" si="11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5"/>
      <c r="AK18" s="285"/>
      <c r="AL18" s="285"/>
      <c r="AM18" s="285"/>
      <c r="AN18" s="285"/>
    </row>
    <row r="19" spans="1:40" hidden="1" x14ac:dyDescent="0.35">
      <c r="A19" s="329"/>
      <c r="B19" s="448" t="str">
        <f>B184</f>
        <v>Appointments with supporting specialty x</v>
      </c>
      <c r="C19" s="454"/>
      <c r="D19" s="424">
        <f t="shared" ref="D19:I19" si="12">D189</f>
        <v>0</v>
      </c>
      <c r="E19" s="424">
        <f t="shared" si="12"/>
        <v>0</v>
      </c>
      <c r="F19" s="424">
        <f t="shared" si="12"/>
        <v>0</v>
      </c>
      <c r="G19" s="424">
        <f t="shared" si="12"/>
        <v>0</v>
      </c>
      <c r="H19" s="424">
        <f t="shared" si="12"/>
        <v>0</v>
      </c>
      <c r="I19" s="424">
        <f t="shared" si="12"/>
        <v>0</v>
      </c>
      <c r="L19" s="291">
        <f t="shared" ref="L19:Q19" si="13">L189</f>
        <v>0</v>
      </c>
      <c r="M19" s="291">
        <f t="shared" si="13"/>
        <v>0</v>
      </c>
      <c r="N19" s="291">
        <f t="shared" si="13"/>
        <v>0</v>
      </c>
      <c r="O19" s="291">
        <f t="shared" si="13"/>
        <v>0</v>
      </c>
      <c r="P19" s="291">
        <f t="shared" si="13"/>
        <v>0</v>
      </c>
      <c r="Q19" s="291">
        <f t="shared" si="13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5"/>
      <c r="AK19" s="285"/>
      <c r="AL19" s="285"/>
      <c r="AM19" s="285"/>
      <c r="AN19" s="285"/>
    </row>
    <row r="20" spans="1:40" x14ac:dyDescent="0.35">
      <c r="A20" s="289"/>
      <c r="B20" s="449" t="str">
        <f>B193</f>
        <v>Full blood count (hours)</v>
      </c>
      <c r="C20" s="455"/>
      <c r="D20" s="425">
        <f t="shared" ref="D20:I20" si="14">D214</f>
        <v>0</v>
      </c>
      <c r="E20" s="425">
        <f t="shared" si="14"/>
        <v>0</v>
      </c>
      <c r="F20" s="425">
        <f t="shared" si="14"/>
        <v>0</v>
      </c>
      <c r="G20" s="425">
        <f t="shared" si="14"/>
        <v>0</v>
      </c>
      <c r="H20" s="425">
        <f t="shared" si="14"/>
        <v>0</v>
      </c>
      <c r="I20" s="425">
        <f t="shared" si="14"/>
        <v>0</v>
      </c>
      <c r="L20" s="291">
        <f t="shared" ref="L20:Q20" si="15">L214</f>
        <v>0</v>
      </c>
      <c r="M20" s="291">
        <f t="shared" si="15"/>
        <v>0</v>
      </c>
      <c r="N20" s="291">
        <f t="shared" si="15"/>
        <v>0</v>
      </c>
      <c r="O20" s="291">
        <f t="shared" si="15"/>
        <v>0</v>
      </c>
      <c r="P20" s="291">
        <f t="shared" si="15"/>
        <v>0</v>
      </c>
      <c r="Q20" s="291">
        <f t="shared" si="15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5"/>
      <c r="AK20" s="285"/>
      <c r="AL20" s="285"/>
      <c r="AM20" s="285"/>
      <c r="AN20" s="285"/>
    </row>
    <row r="21" spans="1:40" x14ac:dyDescent="0.35">
      <c r="A21" s="289"/>
      <c r="B21" s="449" t="str">
        <f>B217</f>
        <v>Biochemistry test (hours)</v>
      </c>
      <c r="C21" s="455"/>
      <c r="D21" s="425">
        <f t="shared" ref="D21:I21" si="16">D238</f>
        <v>0</v>
      </c>
      <c r="E21" s="425">
        <f t="shared" si="16"/>
        <v>0</v>
      </c>
      <c r="F21" s="425">
        <f t="shared" si="16"/>
        <v>0</v>
      </c>
      <c r="G21" s="425">
        <f t="shared" si="16"/>
        <v>0</v>
      </c>
      <c r="H21" s="425">
        <f t="shared" si="16"/>
        <v>0</v>
      </c>
      <c r="I21" s="425">
        <f t="shared" si="16"/>
        <v>0</v>
      </c>
      <c r="L21" s="291">
        <f t="shared" ref="L21:Q21" si="17">L238</f>
        <v>0</v>
      </c>
      <c r="M21" s="291">
        <f t="shared" si="17"/>
        <v>0</v>
      </c>
      <c r="N21" s="291">
        <f t="shared" si="17"/>
        <v>0</v>
      </c>
      <c r="O21" s="291">
        <f t="shared" si="17"/>
        <v>0</v>
      </c>
      <c r="P21" s="291">
        <f t="shared" si="17"/>
        <v>0</v>
      </c>
      <c r="Q21" s="291">
        <f t="shared" si="17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5"/>
      <c r="AK21" s="285"/>
      <c r="AL21" s="285"/>
      <c r="AM21" s="285"/>
      <c r="AN21" s="285"/>
    </row>
    <row r="22" spans="1:40" x14ac:dyDescent="0.35">
      <c r="A22" s="289"/>
      <c r="B22" s="449" t="str">
        <f>B241</f>
        <v>MRI scan (hours)</v>
      </c>
      <c r="C22" s="455"/>
      <c r="D22" s="425">
        <f t="shared" ref="D22:I22" si="18">D262</f>
        <v>0</v>
      </c>
      <c r="E22" s="425">
        <f t="shared" si="18"/>
        <v>0</v>
      </c>
      <c r="F22" s="425">
        <f t="shared" si="18"/>
        <v>0</v>
      </c>
      <c r="G22" s="425">
        <f t="shared" si="18"/>
        <v>0</v>
      </c>
      <c r="H22" s="425">
        <f t="shared" si="18"/>
        <v>0</v>
      </c>
      <c r="I22" s="425">
        <f t="shared" si="18"/>
        <v>0</v>
      </c>
      <c r="L22" s="291">
        <f t="shared" ref="L22:Q22" si="19">L262</f>
        <v>0</v>
      </c>
      <c r="M22" s="291">
        <f t="shared" si="19"/>
        <v>0</v>
      </c>
      <c r="N22" s="291">
        <f t="shared" si="19"/>
        <v>0</v>
      </c>
      <c r="O22" s="291">
        <f t="shared" si="19"/>
        <v>0</v>
      </c>
      <c r="P22" s="291">
        <f t="shared" si="19"/>
        <v>0</v>
      </c>
      <c r="Q22" s="291">
        <f t="shared" si="19"/>
        <v>0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5"/>
      <c r="AK22" s="285"/>
      <c r="AL22" s="285"/>
      <c r="AM22" s="285"/>
      <c r="AN22" s="285"/>
    </row>
    <row r="23" spans="1:40" x14ac:dyDescent="0.35">
      <c r="A23" s="290"/>
      <c r="B23" s="451" t="str">
        <f>B266</f>
        <v>Adverse events, various (cases)</v>
      </c>
      <c r="C23" s="431"/>
      <c r="D23" s="426">
        <f t="shared" ref="D23:I23" si="20">D279</f>
        <v>0</v>
      </c>
      <c r="E23" s="426">
        <f t="shared" si="20"/>
        <v>0</v>
      </c>
      <c r="F23" s="426">
        <f t="shared" si="20"/>
        <v>0</v>
      </c>
      <c r="G23" s="426">
        <f t="shared" si="20"/>
        <v>0</v>
      </c>
      <c r="H23" s="426">
        <f t="shared" si="20"/>
        <v>0</v>
      </c>
      <c r="I23" s="426">
        <f t="shared" si="20"/>
        <v>0</v>
      </c>
      <c r="J23" s="133"/>
      <c r="K23" s="133"/>
      <c r="L23" s="291">
        <f>L279</f>
        <v>0</v>
      </c>
      <c r="M23" s="291">
        <f t="shared" ref="M23:Q23" si="21">M279</f>
        <v>0</v>
      </c>
      <c r="N23" s="291">
        <f t="shared" si="21"/>
        <v>0</v>
      </c>
      <c r="O23" s="291">
        <f t="shared" si="21"/>
        <v>0</v>
      </c>
      <c r="P23" s="291">
        <f t="shared" si="21"/>
        <v>0</v>
      </c>
      <c r="Q23" s="291">
        <f t="shared" si="21"/>
        <v>0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35">
      <c r="B24" s="246"/>
      <c r="D24" s="285"/>
      <c r="F24" s="133"/>
      <c r="G24" s="133"/>
      <c r="H24" s="133"/>
      <c r="I24" s="133"/>
      <c r="J24" s="133"/>
      <c r="K24" s="133"/>
      <c r="L24" s="292">
        <f t="shared" ref="L24:Q24" si="22">SUM(L12:L23)</f>
        <v>0</v>
      </c>
      <c r="M24" s="292">
        <f t="shared" si="22"/>
        <v>0</v>
      </c>
      <c r="N24" s="292">
        <f t="shared" si="22"/>
        <v>0</v>
      </c>
      <c r="O24" s="292">
        <f t="shared" si="22"/>
        <v>0</v>
      </c>
      <c r="P24" s="292">
        <f t="shared" si="22"/>
        <v>0</v>
      </c>
      <c r="Q24" s="292">
        <f t="shared" si="22"/>
        <v>0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35"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P25" s="133"/>
      <c r="Q25" s="133"/>
      <c r="R25" s="133"/>
      <c r="S25" s="133"/>
      <c r="V25" s="133"/>
      <c r="W25" s="133"/>
      <c r="X25" s="133"/>
      <c r="Y25" s="133"/>
      <c r="Z25" s="133"/>
      <c r="AJ25" s="285"/>
      <c r="AK25" s="285"/>
      <c r="AL25" s="285"/>
      <c r="AM25" s="285"/>
      <c r="AN25" s="285"/>
    </row>
    <row r="26" spans="1:40" x14ac:dyDescent="0.35">
      <c r="B26" s="370" t="s">
        <v>966</v>
      </c>
      <c r="C26" s="371"/>
      <c r="D26" s="371"/>
      <c r="E26" s="372"/>
      <c r="F26" s="371"/>
      <c r="G26" s="373"/>
      <c r="H26" s="374"/>
      <c r="I26" s="374"/>
      <c r="J26" s="374"/>
      <c r="K26" s="374"/>
      <c r="L26" s="374"/>
      <c r="M26" s="374"/>
      <c r="N26" s="374"/>
      <c r="O26" s="374"/>
      <c r="P26" s="374"/>
      <c r="Q26" s="375"/>
      <c r="R26" s="133"/>
      <c r="S26" s="133"/>
      <c r="T26" s="133"/>
      <c r="U26" s="133"/>
      <c r="V26" s="133"/>
      <c r="W26" s="133"/>
      <c r="X26" s="133"/>
      <c r="Y26" s="133"/>
      <c r="Z26" s="133"/>
      <c r="AJ26" s="285"/>
      <c r="AK26" s="285"/>
      <c r="AL26" s="285"/>
      <c r="AM26" s="285"/>
      <c r="AN26" s="285"/>
    </row>
    <row r="27" spans="1:40" x14ac:dyDescent="0.35">
      <c r="B27" s="754"/>
      <c r="C27" s="755"/>
      <c r="D27" s="755"/>
      <c r="E27" s="756"/>
      <c r="F27" s="755"/>
      <c r="G27" s="148"/>
      <c r="H27" s="757"/>
      <c r="I27" s="757"/>
      <c r="J27" s="757"/>
      <c r="K27" s="757"/>
      <c r="L27" s="757"/>
      <c r="M27" s="757"/>
      <c r="N27" s="757"/>
      <c r="O27" s="757"/>
      <c r="P27" s="757"/>
      <c r="Q27" s="148"/>
      <c r="R27" s="133"/>
      <c r="S27" s="133"/>
      <c r="T27" s="133"/>
      <c r="U27" s="133"/>
      <c r="V27" s="133"/>
      <c r="W27" s="133"/>
      <c r="X27" s="133"/>
      <c r="Y27" s="133"/>
      <c r="Z27" s="133"/>
      <c r="AJ27" s="285"/>
      <c r="AK27" s="285"/>
      <c r="AL27" s="285"/>
      <c r="AM27" s="285"/>
      <c r="AN27" s="285"/>
    </row>
    <row r="28" spans="1:40" x14ac:dyDescent="0.35">
      <c r="A28" s="287"/>
      <c r="B28" s="566" t="s">
        <v>763</v>
      </c>
      <c r="C28" s="559"/>
      <c r="D28" s="560"/>
      <c r="E28" s="561"/>
      <c r="F28" s="287"/>
      <c r="G28" s="28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133"/>
      <c r="S28" s="133"/>
      <c r="T28" s="133"/>
      <c r="U28" s="133"/>
      <c r="V28" s="133"/>
      <c r="W28" s="133"/>
      <c r="X28" s="133"/>
      <c r="Y28" s="133"/>
      <c r="Z28" s="133"/>
      <c r="AJ28" s="285"/>
      <c r="AK28" s="285"/>
      <c r="AL28" s="285"/>
      <c r="AM28" s="285"/>
      <c r="AN28" s="285"/>
    </row>
    <row r="29" spans="1:40" hidden="1" x14ac:dyDescent="0.35">
      <c r="A29" s="557"/>
      <c r="B29" s="562" t="s">
        <v>967</v>
      </c>
      <c r="C29" s="393"/>
      <c r="D29" s="393"/>
      <c r="E29" s="393"/>
      <c r="F29" s="393"/>
      <c r="G29" s="393"/>
      <c r="H29" s="393"/>
      <c r="I29" s="216"/>
      <c r="J29" s="217"/>
      <c r="K29" s="217"/>
      <c r="L29" s="217"/>
      <c r="M29" s="217"/>
      <c r="N29" s="217"/>
      <c r="O29" s="217"/>
      <c r="P29" s="217"/>
      <c r="Q29" s="217"/>
      <c r="R29" s="133"/>
      <c r="S29" s="133"/>
      <c r="T29" s="133"/>
      <c r="U29" s="133"/>
      <c r="V29" s="133"/>
      <c r="W29" s="133"/>
      <c r="X29" s="133"/>
      <c r="Y29" s="133"/>
      <c r="Z29" s="133"/>
      <c r="AJ29" s="285"/>
      <c r="AK29" s="285"/>
      <c r="AL29" s="285"/>
      <c r="AM29" s="285"/>
      <c r="AN29" s="285"/>
    </row>
    <row r="30" spans="1:40" ht="43.5" hidden="1" x14ac:dyDescent="0.35">
      <c r="A30" s="557"/>
      <c r="B30" s="317" t="s">
        <v>876</v>
      </c>
      <c r="C30" s="165" t="s">
        <v>968</v>
      </c>
      <c r="D30" s="421" t="s">
        <v>957</v>
      </c>
      <c r="E30" s="255" t="s">
        <v>685</v>
      </c>
      <c r="F30" s="255" t="s">
        <v>686</v>
      </c>
      <c r="G30" s="164" t="s">
        <v>914</v>
      </c>
      <c r="H30" s="164" t="s">
        <v>915</v>
      </c>
      <c r="I30" s="255" t="s">
        <v>916</v>
      </c>
      <c r="J30" s="565"/>
      <c r="K30" s="556" t="s">
        <v>969</v>
      </c>
      <c r="L30" s="421" t="s">
        <v>957</v>
      </c>
      <c r="M30" s="541" t="s">
        <v>685</v>
      </c>
      <c r="N30" s="541" t="s">
        <v>686</v>
      </c>
      <c r="O30" s="422" t="s">
        <v>914</v>
      </c>
      <c r="P30" s="422" t="s">
        <v>915</v>
      </c>
      <c r="Q30" s="541" t="s">
        <v>916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5"/>
      <c r="AK30" s="285"/>
      <c r="AL30" s="285"/>
      <c r="AM30" s="285"/>
      <c r="AN30" s="285"/>
    </row>
    <row r="31" spans="1:40" hidden="1" x14ac:dyDescent="0.35">
      <c r="A31" s="557"/>
      <c r="B31" s="348"/>
      <c r="C31" s="149">
        <f>'Inputs and eligible population'!F107</f>
        <v>0</v>
      </c>
      <c r="D31" s="128">
        <f>'Financial impact (cash)'!D13*$C$31*'Inputs and eligible population'!$F$108/60</f>
        <v>0</v>
      </c>
      <c r="E31" s="128">
        <f>'Financial impact (cash)'!E13*$C$31*'Inputs and eligible population'!$F$108/60</f>
        <v>0</v>
      </c>
      <c r="F31" s="128">
        <f>'Financial impact (cash)'!F13*$C$31*'Inputs and eligible population'!$F$108/60</f>
        <v>0</v>
      </c>
      <c r="G31" s="128">
        <f>'Financial impact (cash)'!G13*$C$31*'Inputs and eligible population'!$F$108/60</f>
        <v>0</v>
      </c>
      <c r="H31" s="128">
        <f>'Financial impact (cash)'!H13*$C$31*'Inputs and eligible population'!$F$108/60</f>
        <v>0</v>
      </c>
      <c r="I31" s="128">
        <f>'Financial impact (cash)'!I13*$C$31*'Inputs and eligible population'!$F$108/60</f>
        <v>0</v>
      </c>
      <c r="J31" s="565"/>
      <c r="K31" s="569">
        <f>'Inputs and eligible population'!AA108</f>
        <v>122.51</v>
      </c>
      <c r="L31" s="571">
        <f>$K31/1000*D31</f>
        <v>0</v>
      </c>
      <c r="M31" s="571">
        <f t="shared" ref="M31:Q33" si="23">$K31/1000*E31</f>
        <v>0</v>
      </c>
      <c r="N31" s="571">
        <f t="shared" si="23"/>
        <v>0</v>
      </c>
      <c r="O31" s="571">
        <f t="shared" si="23"/>
        <v>0</v>
      </c>
      <c r="P31" s="571">
        <f t="shared" si="23"/>
        <v>0</v>
      </c>
      <c r="Q31" s="571">
        <f t="shared" si="23"/>
        <v>0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5"/>
      <c r="AK31" s="285"/>
      <c r="AL31" s="285"/>
      <c r="AM31" s="285"/>
      <c r="AN31" s="285"/>
    </row>
    <row r="32" spans="1:40" hidden="1" x14ac:dyDescent="0.35">
      <c r="A32" s="557"/>
      <c r="B32" s="348"/>
      <c r="C32" s="149">
        <f>'Inputs and eligible population'!G107</f>
        <v>0</v>
      </c>
      <c r="D32" s="128">
        <f>'Financial impact (cash)'!D14*$C$32*'Inputs and eligible population'!$G$108/60</f>
        <v>0</v>
      </c>
      <c r="E32" s="128">
        <f>'Financial impact (cash)'!E14*$C$32*'Inputs and eligible population'!$G$108/60</f>
        <v>0</v>
      </c>
      <c r="F32" s="128">
        <f>'Financial impact (cash)'!F14*$C$32*'Inputs and eligible population'!$G$108/60</f>
        <v>0</v>
      </c>
      <c r="G32" s="128">
        <f>'Financial impact (cash)'!G14*$C$32*'Inputs and eligible population'!$G$108/60</f>
        <v>0</v>
      </c>
      <c r="H32" s="128">
        <f>'Financial impact (cash)'!H14*$C$32*'Inputs and eligible population'!$G$108/60</f>
        <v>0</v>
      </c>
      <c r="I32" s="128">
        <f>'Financial impact (cash)'!I14*$C$32*'Inputs and eligible population'!$G$108/60</f>
        <v>0</v>
      </c>
      <c r="J32" s="565"/>
      <c r="K32" s="569">
        <f>'Inputs and eligible population'!AA108</f>
        <v>122.51</v>
      </c>
      <c r="L32" s="571">
        <f>$K32/1000*D32</f>
        <v>0</v>
      </c>
      <c r="M32" s="571">
        <f t="shared" si="23"/>
        <v>0</v>
      </c>
      <c r="N32" s="571">
        <f t="shared" si="23"/>
        <v>0</v>
      </c>
      <c r="O32" s="571">
        <f t="shared" si="23"/>
        <v>0</v>
      </c>
      <c r="P32" s="571">
        <f t="shared" si="23"/>
        <v>0</v>
      </c>
      <c r="Q32" s="571">
        <f t="shared" si="23"/>
        <v>0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5"/>
      <c r="AK32" s="285"/>
      <c r="AL32" s="285"/>
      <c r="AM32" s="285"/>
      <c r="AN32" s="285"/>
    </row>
    <row r="33" spans="1:40" hidden="1" x14ac:dyDescent="0.35">
      <c r="A33" s="557"/>
      <c r="B33" s="348"/>
      <c r="C33" s="149">
        <f>'Inputs and eligible population'!I107</f>
        <v>0</v>
      </c>
      <c r="D33" s="128">
        <f>'Financial impact (cash)'!D16*$C$33*'Inputs and eligible population'!$I$108/60</f>
        <v>0</v>
      </c>
      <c r="E33" s="128">
        <f>'Financial impact (cash)'!E16*$C$33*'Inputs and eligible population'!$I$108/60</f>
        <v>0</v>
      </c>
      <c r="F33" s="128">
        <f>'Financial impact (cash)'!F16*$C$33*'Inputs and eligible population'!$I$108/60</f>
        <v>0</v>
      </c>
      <c r="G33" s="128">
        <f>'Financial impact (cash)'!G16*$C$33*'Inputs and eligible population'!$I$108/60</f>
        <v>0</v>
      </c>
      <c r="H33" s="128">
        <f>'Financial impact (cash)'!H16*$C$33*'Inputs and eligible population'!$I$108/60</f>
        <v>0</v>
      </c>
      <c r="I33" s="128">
        <f>'Financial impact (cash)'!I16*$C$33*'Inputs and eligible population'!$I$108/60</f>
        <v>0</v>
      </c>
      <c r="J33" s="565"/>
      <c r="K33" s="569">
        <f>'Inputs and eligible population'!AA108</f>
        <v>122.51</v>
      </c>
      <c r="L33" s="571">
        <f>$K33/1000*D33</f>
        <v>0</v>
      </c>
      <c r="M33" s="571">
        <f t="shared" si="23"/>
        <v>0</v>
      </c>
      <c r="N33" s="571">
        <f t="shared" si="23"/>
        <v>0</v>
      </c>
      <c r="O33" s="571">
        <f t="shared" si="23"/>
        <v>0</v>
      </c>
      <c r="P33" s="571">
        <f t="shared" si="23"/>
        <v>0</v>
      </c>
      <c r="Q33" s="571">
        <f t="shared" si="23"/>
        <v>0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5"/>
      <c r="AK33" s="285"/>
      <c r="AL33" s="285"/>
      <c r="AM33" s="285"/>
      <c r="AN33" s="285"/>
    </row>
    <row r="34" spans="1:40" hidden="1" x14ac:dyDescent="0.35">
      <c r="A34" s="557"/>
      <c r="B34" s="521"/>
      <c r="C34" s="282"/>
      <c r="D34" s="185">
        <f t="shared" ref="D34:I34" si="24">SUM(D31:D33)</f>
        <v>0</v>
      </c>
      <c r="E34" s="185">
        <f t="shared" si="24"/>
        <v>0</v>
      </c>
      <c r="F34" s="185">
        <f t="shared" si="24"/>
        <v>0</v>
      </c>
      <c r="G34" s="185">
        <f t="shared" si="24"/>
        <v>0</v>
      </c>
      <c r="H34" s="185">
        <f t="shared" si="24"/>
        <v>0</v>
      </c>
      <c r="I34" s="185">
        <f t="shared" si="24"/>
        <v>0</v>
      </c>
      <c r="J34" s="565"/>
      <c r="K34" s="217"/>
      <c r="L34" s="292">
        <f t="shared" ref="L34:Q34" si="25">SUM(L31:L33)</f>
        <v>0</v>
      </c>
      <c r="M34" s="292">
        <f t="shared" si="25"/>
        <v>0</v>
      </c>
      <c r="N34" s="292">
        <f t="shared" si="25"/>
        <v>0</v>
      </c>
      <c r="O34" s="292">
        <f t="shared" si="25"/>
        <v>0</v>
      </c>
      <c r="P34" s="292">
        <f t="shared" si="25"/>
        <v>0</v>
      </c>
      <c r="Q34" s="292">
        <f t="shared" si="25"/>
        <v>0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5"/>
      <c r="AK34" s="285"/>
      <c r="AL34" s="285"/>
      <c r="AM34" s="285"/>
      <c r="AN34" s="285"/>
    </row>
    <row r="35" spans="1:40" hidden="1" x14ac:dyDescent="0.35">
      <c r="A35" s="557"/>
      <c r="B35" s="256"/>
      <c r="C35" s="256"/>
      <c r="D35" s="284" t="s">
        <v>970</v>
      </c>
      <c r="E35" s="185">
        <f>E34-$D$34</f>
        <v>0</v>
      </c>
      <c r="F35" s="185">
        <f>F34-$D$34</f>
        <v>0</v>
      </c>
      <c r="G35" s="185">
        <f>G34-$D$34</f>
        <v>0</v>
      </c>
      <c r="H35" s="185">
        <f>H34-$D$34</f>
        <v>0</v>
      </c>
      <c r="I35" s="185">
        <f>I34-$D$34</f>
        <v>0</v>
      </c>
      <c r="J35" s="565"/>
      <c r="K35" s="217"/>
      <c r="L35" s="217"/>
      <c r="M35" s="292">
        <f>M34-$L34</f>
        <v>0</v>
      </c>
      <c r="N35" s="292">
        <f>N34-$L34</f>
        <v>0</v>
      </c>
      <c r="O35" s="292">
        <f>O34-$L34</f>
        <v>0</v>
      </c>
      <c r="P35" s="292">
        <f>P34-$L34</f>
        <v>0</v>
      </c>
      <c r="Q35" s="292">
        <f>Q34-$L34</f>
        <v>0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5"/>
      <c r="AK35" s="285"/>
      <c r="AL35" s="285"/>
      <c r="AM35" s="285"/>
      <c r="AN35" s="285"/>
    </row>
    <row r="36" spans="1:40" hidden="1" x14ac:dyDescent="0.35">
      <c r="A36" s="287"/>
      <c r="B36" s="558"/>
      <c r="C36" s="559"/>
      <c r="D36" s="560"/>
      <c r="E36" s="561"/>
      <c r="F36" s="287"/>
      <c r="G36" s="287"/>
      <c r="H36" s="287"/>
      <c r="I36" s="308"/>
      <c r="J36" s="217"/>
      <c r="K36" s="217"/>
      <c r="L36" s="217"/>
      <c r="M36" s="217"/>
      <c r="N36" s="217"/>
      <c r="O36" s="217"/>
      <c r="P36" s="217"/>
      <c r="Q36" s="217"/>
      <c r="R36" s="133"/>
      <c r="S36" s="133"/>
      <c r="T36" s="133"/>
      <c r="U36" s="133"/>
      <c r="V36" s="133"/>
      <c r="W36" s="133"/>
      <c r="X36" s="133"/>
      <c r="Y36" s="133"/>
      <c r="Z36" s="133"/>
      <c r="AJ36" s="285"/>
      <c r="AK36" s="285"/>
      <c r="AL36" s="285"/>
      <c r="AM36" s="285"/>
      <c r="AN36" s="285"/>
    </row>
    <row r="37" spans="1:40" x14ac:dyDescent="0.35">
      <c r="A37" s="287"/>
      <c r="B37" s="392" t="s">
        <v>971</v>
      </c>
      <c r="C37" s="393"/>
      <c r="D37" s="393"/>
      <c r="E37" s="393"/>
      <c r="F37" s="393"/>
      <c r="G37" s="393"/>
      <c r="H37" s="393"/>
      <c r="I37" s="216"/>
      <c r="J37" s="217"/>
      <c r="K37" s="217"/>
      <c r="L37" s="217"/>
      <c r="M37" s="217"/>
      <c r="N37" s="217"/>
      <c r="O37" s="217"/>
      <c r="P37" s="217"/>
      <c r="Q37" s="217"/>
      <c r="R37" s="133"/>
      <c r="S37" s="133"/>
      <c r="T37" s="133"/>
      <c r="U37" s="133"/>
      <c r="V37" s="133"/>
      <c r="W37" s="133"/>
      <c r="X37" s="133"/>
      <c r="Y37" s="133"/>
      <c r="Z37" s="133"/>
      <c r="AJ37" s="285"/>
      <c r="AK37" s="285"/>
      <c r="AL37" s="285"/>
      <c r="AM37" s="285"/>
      <c r="AN37" s="285"/>
    </row>
    <row r="38" spans="1:40" ht="43.5" x14ac:dyDescent="0.35">
      <c r="A38" s="287"/>
      <c r="B38" s="281" t="s">
        <v>876</v>
      </c>
      <c r="C38" s="165" t="s">
        <v>968</v>
      </c>
      <c r="D38" s="421" t="s">
        <v>957</v>
      </c>
      <c r="E38" s="255" t="s">
        <v>685</v>
      </c>
      <c r="F38" s="255" t="s">
        <v>686</v>
      </c>
      <c r="G38" s="164" t="s">
        <v>914</v>
      </c>
      <c r="H38" s="164" t="s">
        <v>915</v>
      </c>
      <c r="I38" s="255" t="s">
        <v>916</v>
      </c>
      <c r="J38" s="217"/>
      <c r="K38" s="556" t="s">
        <v>969</v>
      </c>
      <c r="L38" s="421" t="s">
        <v>957</v>
      </c>
      <c r="M38" s="541" t="s">
        <v>685</v>
      </c>
      <c r="N38" s="541" t="s">
        <v>686</v>
      </c>
      <c r="O38" s="422" t="s">
        <v>914</v>
      </c>
      <c r="P38" s="422" t="s">
        <v>915</v>
      </c>
      <c r="Q38" s="541" t="s">
        <v>916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5"/>
      <c r="AK38" s="285"/>
      <c r="AL38" s="285"/>
      <c r="AM38" s="285"/>
      <c r="AN38" s="285"/>
    </row>
    <row r="39" spans="1:40" x14ac:dyDescent="0.35">
      <c r="A39" s="287"/>
      <c r="B39" s="347" t="s">
        <v>699</v>
      </c>
      <c r="C39" s="149">
        <f>'Inputs and eligible population'!$F109</f>
        <v>1</v>
      </c>
      <c r="D39" s="128">
        <f>'Financial impact (cash)'!D13*$C$39*'Inputs and eligible population'!$F$110/60</f>
        <v>0</v>
      </c>
      <c r="E39" s="128">
        <f>'Financial impact (cash)'!E13*$C$39*'Inputs and eligible population'!$F$110/60</f>
        <v>0</v>
      </c>
      <c r="F39" s="128">
        <f>'Financial impact (cash)'!F13*$C$39*'Inputs and eligible population'!$F$110/60</f>
        <v>0</v>
      </c>
      <c r="G39" s="128">
        <f>'Financial impact (cash)'!G13*$C$39*'Inputs and eligible population'!$F$110/60</f>
        <v>0</v>
      </c>
      <c r="H39" s="128">
        <f>'Financial impact (cash)'!H13*$C$39*'Inputs and eligible population'!$F$110/60</f>
        <v>0</v>
      </c>
      <c r="I39" s="128">
        <f>'Financial impact (cash)'!I13*$C$39*'Inputs and eligible population'!$F$110/60</f>
        <v>0</v>
      </c>
      <c r="J39" s="217"/>
      <c r="K39" s="569">
        <f>'Inputs and eligible population'!$AA$110</f>
        <v>122.51</v>
      </c>
      <c r="L39" s="571">
        <f t="shared" ref="L39:Q39" si="26">$K39/1000*D39</f>
        <v>0</v>
      </c>
      <c r="M39" s="571">
        <f t="shared" si="26"/>
        <v>0</v>
      </c>
      <c r="N39" s="571">
        <f t="shared" si="26"/>
        <v>0</v>
      </c>
      <c r="O39" s="571">
        <f t="shared" si="26"/>
        <v>0</v>
      </c>
      <c r="P39" s="571">
        <f t="shared" si="26"/>
        <v>0</v>
      </c>
      <c r="Q39" s="571">
        <f t="shared" si="26"/>
        <v>0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5"/>
      <c r="AK39" s="285"/>
      <c r="AL39" s="285"/>
      <c r="AM39" s="285"/>
      <c r="AN39" s="285"/>
    </row>
    <row r="40" spans="1:40" x14ac:dyDescent="0.35">
      <c r="A40" s="287"/>
      <c r="B40" s="347" t="s">
        <v>701</v>
      </c>
      <c r="C40" s="149">
        <f>'Inputs and eligible population'!G109</f>
        <v>1</v>
      </c>
      <c r="D40" s="128">
        <f>'Financial impact (cash)'!D14*$C$40*'Inputs and eligible population'!$G$110/60</f>
        <v>0</v>
      </c>
      <c r="E40" s="128">
        <f>'Financial impact (cash)'!E14*$C$40*'Inputs and eligible population'!$G$110/60</f>
        <v>0</v>
      </c>
      <c r="F40" s="128">
        <f>'Financial impact (cash)'!F14*$C$40*'Inputs and eligible population'!$G$110/60</f>
        <v>0</v>
      </c>
      <c r="G40" s="128">
        <f>'Financial impact (cash)'!G14*$C$40*'Inputs and eligible population'!$G$110/60</f>
        <v>0</v>
      </c>
      <c r="H40" s="128">
        <f>'Financial impact (cash)'!H14*$C$40*'Inputs and eligible population'!$G$110/60</f>
        <v>0</v>
      </c>
      <c r="I40" s="128">
        <f>'Financial impact (cash)'!I14*$C$40*'Inputs and eligible population'!$G$110/60</f>
        <v>0</v>
      </c>
      <c r="J40" s="217"/>
      <c r="K40" s="569">
        <f>'Inputs and eligible population'!$AA$110</f>
        <v>122.51</v>
      </c>
      <c r="L40" s="571">
        <f t="shared" ref="L40:L57" si="27">$K40/1000*D40</f>
        <v>0</v>
      </c>
      <c r="M40" s="571">
        <f t="shared" ref="M40:M57" si="28">$K40/1000*E40</f>
        <v>0</v>
      </c>
      <c r="N40" s="571">
        <f t="shared" ref="N40:N57" si="29">$K40/1000*F40</f>
        <v>0</v>
      </c>
      <c r="O40" s="571">
        <f t="shared" ref="O40:O57" si="30">$K40/1000*G40</f>
        <v>0</v>
      </c>
      <c r="P40" s="571">
        <f t="shared" ref="P40:P57" si="31">$K40/1000*H40</f>
        <v>0</v>
      </c>
      <c r="Q40" s="571">
        <f t="shared" ref="Q40:Q57" si="32">$K40/1000*I40</f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5"/>
      <c r="AK40" s="285"/>
      <c r="AL40" s="285"/>
      <c r="AM40" s="285"/>
      <c r="AN40" s="285"/>
    </row>
    <row r="41" spans="1:40" x14ac:dyDescent="0.35">
      <c r="A41" s="287"/>
      <c r="B41" s="347" t="s">
        <v>703</v>
      </c>
      <c r="C41" s="149">
        <f>'Inputs and eligible population'!H109</f>
        <v>1</v>
      </c>
      <c r="D41" s="128">
        <f>'Financial impact (cash)'!D15*$C$41*'Inputs and eligible population'!$H$110/60</f>
        <v>0</v>
      </c>
      <c r="E41" s="128">
        <f>'Financial impact (cash)'!E15*$C$41*'Inputs and eligible population'!$H$110/60</f>
        <v>0</v>
      </c>
      <c r="F41" s="128">
        <f>'Financial impact (cash)'!F15*$C$41*'Inputs and eligible population'!$H$110/60</f>
        <v>0</v>
      </c>
      <c r="G41" s="128">
        <f>'Financial impact (cash)'!G15*$C$41*'Inputs and eligible population'!$H$110/60</f>
        <v>0</v>
      </c>
      <c r="H41" s="128">
        <f>'Financial impact (cash)'!H15*$C$41*'Inputs and eligible population'!$H$110/60</f>
        <v>0</v>
      </c>
      <c r="I41" s="128">
        <f>'Financial impact (cash)'!I15*$C$41*'Inputs and eligible population'!$H$110/60</f>
        <v>0</v>
      </c>
      <c r="J41" s="217"/>
      <c r="K41" s="569">
        <f>'Inputs and eligible population'!$AA$110</f>
        <v>122.51</v>
      </c>
      <c r="L41" s="571">
        <f t="shared" ref="L41:Q41" si="33">$K41/1000*D41</f>
        <v>0</v>
      </c>
      <c r="M41" s="571">
        <f t="shared" si="33"/>
        <v>0</v>
      </c>
      <c r="N41" s="571">
        <f t="shared" si="33"/>
        <v>0</v>
      </c>
      <c r="O41" s="571">
        <f t="shared" si="33"/>
        <v>0</v>
      </c>
      <c r="P41" s="571">
        <f t="shared" si="33"/>
        <v>0</v>
      </c>
      <c r="Q41" s="571">
        <f t="shared" si="33"/>
        <v>0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5"/>
      <c r="AK41" s="285"/>
      <c r="AL41" s="285"/>
      <c r="AM41" s="285"/>
      <c r="AN41" s="285"/>
    </row>
    <row r="42" spans="1:40" x14ac:dyDescent="0.35">
      <c r="A42" s="287"/>
      <c r="B42" s="347" t="s">
        <v>705</v>
      </c>
      <c r="C42" s="149">
        <f>'Inputs and eligible population'!I109</f>
        <v>1</v>
      </c>
      <c r="D42" s="128">
        <f>'Financial impact (cash)'!D16*$C$42*'Inputs and eligible population'!$I$110/60</f>
        <v>0</v>
      </c>
      <c r="E42" s="128">
        <f>'Financial impact (cash)'!E16*$C$42*'Inputs and eligible population'!$I$110/60</f>
        <v>0</v>
      </c>
      <c r="F42" s="128">
        <f>'Financial impact (cash)'!F16*$C$42*'Inputs and eligible population'!$I$110/60</f>
        <v>0</v>
      </c>
      <c r="G42" s="128">
        <f>'Financial impact (cash)'!G16*$C$42*'Inputs and eligible population'!$I$110/60</f>
        <v>0</v>
      </c>
      <c r="H42" s="128">
        <f>'Financial impact (cash)'!H16*$C$42*'Inputs and eligible population'!$I$110/60</f>
        <v>0</v>
      </c>
      <c r="I42" s="128">
        <f>'Financial impact (cash)'!I16*$C$42*'Inputs and eligible population'!$I$110/60</f>
        <v>0</v>
      </c>
      <c r="J42" s="217"/>
      <c r="K42" s="569">
        <f>'Inputs and eligible population'!$AA$110</f>
        <v>122.51</v>
      </c>
      <c r="L42" s="571">
        <f t="shared" si="27"/>
        <v>0</v>
      </c>
      <c r="M42" s="571">
        <f t="shared" si="28"/>
        <v>0</v>
      </c>
      <c r="N42" s="571">
        <f t="shared" si="29"/>
        <v>0</v>
      </c>
      <c r="O42" s="571">
        <f t="shared" si="30"/>
        <v>0</v>
      </c>
      <c r="P42" s="571">
        <f t="shared" si="31"/>
        <v>0</v>
      </c>
      <c r="Q42" s="571">
        <f t="shared" si="32"/>
        <v>0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5"/>
      <c r="AK42" s="285"/>
      <c r="AL42" s="285"/>
      <c r="AM42" s="285"/>
      <c r="AN42" s="285"/>
    </row>
    <row r="43" spans="1:40" x14ac:dyDescent="0.35">
      <c r="A43" s="287"/>
      <c r="B43" s="347" t="s">
        <v>749</v>
      </c>
      <c r="C43" s="149">
        <f>'Inputs and eligible population'!J109</f>
        <v>1</v>
      </c>
      <c r="D43" s="128">
        <f>'Financial impact (cash)'!D17*$C$43*'Inputs and eligible population'!$J$110/60</f>
        <v>0</v>
      </c>
      <c r="E43" s="128">
        <f>'Financial impact (cash)'!E17*$C$43*'Inputs and eligible population'!$J$110/60</f>
        <v>0</v>
      </c>
      <c r="F43" s="128">
        <f>'Financial impact (cash)'!F17*$C$43*'Inputs and eligible population'!$J$110/60</f>
        <v>0</v>
      </c>
      <c r="G43" s="128">
        <f>'Financial impact (cash)'!G17*$C$43*'Inputs and eligible population'!$J$110/60</f>
        <v>0</v>
      </c>
      <c r="H43" s="128">
        <f>'Financial impact (cash)'!H17*$C$43*'Inputs and eligible population'!$J$110/60</f>
        <v>0</v>
      </c>
      <c r="I43" s="128">
        <f>'Financial impact (cash)'!I17*$C$43*'Inputs and eligible population'!$J$110/60</f>
        <v>0</v>
      </c>
      <c r="J43" s="217"/>
      <c r="K43" s="569">
        <f>'Inputs and eligible population'!$AA$110</f>
        <v>122.51</v>
      </c>
      <c r="L43" s="571">
        <f t="shared" si="27"/>
        <v>0</v>
      </c>
      <c r="M43" s="571">
        <f t="shared" si="28"/>
        <v>0</v>
      </c>
      <c r="N43" s="571">
        <f t="shared" si="29"/>
        <v>0</v>
      </c>
      <c r="O43" s="571">
        <f t="shared" si="30"/>
        <v>0</v>
      </c>
      <c r="P43" s="571">
        <f t="shared" si="31"/>
        <v>0</v>
      </c>
      <c r="Q43" s="571">
        <f t="shared" si="32"/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5"/>
      <c r="AK43" s="285"/>
      <c r="AL43" s="285"/>
      <c r="AM43" s="285"/>
      <c r="AN43" s="285"/>
    </row>
    <row r="44" spans="1:40" x14ac:dyDescent="0.35">
      <c r="A44" s="287"/>
      <c r="B44" s="347" t="s">
        <v>711</v>
      </c>
      <c r="C44" s="149">
        <f>'Inputs and eligible population'!K109</f>
        <v>1</v>
      </c>
      <c r="D44" s="128">
        <f>'Financial impact (cash)'!D18*$C$44*'Inputs and eligible population'!$K$110/60</f>
        <v>0</v>
      </c>
      <c r="E44" s="128">
        <f>'Financial impact (cash)'!E18*$C$44*'Inputs and eligible population'!$K$110/60</f>
        <v>0</v>
      </c>
      <c r="F44" s="128">
        <f>'Financial impact (cash)'!F18*$C$44*'Inputs and eligible population'!$K$110/60</f>
        <v>0</v>
      </c>
      <c r="G44" s="128">
        <f>'Financial impact (cash)'!G18*$C$44*'Inputs and eligible population'!$K$110/60</f>
        <v>0</v>
      </c>
      <c r="H44" s="128">
        <f>'Financial impact (cash)'!H18*$C$44*'Inputs and eligible population'!$K$110/60</f>
        <v>0</v>
      </c>
      <c r="I44" s="128">
        <f>'Financial impact (cash)'!I18*$C$44*'Inputs and eligible population'!$K$110/60</f>
        <v>0</v>
      </c>
      <c r="J44" s="217"/>
      <c r="K44" s="569">
        <f>'Inputs and eligible population'!$AA$110</f>
        <v>122.51</v>
      </c>
      <c r="L44" s="571">
        <f t="shared" si="27"/>
        <v>0</v>
      </c>
      <c r="M44" s="571">
        <f t="shared" si="28"/>
        <v>0</v>
      </c>
      <c r="N44" s="571">
        <f t="shared" si="29"/>
        <v>0</v>
      </c>
      <c r="O44" s="571">
        <f t="shared" si="30"/>
        <v>0</v>
      </c>
      <c r="P44" s="571">
        <f t="shared" si="31"/>
        <v>0</v>
      </c>
      <c r="Q44" s="571">
        <f t="shared" si="32"/>
        <v>0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5"/>
      <c r="AK44" s="285"/>
      <c r="AL44" s="285"/>
      <c r="AM44" s="285"/>
      <c r="AN44" s="285"/>
    </row>
    <row r="45" spans="1:40" x14ac:dyDescent="0.35">
      <c r="A45" s="287"/>
      <c r="B45" s="347" t="s">
        <v>1101</v>
      </c>
      <c r="C45" s="149">
        <f>'Inputs and eligible population'!L109</f>
        <v>2</v>
      </c>
      <c r="D45" s="128">
        <f>'Financial impact (cash)'!D19*$C$45*'Inputs and eligible population'!$L$110/60</f>
        <v>0</v>
      </c>
      <c r="E45" s="128">
        <f>'Financial impact (cash)'!E19*$C$45*'Inputs and eligible population'!$L$110/60</f>
        <v>0</v>
      </c>
      <c r="F45" s="128">
        <f>'Financial impact (cash)'!F19*$C$45*'Inputs and eligible population'!$L$110/60</f>
        <v>0</v>
      </c>
      <c r="G45" s="128">
        <f>'Financial impact (cash)'!G19*$C$45*'Inputs and eligible population'!$L$110/60</f>
        <v>0</v>
      </c>
      <c r="H45" s="128">
        <f>'Financial impact (cash)'!H19*$C$45*'Inputs and eligible population'!$L$110/60</f>
        <v>0</v>
      </c>
      <c r="I45" s="128">
        <f>'Financial impact (cash)'!I19*$C$45*'Inputs and eligible population'!$L$110/60</f>
        <v>0</v>
      </c>
      <c r="J45" s="217"/>
      <c r="K45" s="569">
        <f>'Inputs and eligible population'!$AA$110</f>
        <v>122.51</v>
      </c>
      <c r="L45" s="571">
        <f t="shared" ref="L45" si="34">$K45/1000*D45</f>
        <v>0</v>
      </c>
      <c r="M45" s="571">
        <f t="shared" ref="M45" si="35">$K45/1000*E45</f>
        <v>0</v>
      </c>
      <c r="N45" s="571">
        <f t="shared" ref="N45" si="36">$K45/1000*F45</f>
        <v>0</v>
      </c>
      <c r="O45" s="571">
        <f t="shared" ref="O45" si="37">$K45/1000*G45</f>
        <v>0</v>
      </c>
      <c r="P45" s="571">
        <f t="shared" ref="P45" si="38">$K45/1000*H45</f>
        <v>0</v>
      </c>
      <c r="Q45" s="571">
        <f t="shared" ref="Q45" si="39">$K45/1000*I45</f>
        <v>0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5"/>
      <c r="AK45" s="285"/>
      <c r="AL45" s="285"/>
      <c r="AM45" s="285"/>
      <c r="AN45" s="285"/>
    </row>
    <row r="46" spans="1:40" x14ac:dyDescent="0.35">
      <c r="A46" s="287"/>
      <c r="B46" s="347" t="s">
        <v>714</v>
      </c>
      <c r="C46" s="149">
        <f>'Inputs and eligible population'!$M$109</f>
        <v>2</v>
      </c>
      <c r="D46" s="128">
        <f>'Financial impact (cash)'!D20*$C$46*'Inputs and eligible population'!$M$110/60</f>
        <v>0</v>
      </c>
      <c r="E46" s="128">
        <f>'Financial impact (cash)'!E20*$C$46*'Inputs and eligible population'!$M$110/60</f>
        <v>0</v>
      </c>
      <c r="F46" s="128">
        <f>'Financial impact (cash)'!F20*$C$46*'Inputs and eligible population'!$M$110/60</f>
        <v>0</v>
      </c>
      <c r="G46" s="128">
        <f>'Financial impact (cash)'!G20*$C$46*'Inputs and eligible population'!$M$110/60</f>
        <v>0</v>
      </c>
      <c r="H46" s="128">
        <f>'Financial impact (cash)'!H20*$C$46*'Inputs and eligible population'!$M$110/60</f>
        <v>0</v>
      </c>
      <c r="I46" s="128">
        <f>'Financial impact (cash)'!I20*$C$46*'Inputs and eligible population'!$M$110/60</f>
        <v>0</v>
      </c>
      <c r="J46" s="217"/>
      <c r="K46" s="569">
        <f>'Inputs and eligible population'!$AA$110</f>
        <v>122.51</v>
      </c>
      <c r="L46" s="571">
        <f t="shared" si="27"/>
        <v>0</v>
      </c>
      <c r="M46" s="571">
        <f t="shared" si="28"/>
        <v>0</v>
      </c>
      <c r="N46" s="571">
        <f t="shared" si="29"/>
        <v>0</v>
      </c>
      <c r="O46" s="571">
        <f t="shared" si="30"/>
        <v>0</v>
      </c>
      <c r="P46" s="571">
        <f t="shared" si="31"/>
        <v>0</v>
      </c>
      <c r="Q46" s="571">
        <f t="shared" si="32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5"/>
      <c r="AK46" s="285"/>
      <c r="AL46" s="285"/>
      <c r="AM46" s="285"/>
      <c r="AN46" s="285"/>
    </row>
    <row r="47" spans="1:40" x14ac:dyDescent="0.35">
      <c r="A47" s="287"/>
      <c r="B47" s="347" t="s">
        <v>717</v>
      </c>
      <c r="C47" s="149">
        <f>'Inputs and eligible population'!$N$109</f>
        <v>1</v>
      </c>
      <c r="D47" s="128">
        <f>'Financial impact (cash)'!D21*$C$47*'Inputs and eligible population'!$N$110/60</f>
        <v>0</v>
      </c>
      <c r="E47" s="128">
        <f>'Financial impact (cash)'!E21*$C$47*'Inputs and eligible population'!$N$110/60</f>
        <v>0</v>
      </c>
      <c r="F47" s="128">
        <f>'Financial impact (cash)'!F21*$C$47*'Inputs and eligible population'!$N$110/60</f>
        <v>0</v>
      </c>
      <c r="G47" s="128">
        <f>'Financial impact (cash)'!G21*$C$47*'Inputs and eligible population'!$N$110/60</f>
        <v>0</v>
      </c>
      <c r="H47" s="128">
        <f>'Financial impact (cash)'!H21*$C$47*'Inputs and eligible population'!$N$110/60</f>
        <v>0</v>
      </c>
      <c r="I47" s="128">
        <f>'Financial impact (cash)'!I21*$C$47*'Inputs and eligible population'!$N$110/60</f>
        <v>0</v>
      </c>
      <c r="J47" s="217"/>
      <c r="K47" s="569">
        <f>'Inputs and eligible population'!$AA$110</f>
        <v>122.51</v>
      </c>
      <c r="L47" s="571">
        <f t="shared" si="27"/>
        <v>0</v>
      </c>
      <c r="M47" s="571">
        <f t="shared" si="28"/>
        <v>0</v>
      </c>
      <c r="N47" s="571">
        <f t="shared" si="29"/>
        <v>0</v>
      </c>
      <c r="O47" s="571">
        <f t="shared" si="30"/>
        <v>0</v>
      </c>
      <c r="P47" s="571">
        <f t="shared" si="31"/>
        <v>0</v>
      </c>
      <c r="Q47" s="571">
        <f t="shared" si="32"/>
        <v>0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5"/>
      <c r="AK47" s="285"/>
      <c r="AL47" s="285"/>
      <c r="AM47" s="285"/>
      <c r="AN47" s="285"/>
    </row>
    <row r="48" spans="1:40" x14ac:dyDescent="0.35">
      <c r="A48" s="287"/>
      <c r="B48" s="347" t="s">
        <v>719</v>
      </c>
      <c r="C48" s="149">
        <f>'Inputs and eligible population'!$O$109</f>
        <v>1</v>
      </c>
      <c r="D48" s="128">
        <f>'Financial impact (cash)'!D22*$C$48*'Inputs and eligible population'!$O$110/60</f>
        <v>0</v>
      </c>
      <c r="E48" s="128">
        <f>'Financial impact (cash)'!E22*$C$48*'Inputs and eligible population'!$O$110/60</f>
        <v>0</v>
      </c>
      <c r="F48" s="128">
        <f>'Financial impact (cash)'!F22*$C$48*'Inputs and eligible population'!$O$110/60</f>
        <v>0</v>
      </c>
      <c r="G48" s="128">
        <f>'Financial impact (cash)'!G22*$C$48*'Inputs and eligible population'!$O$110/60</f>
        <v>0</v>
      </c>
      <c r="H48" s="128">
        <f>'Financial impact (cash)'!H22*$C$48*'Inputs and eligible population'!$O$110/60</f>
        <v>0</v>
      </c>
      <c r="I48" s="128">
        <f>'Financial impact (cash)'!I22*$C$48*'Inputs and eligible population'!$O$110/60</f>
        <v>0</v>
      </c>
      <c r="J48" s="217"/>
      <c r="K48" s="569">
        <f>'Inputs and eligible population'!$AA$110</f>
        <v>122.51</v>
      </c>
      <c r="L48" s="571">
        <f t="shared" si="27"/>
        <v>0</v>
      </c>
      <c r="M48" s="571">
        <f t="shared" si="28"/>
        <v>0</v>
      </c>
      <c r="N48" s="571">
        <f t="shared" si="29"/>
        <v>0</v>
      </c>
      <c r="O48" s="571">
        <f t="shared" si="30"/>
        <v>0</v>
      </c>
      <c r="P48" s="571">
        <f t="shared" si="31"/>
        <v>0</v>
      </c>
      <c r="Q48" s="571">
        <f t="shared" si="32"/>
        <v>0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5"/>
      <c r="AK48" s="285"/>
      <c r="AL48" s="285"/>
      <c r="AM48" s="285"/>
      <c r="AN48" s="285"/>
    </row>
    <row r="49" spans="1:40" x14ac:dyDescent="0.35">
      <c r="A49" s="287"/>
      <c r="B49" s="347" t="s">
        <v>721</v>
      </c>
      <c r="C49" s="149">
        <f>'Inputs and eligible population'!$P$109</f>
        <v>1</v>
      </c>
      <c r="D49" s="128">
        <f>'Financial impact (cash)'!D23*$C$49*'Inputs and eligible population'!$P$110/60</f>
        <v>0</v>
      </c>
      <c r="E49" s="128">
        <f>'Financial impact (cash)'!E23*$C$49*'Inputs and eligible population'!$P$110/60</f>
        <v>0</v>
      </c>
      <c r="F49" s="128">
        <f>'Financial impact (cash)'!F23*$C$49*'Inputs and eligible population'!$P$110/60</f>
        <v>0</v>
      </c>
      <c r="G49" s="128">
        <f>'Financial impact (cash)'!G23*$C$49*'Inputs and eligible population'!$P$110/60</f>
        <v>0</v>
      </c>
      <c r="H49" s="128">
        <f>'Financial impact (cash)'!H23*$C$49*'Inputs and eligible population'!$P$110/60</f>
        <v>0</v>
      </c>
      <c r="I49" s="128">
        <f>'Financial impact (cash)'!I23*$C$49*'Inputs and eligible population'!$P$110/60</f>
        <v>0</v>
      </c>
      <c r="J49" s="217"/>
      <c r="K49" s="569">
        <f>'Inputs and eligible population'!$AA$110</f>
        <v>122.51</v>
      </c>
      <c r="L49" s="571">
        <f t="shared" si="27"/>
        <v>0</v>
      </c>
      <c r="M49" s="571">
        <f t="shared" si="28"/>
        <v>0</v>
      </c>
      <c r="N49" s="571">
        <f t="shared" si="29"/>
        <v>0</v>
      </c>
      <c r="O49" s="571">
        <f t="shared" si="30"/>
        <v>0</v>
      </c>
      <c r="P49" s="571">
        <f t="shared" si="31"/>
        <v>0</v>
      </c>
      <c r="Q49" s="571">
        <f t="shared" si="32"/>
        <v>0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5"/>
      <c r="AK49" s="285"/>
      <c r="AL49" s="285"/>
      <c r="AM49" s="285"/>
      <c r="AN49" s="285"/>
    </row>
    <row r="50" spans="1:40" x14ac:dyDescent="0.35">
      <c r="A50" s="287"/>
      <c r="B50" s="347" t="s">
        <v>723</v>
      </c>
      <c r="C50" s="149">
        <f>'Inputs and eligible population'!$Q$109</f>
        <v>1</v>
      </c>
      <c r="D50" s="128">
        <f>'Financial impact (cash)'!D24*$C$50*'Inputs and eligible population'!$Q$110/60</f>
        <v>0</v>
      </c>
      <c r="E50" s="128">
        <f>'Financial impact (cash)'!E24*$C$50*'Inputs and eligible population'!$Q$110/60</f>
        <v>0</v>
      </c>
      <c r="F50" s="128">
        <f>'Financial impact (cash)'!F24*$C$50*'Inputs and eligible population'!$Q$110/60</f>
        <v>0</v>
      </c>
      <c r="G50" s="128">
        <f>'Financial impact (cash)'!G24*$C$50*'Inputs and eligible population'!$Q$110/60</f>
        <v>0</v>
      </c>
      <c r="H50" s="128">
        <f>'Financial impact (cash)'!H24*$C$50*'Inputs and eligible population'!$Q$110/60</f>
        <v>0</v>
      </c>
      <c r="I50" s="128">
        <f>'Financial impact (cash)'!I24*$C$50*'Inputs and eligible population'!$Q$110/60</f>
        <v>0</v>
      </c>
      <c r="J50" s="217"/>
      <c r="K50" s="569">
        <f>'Inputs and eligible population'!$AA$110</f>
        <v>122.51</v>
      </c>
      <c r="L50" s="571">
        <f t="shared" si="27"/>
        <v>0</v>
      </c>
      <c r="M50" s="571">
        <f t="shared" si="28"/>
        <v>0</v>
      </c>
      <c r="N50" s="571">
        <f t="shared" si="29"/>
        <v>0</v>
      </c>
      <c r="O50" s="571">
        <f t="shared" si="30"/>
        <v>0</v>
      </c>
      <c r="P50" s="571">
        <f t="shared" si="31"/>
        <v>0</v>
      </c>
      <c r="Q50" s="571">
        <f t="shared" si="32"/>
        <v>0</v>
      </c>
      <c r="R50" s="133"/>
      <c r="S50" s="133"/>
      <c r="T50" s="133"/>
      <c r="U50" s="133"/>
      <c r="V50" s="133"/>
      <c r="W50" s="133"/>
      <c r="X50" s="133"/>
      <c r="Y50" s="133"/>
      <c r="Z50" s="133"/>
      <c r="AJ50" s="285"/>
      <c r="AK50" s="285"/>
      <c r="AL50" s="285"/>
      <c r="AM50" s="285"/>
      <c r="AN50" s="285"/>
    </row>
    <row r="51" spans="1:40" x14ac:dyDescent="0.35">
      <c r="A51" s="287"/>
      <c r="B51" s="347" t="s">
        <v>725</v>
      </c>
      <c r="C51" s="149">
        <f>'Inputs and eligible population'!$R$109</f>
        <v>1</v>
      </c>
      <c r="D51" s="128">
        <f>'Financial impact (cash)'!D25*$C$51*'Inputs and eligible population'!$R$110/60</f>
        <v>0</v>
      </c>
      <c r="E51" s="128">
        <f>'Financial impact (cash)'!E25*$C$51*'Inputs and eligible population'!$R$110/60</f>
        <v>0</v>
      </c>
      <c r="F51" s="128">
        <f>'Financial impact (cash)'!F25*$C$51*'Inputs and eligible population'!$R$110/60</f>
        <v>0</v>
      </c>
      <c r="G51" s="128">
        <f>'Financial impact (cash)'!G25*$C$51*'Inputs and eligible population'!$R$110/60</f>
        <v>0</v>
      </c>
      <c r="H51" s="128">
        <f>'Financial impact (cash)'!H25*$C$51*'Inputs and eligible population'!$R$110/60</f>
        <v>0</v>
      </c>
      <c r="I51" s="128">
        <f>'Financial impact (cash)'!I25*$C$51*'Inputs and eligible population'!$R$110/60</f>
        <v>0</v>
      </c>
      <c r="J51" s="217"/>
      <c r="K51" s="569">
        <f>'Inputs and eligible population'!$AA$110</f>
        <v>122.51</v>
      </c>
      <c r="L51" s="571">
        <f t="shared" si="27"/>
        <v>0</v>
      </c>
      <c r="M51" s="571">
        <f t="shared" si="28"/>
        <v>0</v>
      </c>
      <c r="N51" s="571">
        <f t="shared" si="29"/>
        <v>0</v>
      </c>
      <c r="O51" s="571">
        <f t="shared" si="30"/>
        <v>0</v>
      </c>
      <c r="P51" s="571">
        <f t="shared" si="31"/>
        <v>0</v>
      </c>
      <c r="Q51" s="571">
        <f t="shared" si="32"/>
        <v>0</v>
      </c>
      <c r="R51" s="133"/>
      <c r="S51" s="133"/>
      <c r="T51" s="133"/>
      <c r="U51" s="133"/>
      <c r="V51" s="133"/>
      <c r="W51" s="133"/>
      <c r="X51" s="133"/>
      <c r="Y51" s="133"/>
      <c r="Z51" s="133"/>
      <c r="AJ51" s="285"/>
      <c r="AK51" s="285"/>
      <c r="AL51" s="285"/>
      <c r="AM51" s="285"/>
      <c r="AN51" s="285"/>
    </row>
    <row r="52" spans="1:40" x14ac:dyDescent="0.35">
      <c r="A52" s="287"/>
      <c r="B52" s="347" t="s">
        <v>727</v>
      </c>
      <c r="C52" s="149">
        <f>'Inputs and eligible population'!$S$109</f>
        <v>1</v>
      </c>
      <c r="D52" s="128">
        <f>'Financial impact (cash)'!D26*$C$52*'Inputs and eligible population'!$S$110/60</f>
        <v>0</v>
      </c>
      <c r="E52" s="128">
        <f>'Financial impact (cash)'!E26*$C$52*'Inputs and eligible population'!$S$110/60</f>
        <v>0</v>
      </c>
      <c r="F52" s="128">
        <f>'Financial impact (cash)'!F26*$C$52*'Inputs and eligible population'!$S$110/60</f>
        <v>0</v>
      </c>
      <c r="G52" s="128">
        <f>'Financial impact (cash)'!G26*$C$52*'Inputs and eligible population'!$S$110/60</f>
        <v>0</v>
      </c>
      <c r="H52" s="128">
        <f>'Financial impact (cash)'!H26*$C$52*'Inputs and eligible population'!$S$110/60</f>
        <v>0</v>
      </c>
      <c r="I52" s="128">
        <f>'Financial impact (cash)'!I26*$C$52*'Inputs and eligible population'!$S$110/60</f>
        <v>0</v>
      </c>
      <c r="J52" s="217"/>
      <c r="K52" s="569">
        <f>'Inputs and eligible population'!$AA$110</f>
        <v>122.51</v>
      </c>
      <c r="L52" s="571">
        <f t="shared" si="27"/>
        <v>0</v>
      </c>
      <c r="M52" s="571">
        <f t="shared" si="28"/>
        <v>0</v>
      </c>
      <c r="N52" s="571">
        <f t="shared" si="29"/>
        <v>0</v>
      </c>
      <c r="O52" s="571">
        <f t="shared" si="30"/>
        <v>0</v>
      </c>
      <c r="P52" s="571">
        <f t="shared" si="31"/>
        <v>0</v>
      </c>
      <c r="Q52" s="571">
        <f t="shared" si="32"/>
        <v>0</v>
      </c>
      <c r="R52" s="133"/>
      <c r="S52" s="133"/>
      <c r="T52" s="133"/>
      <c r="U52" s="133"/>
      <c r="V52" s="133"/>
      <c r="W52" s="133"/>
      <c r="X52" s="133"/>
      <c r="Y52" s="133"/>
      <c r="Z52" s="133"/>
      <c r="AJ52" s="285"/>
      <c r="AK52" s="285"/>
      <c r="AL52" s="285"/>
      <c r="AM52" s="285"/>
      <c r="AN52" s="285"/>
    </row>
    <row r="53" spans="1:40" x14ac:dyDescent="0.35">
      <c r="A53" s="287"/>
      <c r="B53" s="347" t="s">
        <v>729</v>
      </c>
      <c r="C53" s="149">
        <f>'Inputs and eligible population'!$T$109</f>
        <v>1</v>
      </c>
      <c r="D53" s="128">
        <f>'Financial impact (cash)'!D27*$C$53*'Inputs and eligible population'!$T$110/60</f>
        <v>0</v>
      </c>
      <c r="E53" s="128">
        <f>'Financial impact (cash)'!E27*$C$53*'Inputs and eligible population'!$T$110/60</f>
        <v>0</v>
      </c>
      <c r="F53" s="128">
        <f>'Financial impact (cash)'!F27*$C$53*'Inputs and eligible population'!$T$110/60</f>
        <v>0</v>
      </c>
      <c r="G53" s="128">
        <f>'Financial impact (cash)'!G27*$C$53*'Inputs and eligible population'!$T$110/60</f>
        <v>0</v>
      </c>
      <c r="H53" s="128">
        <f>'Financial impact (cash)'!H27*$C$53*'Inputs and eligible population'!$T$110/60</f>
        <v>0</v>
      </c>
      <c r="I53" s="128">
        <f>'Financial impact (cash)'!I27*$C$53*'Inputs and eligible population'!$T$110/60</f>
        <v>0</v>
      </c>
      <c r="J53" s="217"/>
      <c r="K53" s="569">
        <f>'Inputs and eligible population'!$AA$110</f>
        <v>122.51</v>
      </c>
      <c r="L53" s="571">
        <f t="shared" si="27"/>
        <v>0</v>
      </c>
      <c r="M53" s="571">
        <f t="shared" si="28"/>
        <v>0</v>
      </c>
      <c r="N53" s="571">
        <f t="shared" si="29"/>
        <v>0</v>
      </c>
      <c r="O53" s="571">
        <f t="shared" si="30"/>
        <v>0</v>
      </c>
      <c r="P53" s="571">
        <f t="shared" si="31"/>
        <v>0</v>
      </c>
      <c r="Q53" s="571">
        <f t="shared" si="32"/>
        <v>0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5"/>
      <c r="AK53" s="285"/>
      <c r="AL53" s="285"/>
      <c r="AM53" s="285"/>
      <c r="AN53" s="285"/>
    </row>
    <row r="54" spans="1:40" x14ac:dyDescent="0.35">
      <c r="A54" s="287"/>
      <c r="B54" s="347" t="s">
        <v>731</v>
      </c>
      <c r="C54" s="149">
        <f>'Inputs and eligible population'!$U$109</f>
        <v>1</v>
      </c>
      <c r="D54" s="128">
        <f>'Financial impact (cash)'!D28*$C$54*'Inputs and eligible population'!$U$110/60</f>
        <v>0</v>
      </c>
      <c r="E54" s="128">
        <f>'Financial impact (cash)'!E28*$C$54*'Inputs and eligible population'!$U$110/60</f>
        <v>0</v>
      </c>
      <c r="F54" s="128">
        <f>'Financial impact (cash)'!F28*$C$54*'Inputs and eligible population'!$U$110/60</f>
        <v>0</v>
      </c>
      <c r="G54" s="128">
        <f>'Financial impact (cash)'!G28*$C$54*'Inputs and eligible population'!$U$110/60</f>
        <v>0</v>
      </c>
      <c r="H54" s="128">
        <f>'Financial impact (cash)'!H28*$C$54*'Inputs and eligible population'!$U$110/60</f>
        <v>0</v>
      </c>
      <c r="I54" s="128">
        <f>'Financial impact (cash)'!I28*$C$54*'Inputs and eligible population'!$U$110/60</f>
        <v>0</v>
      </c>
      <c r="J54" s="217"/>
      <c r="K54" s="569">
        <f>'Inputs and eligible population'!$AA$110</f>
        <v>122.51</v>
      </c>
      <c r="L54" s="571">
        <f t="shared" si="27"/>
        <v>0</v>
      </c>
      <c r="M54" s="571">
        <f t="shared" si="28"/>
        <v>0</v>
      </c>
      <c r="N54" s="571">
        <f t="shared" si="29"/>
        <v>0</v>
      </c>
      <c r="O54" s="571">
        <f t="shared" si="30"/>
        <v>0</v>
      </c>
      <c r="P54" s="571">
        <f t="shared" si="31"/>
        <v>0</v>
      </c>
      <c r="Q54" s="571">
        <f t="shared" si="32"/>
        <v>0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5"/>
      <c r="AK54" s="285"/>
      <c r="AL54" s="285"/>
      <c r="AM54" s="285"/>
      <c r="AN54" s="285"/>
    </row>
    <row r="55" spans="1:40" x14ac:dyDescent="0.35">
      <c r="A55" s="287"/>
      <c r="B55" s="347" t="s">
        <v>733</v>
      </c>
      <c r="C55" s="149">
        <f>'Inputs and eligible population'!$V$109</f>
        <v>2</v>
      </c>
      <c r="D55" s="128">
        <f>'Financial impact (cash)'!D29*$C$55*'Inputs and eligible population'!$V$110/60</f>
        <v>0</v>
      </c>
      <c r="E55" s="128">
        <f>'Financial impact (cash)'!E29*$C$55*'Inputs and eligible population'!$V$110/60</f>
        <v>0</v>
      </c>
      <c r="F55" s="128">
        <f>'Financial impact (cash)'!F29*$C$55*'Inputs and eligible population'!$V$110/60</f>
        <v>0</v>
      </c>
      <c r="G55" s="128">
        <f>'Financial impact (cash)'!G29*$C$55*'Inputs and eligible population'!$V$110/60</f>
        <v>0</v>
      </c>
      <c r="H55" s="128">
        <f>'Financial impact (cash)'!H29*$C$55*'Inputs and eligible population'!$V$110/60</f>
        <v>0</v>
      </c>
      <c r="I55" s="128">
        <f>'Financial impact (cash)'!I29*$C$55*'Inputs and eligible population'!$V$110/60</f>
        <v>0</v>
      </c>
      <c r="J55" s="217"/>
      <c r="K55" s="569">
        <f>'Inputs and eligible population'!$AA$110</f>
        <v>122.51</v>
      </c>
      <c r="L55" s="571">
        <f t="shared" si="27"/>
        <v>0</v>
      </c>
      <c r="M55" s="571">
        <f t="shared" si="28"/>
        <v>0</v>
      </c>
      <c r="N55" s="571">
        <f t="shared" si="29"/>
        <v>0</v>
      </c>
      <c r="O55" s="571">
        <f t="shared" si="30"/>
        <v>0</v>
      </c>
      <c r="P55" s="571">
        <f t="shared" si="31"/>
        <v>0</v>
      </c>
      <c r="Q55" s="571">
        <f t="shared" si="32"/>
        <v>0</v>
      </c>
      <c r="R55" s="133"/>
      <c r="S55" s="133"/>
      <c r="T55" s="133"/>
      <c r="U55" s="133"/>
      <c r="V55" s="133"/>
      <c r="W55" s="133"/>
      <c r="X55" s="133"/>
      <c r="Y55" s="133"/>
      <c r="Z55" s="133"/>
      <c r="AJ55" s="285"/>
      <c r="AK55" s="285"/>
      <c r="AL55" s="285"/>
      <c r="AM55" s="285"/>
      <c r="AN55" s="285"/>
    </row>
    <row r="56" spans="1:40" x14ac:dyDescent="0.35">
      <c r="A56" s="287"/>
      <c r="B56" s="347" t="s">
        <v>735</v>
      </c>
      <c r="C56" s="149">
        <f>'Inputs and eligible population'!$W$109</f>
        <v>2</v>
      </c>
      <c r="D56" s="128">
        <f>'Financial impact (cash)'!D30*$C$56*'Inputs and eligible population'!$W$110/60</f>
        <v>0</v>
      </c>
      <c r="E56" s="128">
        <f>'Financial impact (cash)'!E30*$C$56*'Inputs and eligible population'!$W$110/60</f>
        <v>0</v>
      </c>
      <c r="F56" s="128">
        <f>'Financial impact (cash)'!F30*$C$56*'Inputs and eligible population'!$W$110/60</f>
        <v>0</v>
      </c>
      <c r="G56" s="128">
        <f>'Financial impact (cash)'!G30*$C$56*'Inputs and eligible population'!$W$110/60</f>
        <v>0</v>
      </c>
      <c r="H56" s="128">
        <f>'Financial impact (cash)'!H30*$C$56*'Inputs and eligible population'!$W$110/60</f>
        <v>0</v>
      </c>
      <c r="I56" s="128">
        <f>'Financial impact (cash)'!I30*$C$56*'Inputs and eligible population'!$W$110/60</f>
        <v>0</v>
      </c>
      <c r="J56" s="217"/>
      <c r="K56" s="569">
        <f>'Inputs and eligible population'!$AA$110</f>
        <v>122.51</v>
      </c>
      <c r="L56" s="571">
        <f t="shared" si="27"/>
        <v>0</v>
      </c>
      <c r="M56" s="571">
        <f t="shared" si="28"/>
        <v>0</v>
      </c>
      <c r="N56" s="571">
        <f t="shared" si="29"/>
        <v>0</v>
      </c>
      <c r="O56" s="571">
        <f t="shared" si="30"/>
        <v>0</v>
      </c>
      <c r="P56" s="571">
        <f t="shared" si="31"/>
        <v>0</v>
      </c>
      <c r="Q56" s="571">
        <f t="shared" si="32"/>
        <v>0</v>
      </c>
      <c r="R56" s="133"/>
      <c r="S56" s="133"/>
      <c r="T56" s="133"/>
      <c r="U56" s="133"/>
      <c r="V56" s="133"/>
      <c r="W56" s="133"/>
      <c r="X56" s="133"/>
      <c r="Y56" s="133"/>
      <c r="Z56" s="133"/>
      <c r="AJ56" s="285"/>
      <c r="AK56" s="285"/>
      <c r="AL56" s="285"/>
      <c r="AM56" s="285"/>
      <c r="AN56" s="285"/>
    </row>
    <row r="57" spans="1:40" x14ac:dyDescent="0.35">
      <c r="A57" s="287"/>
      <c r="B57" s="347" t="s">
        <v>750</v>
      </c>
      <c r="C57" s="149">
        <f>'Inputs and eligible population'!$X$109</f>
        <v>1</v>
      </c>
      <c r="D57" s="128">
        <f>'Financial impact (cash)'!D31*$C$57*'Inputs and eligible population'!$X$110/60</f>
        <v>0</v>
      </c>
      <c r="E57" s="128">
        <f>'Financial impact (cash)'!E31*$C$57*'Inputs and eligible population'!$X$110/60</f>
        <v>0</v>
      </c>
      <c r="F57" s="128">
        <f>'Financial impact (cash)'!F31*$C$57*'Inputs and eligible population'!$X$110/60</f>
        <v>0</v>
      </c>
      <c r="G57" s="128">
        <f>'Financial impact (cash)'!G31*$C$57*'Inputs and eligible population'!$X$110/60</f>
        <v>0</v>
      </c>
      <c r="H57" s="128">
        <f>'Financial impact (cash)'!H31*$C$57*'Inputs and eligible population'!$X$110/60</f>
        <v>0</v>
      </c>
      <c r="I57" s="128">
        <f>'Financial impact (cash)'!I31*$C$57*'Inputs and eligible population'!$X$110/60</f>
        <v>0</v>
      </c>
      <c r="J57" s="217"/>
      <c r="K57" s="569">
        <f>'Inputs and eligible population'!$AA$110</f>
        <v>122.51</v>
      </c>
      <c r="L57" s="571">
        <f t="shared" si="27"/>
        <v>0</v>
      </c>
      <c r="M57" s="571">
        <f t="shared" si="28"/>
        <v>0</v>
      </c>
      <c r="N57" s="571">
        <f t="shared" si="29"/>
        <v>0</v>
      </c>
      <c r="O57" s="571">
        <f t="shared" si="30"/>
        <v>0</v>
      </c>
      <c r="P57" s="571">
        <f t="shared" si="31"/>
        <v>0</v>
      </c>
      <c r="Q57" s="571">
        <f t="shared" si="32"/>
        <v>0</v>
      </c>
      <c r="R57" s="133"/>
      <c r="S57" s="133"/>
      <c r="T57" s="133"/>
      <c r="U57" s="133"/>
      <c r="V57" s="133"/>
      <c r="W57" s="133"/>
      <c r="X57" s="133"/>
      <c r="Y57" s="133"/>
      <c r="Z57" s="133"/>
      <c r="AJ57" s="285"/>
      <c r="AK57" s="285"/>
      <c r="AL57" s="285"/>
      <c r="AM57" s="285"/>
      <c r="AN57" s="285"/>
    </row>
    <row r="58" spans="1:40" x14ac:dyDescent="0.35">
      <c r="A58" s="557"/>
      <c r="B58" s="521"/>
      <c r="C58" s="282"/>
      <c r="D58" s="185">
        <f t="shared" ref="D58:I58" si="40">SUM(D39:D57)</f>
        <v>0</v>
      </c>
      <c r="E58" s="185">
        <f t="shared" si="40"/>
        <v>0</v>
      </c>
      <c r="F58" s="185">
        <f t="shared" si="40"/>
        <v>0</v>
      </c>
      <c r="G58" s="185">
        <f t="shared" si="40"/>
        <v>0</v>
      </c>
      <c r="H58" s="185">
        <f t="shared" si="40"/>
        <v>0</v>
      </c>
      <c r="I58" s="185">
        <f t="shared" si="40"/>
        <v>0</v>
      </c>
      <c r="J58" s="565"/>
      <c r="K58" s="217"/>
      <c r="L58" s="292">
        <f t="shared" ref="L58:Q58" si="41">SUM(L39:L57)</f>
        <v>0</v>
      </c>
      <c r="M58" s="292">
        <f t="shared" si="41"/>
        <v>0</v>
      </c>
      <c r="N58" s="292">
        <f t="shared" si="41"/>
        <v>0</v>
      </c>
      <c r="O58" s="292">
        <f t="shared" si="41"/>
        <v>0</v>
      </c>
      <c r="P58" s="292">
        <f t="shared" si="41"/>
        <v>0</v>
      </c>
      <c r="Q58" s="292">
        <f t="shared" si="41"/>
        <v>0</v>
      </c>
      <c r="R58" s="133"/>
      <c r="S58" s="133"/>
      <c r="T58" s="133"/>
      <c r="U58" s="133"/>
      <c r="V58" s="133"/>
      <c r="W58" s="133"/>
      <c r="X58" s="133"/>
      <c r="Y58" s="133"/>
      <c r="Z58" s="133"/>
      <c r="AJ58" s="285"/>
      <c r="AK58" s="285"/>
      <c r="AL58" s="285"/>
      <c r="AM58" s="285"/>
      <c r="AN58" s="285"/>
    </row>
    <row r="59" spans="1:40" x14ac:dyDescent="0.35">
      <c r="A59" s="557"/>
      <c r="B59" s="256"/>
      <c r="C59" s="256"/>
      <c r="D59" s="284" t="s">
        <v>970</v>
      </c>
      <c r="E59" s="185">
        <f>E58-$D$58</f>
        <v>0</v>
      </c>
      <c r="F59" s="185">
        <f>F58-$D$58</f>
        <v>0</v>
      </c>
      <c r="G59" s="185">
        <f>G58-$D$58</f>
        <v>0</v>
      </c>
      <c r="H59" s="185">
        <f>H58-$D$58</f>
        <v>0</v>
      </c>
      <c r="I59" s="185">
        <f>I58-$D$58</f>
        <v>0</v>
      </c>
      <c r="J59" s="565"/>
      <c r="K59" s="217"/>
      <c r="L59" s="217"/>
      <c r="M59" s="292">
        <f>M58-$L58</f>
        <v>0</v>
      </c>
      <c r="N59" s="292">
        <f>N58-$L58</f>
        <v>0</v>
      </c>
      <c r="O59" s="292">
        <f>O58-$L58</f>
        <v>0</v>
      </c>
      <c r="P59" s="292">
        <f>P58-$L58</f>
        <v>0</v>
      </c>
      <c r="Q59" s="292">
        <f>Q58-$L58</f>
        <v>0</v>
      </c>
      <c r="R59" s="133"/>
      <c r="S59" s="133"/>
      <c r="T59" s="133"/>
      <c r="U59" s="133"/>
      <c r="V59" s="133"/>
      <c r="W59" s="133"/>
      <c r="X59" s="133"/>
      <c r="Y59" s="133"/>
      <c r="Z59" s="133"/>
      <c r="AJ59" s="285"/>
      <c r="AK59" s="285"/>
      <c r="AL59" s="285"/>
      <c r="AM59" s="285"/>
      <c r="AN59" s="285"/>
    </row>
    <row r="60" spans="1:40" x14ac:dyDescent="0.35">
      <c r="A60" s="287"/>
      <c r="B60" s="558"/>
      <c r="C60" s="559"/>
      <c r="D60" s="560"/>
      <c r="E60" s="561"/>
      <c r="F60" s="287"/>
      <c r="G60" s="287"/>
      <c r="H60" s="287"/>
      <c r="I60" s="287"/>
      <c r="J60" s="217"/>
      <c r="K60" s="217"/>
      <c r="L60" s="217"/>
      <c r="M60" s="217"/>
      <c r="N60" s="217"/>
      <c r="O60" s="217"/>
      <c r="P60" s="217"/>
      <c r="Q60" s="217"/>
      <c r="R60" s="133"/>
      <c r="S60" s="133"/>
      <c r="T60" s="133"/>
      <c r="U60" s="133"/>
      <c r="V60" s="133"/>
      <c r="W60" s="133"/>
      <c r="X60" s="133"/>
      <c r="Y60" s="133"/>
      <c r="Z60" s="133"/>
      <c r="AJ60" s="285"/>
      <c r="AK60" s="285"/>
      <c r="AL60" s="285"/>
      <c r="AM60" s="285"/>
      <c r="AN60" s="285"/>
    </row>
    <row r="61" spans="1:40" x14ac:dyDescent="0.35">
      <c r="A61" s="287"/>
      <c r="B61" s="558"/>
      <c r="C61" s="559"/>
      <c r="D61" s="560"/>
      <c r="E61" s="561"/>
      <c r="F61" s="287"/>
      <c r="G61" s="287"/>
      <c r="H61" s="287"/>
      <c r="I61" s="287"/>
      <c r="J61" s="217"/>
      <c r="K61" s="217"/>
      <c r="L61" s="217"/>
      <c r="M61" s="217"/>
      <c r="N61" s="217"/>
      <c r="O61" s="217"/>
      <c r="P61" s="217"/>
      <c r="Q61" s="217"/>
      <c r="R61" s="133"/>
      <c r="S61" s="133"/>
      <c r="T61" s="133"/>
      <c r="U61" s="133"/>
      <c r="V61" s="133"/>
      <c r="W61" s="133"/>
      <c r="X61" s="133"/>
      <c r="Y61" s="133"/>
      <c r="Z61" s="133"/>
      <c r="AJ61" s="285"/>
      <c r="AK61" s="285"/>
      <c r="AL61" s="285"/>
      <c r="AM61" s="285"/>
      <c r="AN61" s="285"/>
    </row>
    <row r="62" spans="1:40" x14ac:dyDescent="0.35">
      <c r="A62" s="294"/>
      <c r="B62" s="319" t="s">
        <v>972</v>
      </c>
      <c r="C62" s="295"/>
      <c r="D62" s="295"/>
      <c r="E62" s="296"/>
      <c r="F62" s="297"/>
      <c r="G62" s="298"/>
      <c r="H62" s="298"/>
      <c r="I62" s="432"/>
      <c r="J62" s="433"/>
      <c r="K62" s="294"/>
      <c r="L62" s="294"/>
      <c r="M62" s="294"/>
      <c r="N62" s="294"/>
      <c r="O62" s="294"/>
      <c r="P62" s="294"/>
      <c r="Q62" s="213"/>
      <c r="R62" s="133"/>
      <c r="S62" s="133"/>
      <c r="V62" s="133"/>
    </row>
    <row r="63" spans="1:40" x14ac:dyDescent="0.35">
      <c r="A63" s="302"/>
      <c r="B63" s="385" t="s">
        <v>973</v>
      </c>
      <c r="C63" s="386"/>
      <c r="D63" s="386"/>
      <c r="E63" s="386"/>
      <c r="F63" s="386"/>
      <c r="G63" s="386"/>
      <c r="H63" s="386"/>
      <c r="I63" s="386"/>
      <c r="J63" s="427"/>
      <c r="K63" s="213"/>
      <c r="L63" s="213"/>
      <c r="M63" s="213"/>
      <c r="N63" s="213"/>
      <c r="O63" s="213"/>
      <c r="P63" s="213"/>
      <c r="Q63" s="213"/>
      <c r="R63" s="133"/>
      <c r="S63" s="133"/>
      <c r="T63" s="133"/>
      <c r="U63" s="133"/>
      <c r="V63" s="133"/>
      <c r="W63" s="133"/>
      <c r="X63" s="133"/>
      <c r="Y63" s="133"/>
      <c r="Z63" s="133"/>
      <c r="AJ63" s="285"/>
      <c r="AK63" s="285"/>
      <c r="AL63" s="285"/>
      <c r="AM63" s="285"/>
      <c r="AN63" s="285"/>
    </row>
    <row r="64" spans="1:40" ht="43.5" x14ac:dyDescent="0.35">
      <c r="A64" s="302"/>
      <c r="B64" s="317" t="s">
        <v>876</v>
      </c>
      <c r="C64" s="523"/>
      <c r="D64" s="421" t="s">
        <v>957</v>
      </c>
      <c r="E64" s="255" t="s">
        <v>685</v>
      </c>
      <c r="F64" s="255" t="s">
        <v>686</v>
      </c>
      <c r="G64" s="164" t="s">
        <v>914</v>
      </c>
      <c r="H64" s="164" t="s">
        <v>915</v>
      </c>
      <c r="I64" s="255" t="s">
        <v>916</v>
      </c>
      <c r="J64" s="427"/>
      <c r="K64" s="213"/>
      <c r="L64" s="213"/>
      <c r="M64" s="213"/>
      <c r="N64" s="213"/>
      <c r="O64" s="213"/>
      <c r="P64" s="213"/>
      <c r="Q64" s="213"/>
      <c r="R64" s="133"/>
      <c r="S64" s="133"/>
      <c r="T64" s="133"/>
      <c r="U64" s="133"/>
      <c r="V64" s="133"/>
      <c r="W64" s="133"/>
      <c r="X64" s="133"/>
      <c r="Y64" s="133"/>
      <c r="Z64" s="133"/>
      <c r="AJ64" s="285"/>
      <c r="AK64" s="285"/>
      <c r="AL64" s="285"/>
      <c r="AM64" s="285"/>
      <c r="AN64" s="285"/>
    </row>
    <row r="65" spans="1:40" x14ac:dyDescent="0.35">
      <c r="A65" s="302"/>
      <c r="B65" s="522" t="s">
        <v>8</v>
      </c>
      <c r="C65" s="507"/>
      <c r="D65" s="128">
        <f t="shared" ref="D65:I66" si="42">D72</f>
        <v>0</v>
      </c>
      <c r="E65" s="128">
        <f t="shared" si="42"/>
        <v>0</v>
      </c>
      <c r="F65" s="128">
        <f t="shared" si="42"/>
        <v>0</v>
      </c>
      <c r="G65" s="128">
        <f t="shared" si="42"/>
        <v>0</v>
      </c>
      <c r="H65" s="128">
        <f t="shared" si="42"/>
        <v>0</v>
      </c>
      <c r="I65" s="128">
        <f t="shared" si="42"/>
        <v>0</v>
      </c>
      <c r="J65" s="427"/>
      <c r="K65" s="213"/>
      <c r="L65" s="213"/>
      <c r="M65" s="213"/>
      <c r="N65" s="213"/>
      <c r="O65" s="213"/>
      <c r="P65" s="213"/>
      <c r="Q65" s="213"/>
      <c r="R65" s="133"/>
      <c r="S65" s="133"/>
      <c r="T65" s="133"/>
      <c r="U65" s="133"/>
      <c r="V65" s="133"/>
      <c r="W65" s="133"/>
      <c r="X65" s="133"/>
      <c r="Y65" s="133"/>
      <c r="Z65" s="133"/>
      <c r="AJ65" s="285"/>
      <c r="AK65" s="285"/>
      <c r="AL65" s="285"/>
      <c r="AM65" s="285"/>
      <c r="AN65" s="285"/>
    </row>
    <row r="66" spans="1:40" x14ac:dyDescent="0.35">
      <c r="A66" s="302"/>
      <c r="B66" s="522" t="s">
        <v>883</v>
      </c>
      <c r="C66" s="507"/>
      <c r="D66" s="128">
        <f t="shared" si="42"/>
        <v>0</v>
      </c>
      <c r="E66" s="128">
        <f t="shared" si="42"/>
        <v>0</v>
      </c>
      <c r="F66" s="128">
        <f t="shared" si="42"/>
        <v>0</v>
      </c>
      <c r="G66" s="128">
        <f t="shared" si="42"/>
        <v>0</v>
      </c>
      <c r="H66" s="128">
        <f t="shared" si="42"/>
        <v>0</v>
      </c>
      <c r="I66" s="128">
        <f t="shared" si="42"/>
        <v>0</v>
      </c>
      <c r="J66" s="427"/>
      <c r="K66" s="213"/>
      <c r="L66" s="213"/>
      <c r="M66" s="213"/>
      <c r="N66" s="213"/>
      <c r="O66" s="213"/>
      <c r="P66" s="213"/>
      <c r="Q66" s="213"/>
      <c r="R66" s="133"/>
      <c r="S66" s="133"/>
      <c r="T66" s="133"/>
      <c r="U66" s="133"/>
      <c r="V66" s="133"/>
      <c r="W66" s="133"/>
      <c r="X66" s="133"/>
      <c r="Y66" s="133"/>
      <c r="Z66" s="133"/>
      <c r="AJ66" s="285"/>
      <c r="AK66" s="285"/>
      <c r="AL66" s="285"/>
      <c r="AM66" s="285"/>
      <c r="AN66" s="285"/>
    </row>
    <row r="67" spans="1:40" x14ac:dyDescent="0.35">
      <c r="A67" s="302"/>
      <c r="B67" s="521"/>
      <c r="C67" s="321"/>
      <c r="D67" s="185">
        <f t="shared" ref="D67:I67" si="43">SUM(D65:D66)</f>
        <v>0</v>
      </c>
      <c r="E67" s="185">
        <f t="shared" si="43"/>
        <v>0</v>
      </c>
      <c r="F67" s="185">
        <f t="shared" si="43"/>
        <v>0</v>
      </c>
      <c r="G67" s="185">
        <f t="shared" si="43"/>
        <v>0</v>
      </c>
      <c r="H67" s="185">
        <f t="shared" si="43"/>
        <v>0</v>
      </c>
      <c r="I67" s="185">
        <f t="shared" si="43"/>
        <v>0</v>
      </c>
      <c r="J67" s="427"/>
      <c r="K67" s="213"/>
      <c r="L67" s="213"/>
      <c r="M67" s="213"/>
      <c r="N67" s="213"/>
      <c r="O67" s="213"/>
      <c r="P67" s="213"/>
      <c r="Q67" s="213"/>
      <c r="R67" s="133"/>
      <c r="S67" s="133"/>
      <c r="T67" s="133"/>
      <c r="U67" s="133"/>
      <c r="V67" s="133"/>
      <c r="W67" s="133"/>
      <c r="X67" s="133"/>
      <c r="Y67" s="133"/>
      <c r="Z67" s="133"/>
      <c r="AJ67" s="285"/>
      <c r="AK67" s="285"/>
      <c r="AL67" s="285"/>
      <c r="AM67" s="285"/>
      <c r="AN67" s="285"/>
    </row>
    <row r="68" spans="1:40" x14ac:dyDescent="0.35">
      <c r="A68" s="302"/>
      <c r="B68" s="256"/>
      <c r="C68" s="256"/>
      <c r="D68" s="284" t="s">
        <v>974</v>
      </c>
      <c r="E68" s="185">
        <f>E67-$D$67</f>
        <v>0</v>
      </c>
      <c r="F68" s="185">
        <f>F67-$D$67</f>
        <v>0</v>
      </c>
      <c r="G68" s="185">
        <f>G67-$D$67</f>
        <v>0</v>
      </c>
      <c r="H68" s="185">
        <f>H67-$D$67</f>
        <v>0</v>
      </c>
      <c r="I68" s="185">
        <f>I67-$D$67</f>
        <v>0</v>
      </c>
      <c r="J68" s="427"/>
      <c r="K68" s="213"/>
      <c r="L68" s="213"/>
      <c r="M68" s="213"/>
      <c r="N68" s="213"/>
      <c r="O68" s="213"/>
      <c r="P68" s="213"/>
      <c r="Q68" s="213"/>
      <c r="R68" s="133"/>
      <c r="S68" s="133"/>
      <c r="T68" s="133"/>
      <c r="U68" s="133"/>
      <c r="V68" s="133"/>
      <c r="W68" s="133"/>
      <c r="X68" s="133"/>
      <c r="Y68" s="133"/>
      <c r="Z68" s="133"/>
      <c r="AJ68" s="285"/>
      <c r="AK68" s="285"/>
      <c r="AL68" s="285"/>
      <c r="AM68" s="285"/>
      <c r="AN68" s="285"/>
    </row>
    <row r="69" spans="1:40" x14ac:dyDescent="0.35">
      <c r="A69" s="294"/>
      <c r="B69" s="320"/>
      <c r="C69" s="300"/>
      <c r="D69" s="299"/>
      <c r="E69" s="300"/>
      <c r="F69" s="301"/>
      <c r="G69" s="294"/>
      <c r="H69" s="294"/>
      <c r="I69" s="298"/>
      <c r="J69" s="213"/>
      <c r="K69" s="213"/>
      <c r="L69" s="213"/>
      <c r="M69" s="213"/>
      <c r="N69" s="213"/>
      <c r="O69" s="213"/>
      <c r="P69" s="213"/>
      <c r="Q69" s="213"/>
      <c r="R69" s="133"/>
      <c r="S69" s="133"/>
      <c r="T69" s="133"/>
      <c r="U69" s="133"/>
      <c r="V69" s="133"/>
      <c r="W69" s="133"/>
      <c r="X69" s="133"/>
      <c r="Y69" s="133"/>
      <c r="Z69" s="133"/>
      <c r="AJ69" s="285"/>
      <c r="AK69" s="285"/>
      <c r="AL69" s="285"/>
      <c r="AM69" s="285"/>
      <c r="AN69" s="285"/>
    </row>
    <row r="70" spans="1:40" x14ac:dyDescent="0.35">
      <c r="A70" s="302"/>
      <c r="B70" s="385" t="s">
        <v>975</v>
      </c>
      <c r="C70" s="386"/>
      <c r="D70" s="386"/>
      <c r="E70" s="386"/>
      <c r="F70" s="386"/>
      <c r="G70" s="386"/>
      <c r="H70" s="386"/>
      <c r="I70" s="386"/>
      <c r="J70" s="427"/>
      <c r="K70" s="213"/>
      <c r="L70" s="213"/>
      <c r="M70" s="213"/>
      <c r="N70" s="213"/>
      <c r="O70" s="213"/>
      <c r="P70" s="213"/>
      <c r="Q70" s="213"/>
      <c r="R70" s="133"/>
      <c r="S70" s="133"/>
      <c r="T70" s="133"/>
      <c r="U70" s="133"/>
      <c r="V70" s="133"/>
      <c r="W70" s="133"/>
      <c r="X70" s="133"/>
      <c r="Y70" s="133"/>
      <c r="Z70" s="133"/>
      <c r="AJ70" s="285"/>
      <c r="AK70" s="285"/>
      <c r="AL70" s="285"/>
      <c r="AM70" s="285"/>
      <c r="AN70" s="285"/>
    </row>
    <row r="71" spans="1:40" ht="43.5" x14ac:dyDescent="0.35">
      <c r="A71" s="302"/>
      <c r="B71" s="317" t="s">
        <v>876</v>
      </c>
      <c r="C71" s="523"/>
      <c r="D71" s="421" t="s">
        <v>957</v>
      </c>
      <c r="E71" s="255" t="s">
        <v>685</v>
      </c>
      <c r="F71" s="255" t="s">
        <v>686</v>
      </c>
      <c r="G71" s="164" t="s">
        <v>914</v>
      </c>
      <c r="H71" s="164" t="s">
        <v>915</v>
      </c>
      <c r="I71" s="255" t="s">
        <v>916</v>
      </c>
      <c r="J71" s="427"/>
      <c r="K71" s="213"/>
      <c r="L71" s="213"/>
      <c r="M71" s="213"/>
      <c r="N71" s="213"/>
      <c r="O71" s="213"/>
      <c r="P71" s="213"/>
      <c r="Q71" s="213"/>
      <c r="R71" s="133"/>
      <c r="S71" s="133"/>
      <c r="T71" s="133"/>
      <c r="U71" s="133"/>
      <c r="V71" s="133"/>
      <c r="W71" s="133"/>
      <c r="X71" s="133"/>
      <c r="Y71" s="133"/>
      <c r="Z71" s="133"/>
      <c r="AJ71" s="285"/>
      <c r="AK71" s="285"/>
      <c r="AL71" s="285"/>
      <c r="AM71" s="285"/>
      <c r="AN71" s="285"/>
    </row>
    <row r="72" spans="1:40" x14ac:dyDescent="0.35">
      <c r="A72" s="302"/>
      <c r="B72" s="522" t="s">
        <v>976</v>
      </c>
      <c r="C72" s="507"/>
      <c r="D72" s="128">
        <f>D79+D80+D84+D94+D81</f>
        <v>0</v>
      </c>
      <c r="E72" s="128">
        <f t="shared" ref="E72:I72" si="44">E79+E80+E84+E94+E81</f>
        <v>0</v>
      </c>
      <c r="F72" s="128">
        <f t="shared" si="44"/>
        <v>0</v>
      </c>
      <c r="G72" s="128">
        <f t="shared" si="44"/>
        <v>0</v>
      </c>
      <c r="H72" s="128">
        <f t="shared" si="44"/>
        <v>0</v>
      </c>
      <c r="I72" s="128">
        <f t="shared" si="44"/>
        <v>0</v>
      </c>
      <c r="J72" s="427"/>
      <c r="K72" s="213"/>
      <c r="L72" s="213"/>
      <c r="M72" s="213"/>
      <c r="N72" s="213"/>
      <c r="O72" s="213"/>
      <c r="P72" s="213"/>
      <c r="Q72" s="213"/>
      <c r="R72" s="133"/>
      <c r="S72" s="133"/>
      <c r="T72" s="133"/>
      <c r="U72" s="133"/>
      <c r="V72" s="133"/>
      <c r="W72" s="133"/>
      <c r="X72" s="133"/>
      <c r="Y72" s="133"/>
      <c r="Z72" s="133"/>
      <c r="AJ72" s="285"/>
      <c r="AK72" s="285"/>
      <c r="AL72" s="285"/>
      <c r="AM72" s="285"/>
      <c r="AN72" s="285"/>
    </row>
    <row r="73" spans="1:40" x14ac:dyDescent="0.35">
      <c r="A73" s="302"/>
      <c r="B73" s="522" t="s">
        <v>883</v>
      </c>
      <c r="C73" s="507"/>
      <c r="D73" s="128">
        <f>SUM(D86:D93)+D95+D96+D82+D83+D85</f>
        <v>0</v>
      </c>
      <c r="E73" s="128">
        <f t="shared" ref="E73:I73" si="45">SUM(E86:E93)+E95+E96+E82+E83+E85</f>
        <v>0</v>
      </c>
      <c r="F73" s="128">
        <f t="shared" si="45"/>
        <v>0</v>
      </c>
      <c r="G73" s="128">
        <f t="shared" si="45"/>
        <v>0</v>
      </c>
      <c r="H73" s="128">
        <f t="shared" si="45"/>
        <v>0</v>
      </c>
      <c r="I73" s="128">
        <f t="shared" si="45"/>
        <v>0</v>
      </c>
      <c r="J73" s="427"/>
      <c r="K73" s="213"/>
      <c r="L73" s="213"/>
      <c r="M73" s="213"/>
      <c r="N73" s="213"/>
      <c r="O73" s="213"/>
      <c r="P73" s="213"/>
      <c r="Q73" s="213"/>
      <c r="R73" s="133"/>
      <c r="S73" s="133"/>
      <c r="T73" s="133"/>
      <c r="U73" s="133"/>
      <c r="V73" s="133"/>
      <c r="W73" s="133"/>
      <c r="X73" s="133"/>
      <c r="Y73" s="133"/>
      <c r="Z73" s="133"/>
      <c r="AJ73" s="285"/>
      <c r="AK73" s="285"/>
      <c r="AL73" s="285"/>
      <c r="AM73" s="285"/>
      <c r="AN73" s="285"/>
    </row>
    <row r="74" spans="1:40" x14ac:dyDescent="0.35">
      <c r="A74" s="302"/>
      <c r="B74" s="521"/>
      <c r="C74" s="321"/>
      <c r="D74" s="185">
        <f t="shared" ref="D74:I74" si="46">SUM(D72:D73)</f>
        <v>0</v>
      </c>
      <c r="E74" s="185">
        <f t="shared" si="46"/>
        <v>0</v>
      </c>
      <c r="F74" s="185">
        <f t="shared" si="46"/>
        <v>0</v>
      </c>
      <c r="G74" s="185">
        <f t="shared" si="46"/>
        <v>0</v>
      </c>
      <c r="H74" s="185">
        <f t="shared" si="46"/>
        <v>0</v>
      </c>
      <c r="I74" s="185">
        <f t="shared" si="46"/>
        <v>0</v>
      </c>
      <c r="J74" s="427"/>
      <c r="K74" s="213"/>
      <c r="L74" s="213"/>
      <c r="M74" s="213"/>
      <c r="N74" s="213"/>
      <c r="O74" s="213"/>
      <c r="P74" s="213"/>
      <c r="Q74" s="213"/>
      <c r="R74" s="133"/>
      <c r="S74" s="133"/>
      <c r="T74" s="133"/>
      <c r="U74" s="133"/>
      <c r="V74" s="133"/>
      <c r="W74" s="133"/>
      <c r="X74" s="133"/>
      <c r="Y74" s="133"/>
      <c r="Z74" s="133"/>
      <c r="AJ74" s="285"/>
      <c r="AK74" s="285"/>
      <c r="AL74" s="285"/>
      <c r="AM74" s="285"/>
      <c r="AN74" s="285"/>
    </row>
    <row r="75" spans="1:40" x14ac:dyDescent="0.35">
      <c r="A75" s="302"/>
      <c r="B75" s="256"/>
      <c r="C75" s="256"/>
      <c r="D75" s="284" t="s">
        <v>977</v>
      </c>
      <c r="E75" s="185">
        <f>E74-D74</f>
        <v>0</v>
      </c>
      <c r="F75" s="185">
        <f>F74-$D$74</f>
        <v>0</v>
      </c>
      <c r="G75" s="185">
        <f>G74-$D$74</f>
        <v>0</v>
      </c>
      <c r="H75" s="185">
        <f>H74-$D$74</f>
        <v>0</v>
      </c>
      <c r="I75" s="185">
        <f>I74-$D$74</f>
        <v>0</v>
      </c>
      <c r="J75" s="427"/>
      <c r="K75" s="213"/>
      <c r="L75" s="213"/>
      <c r="M75" s="213"/>
      <c r="N75" s="213"/>
      <c r="O75" s="213"/>
      <c r="P75" s="213"/>
      <c r="Q75" s="213"/>
      <c r="R75" s="133"/>
      <c r="S75" s="133"/>
      <c r="T75" s="133"/>
      <c r="U75" s="133"/>
      <c r="V75" s="133"/>
      <c r="W75" s="133"/>
      <c r="X75" s="133"/>
      <c r="Y75" s="133"/>
      <c r="Z75" s="133"/>
      <c r="AJ75" s="285"/>
      <c r="AK75" s="285"/>
      <c r="AL75" s="285"/>
      <c r="AM75" s="285"/>
      <c r="AN75" s="285"/>
    </row>
    <row r="76" spans="1:40" x14ac:dyDescent="0.35">
      <c r="A76" s="294"/>
      <c r="B76" s="320"/>
      <c r="C76" s="300"/>
      <c r="D76" s="299"/>
      <c r="E76" s="300"/>
      <c r="F76" s="301"/>
      <c r="G76" s="294"/>
      <c r="H76" s="294"/>
      <c r="I76" s="298"/>
      <c r="J76" s="213"/>
      <c r="K76" s="213"/>
      <c r="L76" s="213"/>
      <c r="M76" s="213"/>
      <c r="N76" s="213"/>
      <c r="O76" s="213"/>
      <c r="P76" s="213"/>
      <c r="Q76" s="213"/>
      <c r="R76" s="133"/>
      <c r="S76" s="133"/>
      <c r="T76" s="133"/>
      <c r="U76" s="133"/>
      <c r="V76" s="133"/>
      <c r="W76" s="133"/>
      <c r="X76" s="133"/>
      <c r="Y76" s="133"/>
      <c r="Z76" s="133"/>
      <c r="AJ76" s="285"/>
      <c r="AK76" s="285"/>
      <c r="AL76" s="285"/>
      <c r="AM76" s="285"/>
      <c r="AN76" s="285"/>
    </row>
    <row r="77" spans="1:40" x14ac:dyDescent="0.35">
      <c r="A77" s="302"/>
      <c r="B77" s="385" t="s">
        <v>978</v>
      </c>
      <c r="C77" s="386"/>
      <c r="D77" s="386"/>
      <c r="E77" s="386"/>
      <c r="F77" s="386"/>
      <c r="G77" s="386"/>
      <c r="H77" s="386"/>
      <c r="I77" s="386"/>
      <c r="J77" s="427"/>
      <c r="K77" s="213"/>
      <c r="L77" s="213"/>
      <c r="M77" s="213"/>
      <c r="N77" s="213"/>
      <c r="O77" s="213"/>
      <c r="P77" s="213"/>
      <c r="Q77" s="213"/>
      <c r="R77" s="133"/>
      <c r="S77" s="133"/>
      <c r="T77" s="133"/>
      <c r="U77" s="133"/>
      <c r="V77" s="133"/>
      <c r="W77" s="133"/>
      <c r="X77" s="133"/>
      <c r="Y77" s="133"/>
      <c r="Z77" s="133"/>
      <c r="AJ77" s="285"/>
      <c r="AK77" s="285"/>
      <c r="AL77" s="285"/>
      <c r="AM77" s="285"/>
      <c r="AN77" s="285"/>
    </row>
    <row r="78" spans="1:40" ht="43.5" x14ac:dyDescent="0.35">
      <c r="A78" s="302"/>
      <c r="B78" s="317" t="s">
        <v>876</v>
      </c>
      <c r="C78" s="165" t="s">
        <v>827</v>
      </c>
      <c r="D78" s="421" t="s">
        <v>957</v>
      </c>
      <c r="E78" s="255" t="s">
        <v>685</v>
      </c>
      <c r="F78" s="255" t="s">
        <v>686</v>
      </c>
      <c r="G78" s="164" t="s">
        <v>914</v>
      </c>
      <c r="H78" s="164" t="s">
        <v>915</v>
      </c>
      <c r="I78" s="255" t="s">
        <v>916</v>
      </c>
      <c r="J78" s="427"/>
      <c r="K78" s="213"/>
      <c r="L78" s="213"/>
      <c r="M78" s="213"/>
      <c r="N78" s="213"/>
      <c r="O78" s="213"/>
      <c r="P78" s="213"/>
      <c r="Q78" s="213"/>
      <c r="V78" s="133"/>
      <c r="AJ78" s="285"/>
      <c r="AK78" s="285"/>
      <c r="AL78" s="285"/>
      <c r="AM78" s="285"/>
      <c r="AN78" s="285"/>
    </row>
    <row r="79" spans="1:40" x14ac:dyDescent="0.35">
      <c r="A79" s="302"/>
      <c r="B79" s="348" t="s">
        <v>979</v>
      </c>
      <c r="C79" s="128">
        <f>('Unit costs'!L14+'Unit costs'!L15*(0.3))+('Unit costs'!L16*0.7)</f>
        <v>3.3</v>
      </c>
      <c r="D79" s="128">
        <f>'Financial impact (cash)'!D13*'Capacity (local prices)'!$C79</f>
        <v>0</v>
      </c>
      <c r="E79" s="128">
        <f>'Financial impact (cash)'!E13*'Capacity (local prices)'!$C79</f>
        <v>0</v>
      </c>
      <c r="F79" s="128">
        <f>'Financial impact (cash)'!F13*'Capacity (local prices)'!$C79</f>
        <v>0</v>
      </c>
      <c r="G79" s="128">
        <f>'Financial impact (cash)'!G13*'Capacity (local prices)'!$C79</f>
        <v>0</v>
      </c>
      <c r="H79" s="128">
        <f>'Financial impact (cash)'!H13*'Capacity (local prices)'!$C79</f>
        <v>0</v>
      </c>
      <c r="I79" s="128">
        <f>'Financial impact (cash)'!I13*'Capacity (local prices)'!$C79</f>
        <v>0</v>
      </c>
      <c r="J79" s="427"/>
      <c r="K79" s="213"/>
      <c r="L79" s="213"/>
      <c r="M79" s="213"/>
      <c r="N79" s="213"/>
      <c r="O79" s="213"/>
      <c r="P79" s="213"/>
      <c r="Q79" s="213"/>
      <c r="V79" s="133"/>
      <c r="AJ79" s="285"/>
      <c r="AK79" s="285"/>
      <c r="AL79" s="285"/>
      <c r="AM79" s="285"/>
      <c r="AN79" s="285"/>
    </row>
    <row r="80" spans="1:40" x14ac:dyDescent="0.35">
      <c r="A80" s="302"/>
      <c r="B80" s="348" t="s">
        <v>980</v>
      </c>
      <c r="C80" s="128">
        <f>(('Unit costs'!L21+'Unit costs'!L22)*0.3)+('Unit costs'!L23*0.7)</f>
        <v>2.2999999999999998</v>
      </c>
      <c r="D80" s="128">
        <f>'Financial impact (cash)'!D14*'Capacity (local prices)'!$C80</f>
        <v>0</v>
      </c>
      <c r="E80" s="128">
        <f>'Financial impact (cash)'!E14*'Capacity (local prices)'!$C80</f>
        <v>0</v>
      </c>
      <c r="F80" s="128">
        <f>'Financial impact (cash)'!F14*'Capacity (local prices)'!$C80</f>
        <v>0</v>
      </c>
      <c r="G80" s="128">
        <f>'Financial impact (cash)'!G14*'Capacity (local prices)'!$C80</f>
        <v>0</v>
      </c>
      <c r="H80" s="128">
        <f>'Financial impact (cash)'!H14*'Capacity (local prices)'!$C80</f>
        <v>0</v>
      </c>
      <c r="I80" s="128">
        <f>'Financial impact (cash)'!I14*'Capacity (local prices)'!$C80</f>
        <v>0</v>
      </c>
      <c r="J80" s="427"/>
      <c r="K80" s="213"/>
      <c r="L80" s="213"/>
      <c r="M80" s="213"/>
      <c r="N80" s="213"/>
      <c r="O80" s="213"/>
      <c r="P80" s="213"/>
      <c r="Q80" s="213"/>
      <c r="V80" s="133"/>
      <c r="AJ80" s="285"/>
      <c r="AK80" s="285"/>
      <c r="AL80" s="285"/>
      <c r="AM80" s="285"/>
      <c r="AN80" s="285"/>
    </row>
    <row r="81" spans="1:40" x14ac:dyDescent="0.35">
      <c r="A81" s="302"/>
      <c r="B81" s="348" t="s">
        <v>1126</v>
      </c>
      <c r="C81" s="128">
        <f>'Unit costs'!N28</f>
        <v>2</v>
      </c>
      <c r="D81" s="128">
        <f>'Financial impact (cash)'!D15*'Capacity (local prices)'!$C81</f>
        <v>0</v>
      </c>
      <c r="E81" s="128">
        <f>'Financial impact (cash)'!E15*'Capacity (local prices)'!$C81</f>
        <v>0</v>
      </c>
      <c r="F81" s="128">
        <f>'Financial impact (cash)'!F15*'Capacity (local prices)'!$C81</f>
        <v>0</v>
      </c>
      <c r="G81" s="128">
        <f>'Financial impact (cash)'!G15*'Capacity (local prices)'!$C81</f>
        <v>0</v>
      </c>
      <c r="H81" s="128">
        <f>'Financial impact (cash)'!H15*'Capacity (local prices)'!$C81</f>
        <v>0</v>
      </c>
      <c r="I81" s="128">
        <f>'Financial impact (cash)'!I15*'Capacity (local prices)'!$C81</f>
        <v>0</v>
      </c>
      <c r="J81" s="213"/>
      <c r="K81" s="213"/>
      <c r="L81" s="213"/>
      <c r="M81" s="213"/>
      <c r="N81" s="213"/>
      <c r="O81" s="213"/>
      <c r="P81" s="213"/>
      <c r="Q81" s="213"/>
      <c r="V81" s="133"/>
      <c r="AJ81" s="285"/>
      <c r="AK81" s="285"/>
      <c r="AL81" s="285"/>
      <c r="AM81" s="285"/>
      <c r="AN81" s="285"/>
    </row>
    <row r="82" spans="1:40" x14ac:dyDescent="0.35">
      <c r="A82" s="302"/>
      <c r="B82" s="348" t="s">
        <v>981</v>
      </c>
      <c r="C82" s="128">
        <v>12</v>
      </c>
      <c r="D82" s="128">
        <f>'Financial impact (cash)'!D16*'Capacity (local prices)'!$C82</f>
        <v>0</v>
      </c>
      <c r="E82" s="128">
        <f>'Financial impact (cash)'!E16*'Capacity (local prices)'!$C82</f>
        <v>0</v>
      </c>
      <c r="F82" s="128">
        <f>'Financial impact (cash)'!F16*'Capacity (local prices)'!$C82</f>
        <v>0</v>
      </c>
      <c r="G82" s="128">
        <f>'Financial impact (cash)'!G16*'Capacity (local prices)'!$C82</f>
        <v>0</v>
      </c>
      <c r="H82" s="128">
        <f>'Financial impact (cash)'!H16*'Capacity (local prices)'!$C82</f>
        <v>0</v>
      </c>
      <c r="I82" s="128">
        <f>'Financial impact (cash)'!I16*'Capacity (local prices)'!$C82</f>
        <v>0</v>
      </c>
      <c r="J82" s="294"/>
      <c r="K82" s="294"/>
      <c r="L82" s="294"/>
      <c r="M82" s="294"/>
      <c r="N82" s="294"/>
      <c r="O82" s="294"/>
      <c r="P82" s="294"/>
      <c r="Q82" s="294"/>
      <c r="V82" s="133"/>
      <c r="AJ82" s="285"/>
      <c r="AK82" s="285"/>
      <c r="AL82" s="285"/>
      <c r="AM82" s="285"/>
      <c r="AN82" s="285"/>
    </row>
    <row r="83" spans="1:40" x14ac:dyDescent="0.35">
      <c r="A83" s="302"/>
      <c r="B83" s="753" t="s">
        <v>982</v>
      </c>
      <c r="C83" s="128">
        <v>12</v>
      </c>
      <c r="D83" s="128">
        <f>'Financial impact (cash)'!D17*'Capacity (local prices)'!$C83</f>
        <v>0</v>
      </c>
      <c r="E83" s="128">
        <f>'Financial impact (cash)'!E17*'Capacity (local prices)'!$C83</f>
        <v>0</v>
      </c>
      <c r="F83" s="128">
        <f>'Financial impact (cash)'!F17*'Capacity (local prices)'!$C83</f>
        <v>0</v>
      </c>
      <c r="G83" s="128">
        <f>'Financial impact (cash)'!G17*'Capacity (local prices)'!$C83</f>
        <v>0</v>
      </c>
      <c r="H83" s="128">
        <f>'Financial impact (cash)'!H17*'Capacity (local prices)'!$C83</f>
        <v>0</v>
      </c>
      <c r="I83" s="128">
        <f>'Financial impact (cash)'!I17*'Capacity (local prices)'!$C83</f>
        <v>0</v>
      </c>
      <c r="J83" s="294"/>
      <c r="K83" s="294"/>
      <c r="L83" s="294"/>
      <c r="M83" s="294"/>
      <c r="N83" s="294"/>
      <c r="O83" s="294"/>
      <c r="P83" s="294"/>
      <c r="Q83" s="294"/>
      <c r="V83" s="133"/>
      <c r="AJ83" s="285"/>
      <c r="AK83" s="285"/>
      <c r="AL83" s="285"/>
      <c r="AM83" s="285"/>
      <c r="AN83" s="285"/>
    </row>
    <row r="84" spans="1:40" x14ac:dyDescent="0.35">
      <c r="A84" s="302"/>
      <c r="B84" s="753" t="s">
        <v>983</v>
      </c>
      <c r="C84" s="128">
        <f>('Unit costs'!N48*0.3)+('Unit costs'!N49*0.7)</f>
        <v>3.5999999999999996</v>
      </c>
      <c r="D84" s="128">
        <f>'Financial impact (cash)'!D18*'Capacity (local prices)'!$C84</f>
        <v>0</v>
      </c>
      <c r="E84" s="128">
        <f>'Financial impact (cash)'!E18*'Capacity (local prices)'!$C84</f>
        <v>0</v>
      </c>
      <c r="F84" s="128">
        <f>'Financial impact (cash)'!F18*'Capacity (local prices)'!$C84</f>
        <v>0</v>
      </c>
      <c r="G84" s="128">
        <f>'Financial impact (cash)'!G18*'Capacity (local prices)'!$C84</f>
        <v>0</v>
      </c>
      <c r="H84" s="128">
        <f>'Financial impact (cash)'!H18*'Capacity (local prices)'!$C84</f>
        <v>0</v>
      </c>
      <c r="I84" s="128">
        <f>'Financial impact (cash)'!I18*'Capacity (local prices)'!$C84</f>
        <v>0</v>
      </c>
      <c r="J84" s="294"/>
      <c r="K84" s="294"/>
      <c r="L84" s="294"/>
      <c r="M84" s="294"/>
      <c r="N84" s="294"/>
      <c r="O84" s="294"/>
      <c r="P84" s="294"/>
      <c r="Q84" s="294"/>
      <c r="V84" s="133"/>
      <c r="AJ84" s="285"/>
      <c r="AK84" s="285"/>
      <c r="AL84" s="285"/>
      <c r="AM84" s="285"/>
      <c r="AN84" s="285"/>
    </row>
    <row r="85" spans="1:40" x14ac:dyDescent="0.35">
      <c r="A85" s="302"/>
      <c r="B85" s="753" t="s">
        <v>1102</v>
      </c>
      <c r="C85" s="128">
        <f>'Unit costs'!N54</f>
        <v>2.3333333333333335</v>
      </c>
      <c r="D85" s="128">
        <f>'Financial impact (cash)'!D19*'Capacity (local prices)'!$C85</f>
        <v>0</v>
      </c>
      <c r="E85" s="128">
        <f>'Financial impact (cash)'!E19*'Capacity (local prices)'!$C85</f>
        <v>0</v>
      </c>
      <c r="F85" s="128">
        <f>'Financial impact (cash)'!F19*'Capacity (local prices)'!$C85</f>
        <v>0</v>
      </c>
      <c r="G85" s="128">
        <f>'Financial impact (cash)'!G19*'Capacity (local prices)'!$C85</f>
        <v>0</v>
      </c>
      <c r="H85" s="128">
        <f>'Financial impact (cash)'!H19*'Capacity (local prices)'!$C85</f>
        <v>0</v>
      </c>
      <c r="I85" s="128">
        <f>'Financial impact (cash)'!I19*'Capacity (local prices)'!$C85</f>
        <v>0</v>
      </c>
      <c r="J85" s="294"/>
      <c r="K85" s="294"/>
      <c r="L85" s="294"/>
      <c r="M85" s="294"/>
      <c r="N85" s="294"/>
      <c r="O85" s="294"/>
      <c r="P85" s="294"/>
      <c r="Q85" s="294"/>
      <c r="V85" s="133"/>
      <c r="AJ85" s="285"/>
      <c r="AK85" s="285"/>
      <c r="AL85" s="285"/>
      <c r="AM85" s="285"/>
      <c r="AN85" s="285"/>
    </row>
    <row r="86" spans="1:40" x14ac:dyDescent="0.35">
      <c r="A86" s="302"/>
      <c r="B86" s="753" t="s">
        <v>984</v>
      </c>
      <c r="C86" s="128">
        <v>12</v>
      </c>
      <c r="D86" s="128">
        <f>'Financial impact (cash)'!D20*'Capacity (local prices)'!$C86</f>
        <v>0</v>
      </c>
      <c r="E86" s="128">
        <f>'Financial impact (cash)'!E20*'Capacity (local prices)'!$C86</f>
        <v>0</v>
      </c>
      <c r="F86" s="128">
        <f>'Financial impact (cash)'!F20*'Capacity (local prices)'!$C86</f>
        <v>0</v>
      </c>
      <c r="G86" s="128">
        <f>'Financial impact (cash)'!G20*'Capacity (local prices)'!$C86</f>
        <v>0</v>
      </c>
      <c r="H86" s="128">
        <f>'Financial impact (cash)'!H20*'Capacity (local prices)'!$C86</f>
        <v>0</v>
      </c>
      <c r="I86" s="128">
        <f>'Financial impact (cash)'!I20*'Capacity (local prices)'!$C86</f>
        <v>0</v>
      </c>
      <c r="J86" s="294"/>
      <c r="K86" s="294"/>
      <c r="L86" s="294"/>
      <c r="M86" s="294"/>
      <c r="N86" s="294"/>
      <c r="O86" s="294"/>
      <c r="P86" s="294"/>
      <c r="Q86" s="294"/>
      <c r="V86" s="133"/>
      <c r="AJ86" s="285"/>
      <c r="AK86" s="285"/>
      <c r="AL86" s="285"/>
      <c r="AM86" s="285"/>
      <c r="AN86" s="285"/>
    </row>
    <row r="87" spans="1:40" x14ac:dyDescent="0.35">
      <c r="A87" s="302"/>
      <c r="B87" s="753" t="s">
        <v>985</v>
      </c>
      <c r="C87" s="128">
        <v>12</v>
      </c>
      <c r="D87" s="128">
        <f>'Financial impact (cash)'!D21*'Capacity (local prices)'!$C87</f>
        <v>0</v>
      </c>
      <c r="E87" s="128">
        <f>'Financial impact (cash)'!E21*'Capacity (local prices)'!$C87</f>
        <v>0</v>
      </c>
      <c r="F87" s="128">
        <f>'Financial impact (cash)'!F21*'Capacity (local prices)'!$C87</f>
        <v>0</v>
      </c>
      <c r="G87" s="128">
        <f>'Financial impact (cash)'!G21*'Capacity (local prices)'!$C87</f>
        <v>0</v>
      </c>
      <c r="H87" s="128">
        <f>'Financial impact (cash)'!H21*'Capacity (local prices)'!$C87</f>
        <v>0</v>
      </c>
      <c r="I87" s="128">
        <f>'Financial impact (cash)'!I21*'Capacity (local prices)'!$C87</f>
        <v>0</v>
      </c>
      <c r="J87" s="294"/>
      <c r="K87" s="294"/>
      <c r="L87" s="294"/>
      <c r="M87" s="294"/>
      <c r="N87" s="294"/>
      <c r="O87" s="294"/>
      <c r="P87" s="294"/>
      <c r="Q87" s="294"/>
      <c r="V87" s="133"/>
      <c r="AJ87" s="285"/>
      <c r="AK87" s="285"/>
      <c r="AL87" s="285"/>
      <c r="AM87" s="285"/>
      <c r="AN87" s="285"/>
    </row>
    <row r="88" spans="1:40" x14ac:dyDescent="0.35">
      <c r="A88" s="302"/>
      <c r="B88" s="753" t="s">
        <v>986</v>
      </c>
      <c r="C88" s="128">
        <v>12</v>
      </c>
      <c r="D88" s="128">
        <f>'Financial impact (cash)'!D22*'Capacity (local prices)'!$C88</f>
        <v>0</v>
      </c>
      <c r="E88" s="128">
        <f>'Financial impact (cash)'!E22*'Capacity (local prices)'!$C88</f>
        <v>0</v>
      </c>
      <c r="F88" s="128">
        <f>'Financial impact (cash)'!F22*'Capacity (local prices)'!$C88</f>
        <v>0</v>
      </c>
      <c r="G88" s="128">
        <f>'Financial impact (cash)'!G22*'Capacity (local prices)'!$C88</f>
        <v>0</v>
      </c>
      <c r="H88" s="128">
        <f>'Financial impact (cash)'!H22*'Capacity (local prices)'!$C88</f>
        <v>0</v>
      </c>
      <c r="I88" s="128">
        <f>'Financial impact (cash)'!I22*'Capacity (local prices)'!$C88</f>
        <v>0</v>
      </c>
      <c r="J88" s="294"/>
      <c r="K88" s="294"/>
      <c r="L88" s="294"/>
      <c r="M88" s="294"/>
      <c r="N88" s="294"/>
      <c r="O88" s="294"/>
      <c r="P88" s="294"/>
      <c r="Q88" s="294"/>
      <c r="V88" s="133"/>
      <c r="AJ88" s="285"/>
      <c r="AK88" s="285"/>
      <c r="AL88" s="285"/>
      <c r="AM88" s="285"/>
      <c r="AN88" s="285"/>
    </row>
    <row r="89" spans="1:40" x14ac:dyDescent="0.35">
      <c r="A89" s="302"/>
      <c r="B89" s="753" t="s">
        <v>987</v>
      </c>
      <c r="C89" s="128">
        <v>12</v>
      </c>
      <c r="D89" s="128">
        <f>'Financial impact (cash)'!D23*'Capacity (local prices)'!$C89</f>
        <v>0</v>
      </c>
      <c r="E89" s="128">
        <f>'Financial impact (cash)'!E23*'Capacity (local prices)'!$C89</f>
        <v>0</v>
      </c>
      <c r="F89" s="128">
        <f>'Financial impact (cash)'!F23*'Capacity (local prices)'!$C89</f>
        <v>0</v>
      </c>
      <c r="G89" s="128">
        <f>'Financial impact (cash)'!G23*'Capacity (local prices)'!$C89</f>
        <v>0</v>
      </c>
      <c r="H89" s="128">
        <f>'Financial impact (cash)'!H23*'Capacity (local prices)'!$C89</f>
        <v>0</v>
      </c>
      <c r="I89" s="128">
        <f>'Financial impact (cash)'!I23*'Capacity (local prices)'!$C89</f>
        <v>0</v>
      </c>
      <c r="J89" s="294"/>
      <c r="K89" s="294"/>
      <c r="L89" s="294"/>
      <c r="M89" s="294"/>
      <c r="N89" s="294"/>
      <c r="O89" s="294"/>
      <c r="P89" s="294"/>
      <c r="Q89" s="294"/>
      <c r="V89" s="133"/>
      <c r="AJ89" s="285"/>
      <c r="AK89" s="285"/>
      <c r="AL89" s="285"/>
      <c r="AM89" s="285"/>
      <c r="AN89" s="285"/>
    </row>
    <row r="90" spans="1:40" x14ac:dyDescent="0.35">
      <c r="A90" s="302"/>
      <c r="B90" s="753" t="s">
        <v>988</v>
      </c>
      <c r="C90" s="128">
        <v>12</v>
      </c>
      <c r="D90" s="128">
        <f>'Financial impact (cash)'!D24*'Capacity (local prices)'!$C90</f>
        <v>0</v>
      </c>
      <c r="E90" s="128">
        <f>'Financial impact (cash)'!E24*'Capacity (local prices)'!$C90</f>
        <v>0</v>
      </c>
      <c r="F90" s="128">
        <f>'Financial impact (cash)'!F24*'Capacity (local prices)'!$C90</f>
        <v>0</v>
      </c>
      <c r="G90" s="128">
        <f>'Financial impact (cash)'!G24*'Capacity (local prices)'!$C90</f>
        <v>0</v>
      </c>
      <c r="H90" s="128">
        <f>'Financial impact (cash)'!H24*'Capacity (local prices)'!$C90</f>
        <v>0</v>
      </c>
      <c r="I90" s="128">
        <f>'Financial impact (cash)'!I24*'Capacity (local prices)'!$C90</f>
        <v>0</v>
      </c>
      <c r="J90" s="294"/>
      <c r="K90" s="294"/>
      <c r="L90" s="294"/>
      <c r="M90" s="294"/>
      <c r="N90" s="294"/>
      <c r="O90" s="294"/>
      <c r="P90" s="294"/>
      <c r="Q90" s="294"/>
      <c r="V90" s="133"/>
      <c r="AJ90" s="285"/>
      <c r="AK90" s="285"/>
      <c r="AL90" s="285"/>
      <c r="AM90" s="285"/>
      <c r="AN90" s="285"/>
    </row>
    <row r="91" spans="1:40" x14ac:dyDescent="0.35">
      <c r="A91" s="302"/>
      <c r="B91" s="753" t="s">
        <v>989</v>
      </c>
      <c r="C91" s="128">
        <v>12</v>
      </c>
      <c r="D91" s="128">
        <f>'Financial impact (cash)'!D25*'Capacity (local prices)'!$C91</f>
        <v>0</v>
      </c>
      <c r="E91" s="128">
        <f>'Financial impact (cash)'!E25*'Capacity (local prices)'!$C91</f>
        <v>0</v>
      </c>
      <c r="F91" s="128">
        <f>'Financial impact (cash)'!F25*'Capacity (local prices)'!$C91</f>
        <v>0</v>
      </c>
      <c r="G91" s="128">
        <f>'Financial impact (cash)'!G25*'Capacity (local prices)'!$C91</f>
        <v>0</v>
      </c>
      <c r="H91" s="128">
        <f>'Financial impact (cash)'!H25*'Capacity (local prices)'!$C91</f>
        <v>0</v>
      </c>
      <c r="I91" s="128">
        <f>'Financial impact (cash)'!I25*'Capacity (local prices)'!$C91</f>
        <v>0</v>
      </c>
      <c r="J91" s="294"/>
      <c r="K91" s="294"/>
      <c r="L91" s="294"/>
      <c r="M91" s="294"/>
      <c r="N91" s="294"/>
      <c r="O91" s="294"/>
      <c r="P91" s="294"/>
      <c r="Q91" s="294"/>
      <c r="V91" s="133"/>
      <c r="AJ91" s="285"/>
      <c r="AK91" s="285"/>
      <c r="AL91" s="285"/>
      <c r="AM91" s="285"/>
      <c r="AN91" s="285"/>
    </row>
    <row r="92" spans="1:40" x14ac:dyDescent="0.35">
      <c r="A92" s="302"/>
      <c r="B92" s="753" t="s">
        <v>990</v>
      </c>
      <c r="C92" s="128">
        <v>12</v>
      </c>
      <c r="D92" s="128">
        <f>'Financial impact (cash)'!D26*'Capacity (local prices)'!$C92</f>
        <v>0</v>
      </c>
      <c r="E92" s="128">
        <f>'Financial impact (cash)'!E26*'Capacity (local prices)'!$C92</f>
        <v>0</v>
      </c>
      <c r="F92" s="128">
        <f>'Financial impact (cash)'!F26*'Capacity (local prices)'!$C92</f>
        <v>0</v>
      </c>
      <c r="G92" s="128">
        <f>'Financial impact (cash)'!G26*'Capacity (local prices)'!$C92</f>
        <v>0</v>
      </c>
      <c r="H92" s="128">
        <f>'Financial impact (cash)'!H26*'Capacity (local prices)'!$C92</f>
        <v>0</v>
      </c>
      <c r="I92" s="128">
        <f>'Financial impact (cash)'!I26*'Capacity (local prices)'!$C92</f>
        <v>0</v>
      </c>
      <c r="J92" s="294"/>
      <c r="K92" s="294"/>
      <c r="L92" s="294"/>
      <c r="M92" s="294"/>
      <c r="N92" s="294"/>
      <c r="O92" s="294"/>
      <c r="P92" s="294"/>
      <c r="Q92" s="294"/>
      <c r="V92" s="133"/>
      <c r="AJ92" s="285"/>
      <c r="AK92" s="285"/>
      <c r="AL92" s="285"/>
      <c r="AM92" s="285"/>
      <c r="AN92" s="285"/>
    </row>
    <row r="93" spans="1:40" x14ac:dyDescent="0.35">
      <c r="A93" s="302"/>
      <c r="B93" s="753" t="s">
        <v>991</v>
      </c>
      <c r="C93" s="128">
        <v>12</v>
      </c>
      <c r="D93" s="128">
        <f>'Financial impact (cash)'!D27*'Capacity (local prices)'!$C93</f>
        <v>0</v>
      </c>
      <c r="E93" s="128">
        <f>'Financial impact (cash)'!E27*'Capacity (local prices)'!$C93</f>
        <v>0</v>
      </c>
      <c r="F93" s="128">
        <f>'Financial impact (cash)'!F27*'Capacity (local prices)'!$C93</f>
        <v>0</v>
      </c>
      <c r="G93" s="128">
        <f>'Financial impact (cash)'!G27*'Capacity (local prices)'!$C93</f>
        <v>0</v>
      </c>
      <c r="H93" s="128">
        <f>'Financial impact (cash)'!H27*'Capacity (local prices)'!$C93</f>
        <v>0</v>
      </c>
      <c r="I93" s="128">
        <f>'Financial impact (cash)'!I27*'Capacity (local prices)'!$C93</f>
        <v>0</v>
      </c>
      <c r="J93" s="294"/>
      <c r="K93" s="294"/>
      <c r="L93" s="294"/>
      <c r="M93" s="294"/>
      <c r="N93" s="294"/>
      <c r="O93" s="294"/>
      <c r="P93" s="294"/>
      <c r="Q93" s="294"/>
      <c r="V93" s="133"/>
      <c r="AJ93" s="285"/>
      <c r="AK93" s="285"/>
      <c r="AL93" s="285"/>
      <c r="AM93" s="285"/>
      <c r="AN93" s="285"/>
    </row>
    <row r="94" spans="1:40" x14ac:dyDescent="0.35">
      <c r="A94" s="302"/>
      <c r="B94" s="753" t="s">
        <v>992</v>
      </c>
      <c r="C94" s="128">
        <f>'Unit costs'!N96</f>
        <v>13</v>
      </c>
      <c r="D94" s="128">
        <f>'Financial impact (cash)'!D28*'Capacity (local prices)'!$C94</f>
        <v>0</v>
      </c>
      <c r="E94" s="128">
        <f>'Financial impact (cash)'!E28*'Capacity (local prices)'!$C94</f>
        <v>0</v>
      </c>
      <c r="F94" s="128">
        <f>'Financial impact (cash)'!F28*'Capacity (local prices)'!$C94</f>
        <v>0</v>
      </c>
      <c r="G94" s="128">
        <f>'Financial impact (cash)'!G28*'Capacity (local prices)'!$C94</f>
        <v>0</v>
      </c>
      <c r="H94" s="128">
        <f>'Financial impact (cash)'!H28*'Capacity (local prices)'!$C94</f>
        <v>0</v>
      </c>
      <c r="I94" s="128">
        <f>'Financial impact (cash)'!I28*'Capacity (local prices)'!$C94</f>
        <v>0</v>
      </c>
      <c r="J94" s="294"/>
      <c r="K94" s="294"/>
      <c r="L94" s="294"/>
      <c r="M94" s="294"/>
      <c r="N94" s="294"/>
      <c r="O94" s="294"/>
      <c r="P94" s="294"/>
      <c r="Q94" s="294"/>
      <c r="V94" s="133"/>
      <c r="AJ94" s="285"/>
      <c r="AK94" s="285"/>
      <c r="AL94" s="285"/>
      <c r="AM94" s="285"/>
      <c r="AN94" s="285"/>
    </row>
    <row r="95" spans="1:40" x14ac:dyDescent="0.35">
      <c r="A95" s="302"/>
      <c r="B95" s="753" t="s">
        <v>993</v>
      </c>
      <c r="C95" s="128">
        <v>12</v>
      </c>
      <c r="D95" s="128">
        <f>'Financial impact (cash)'!D29*'Capacity (local prices)'!$C95</f>
        <v>0</v>
      </c>
      <c r="E95" s="128">
        <f>'Financial impact (cash)'!E29*'Capacity (local prices)'!$C95</f>
        <v>0</v>
      </c>
      <c r="F95" s="128">
        <f>'Financial impact (cash)'!F29*'Capacity (local prices)'!$C95</f>
        <v>0</v>
      </c>
      <c r="G95" s="128">
        <f>'Financial impact (cash)'!G29*'Capacity (local prices)'!$C95</f>
        <v>0</v>
      </c>
      <c r="H95" s="128">
        <f>'Financial impact (cash)'!H29*'Capacity (local prices)'!$C95</f>
        <v>0</v>
      </c>
      <c r="I95" s="128">
        <f>'Financial impact (cash)'!I29*'Capacity (local prices)'!$C95</f>
        <v>0</v>
      </c>
      <c r="J95" s="294"/>
      <c r="K95" s="294"/>
      <c r="L95" s="294"/>
      <c r="M95" s="294"/>
      <c r="N95" s="294"/>
      <c r="O95" s="294"/>
      <c r="P95" s="294"/>
      <c r="Q95" s="294"/>
      <c r="V95" s="133"/>
      <c r="AJ95" s="285"/>
      <c r="AK95" s="285"/>
      <c r="AL95" s="285"/>
      <c r="AM95" s="285"/>
      <c r="AN95" s="285"/>
    </row>
    <row r="96" spans="1:40" x14ac:dyDescent="0.35">
      <c r="A96" s="302"/>
      <c r="B96" s="753" t="s">
        <v>994</v>
      </c>
      <c r="C96" s="128">
        <v>12</v>
      </c>
      <c r="D96" s="128">
        <f>'Financial impact (cash)'!D30*'Capacity (local prices)'!$C96</f>
        <v>0</v>
      </c>
      <c r="E96" s="128">
        <f>'Financial impact (cash)'!E30*'Capacity (local prices)'!$C96</f>
        <v>0</v>
      </c>
      <c r="F96" s="128">
        <f>'Financial impact (cash)'!F30*'Capacity (local prices)'!$C96</f>
        <v>0</v>
      </c>
      <c r="G96" s="128">
        <f>'Financial impact (cash)'!G30*'Capacity (local prices)'!$C96</f>
        <v>0</v>
      </c>
      <c r="H96" s="128">
        <f>'Financial impact (cash)'!H30*'Capacity (local prices)'!$C96</f>
        <v>0</v>
      </c>
      <c r="I96" s="128">
        <f>'Financial impact (cash)'!I30*'Capacity (local prices)'!$C96</f>
        <v>0</v>
      </c>
      <c r="J96" s="294"/>
      <c r="K96" s="294"/>
      <c r="L96" s="294"/>
      <c r="M96" s="294"/>
      <c r="N96" s="294"/>
      <c r="O96" s="294"/>
      <c r="P96" s="294"/>
      <c r="Q96" s="294"/>
      <c r="V96" s="133"/>
      <c r="AJ96" s="285"/>
      <c r="AK96" s="285"/>
      <c r="AL96" s="285"/>
      <c r="AM96" s="285"/>
      <c r="AN96" s="285"/>
    </row>
    <row r="97" spans="1:40" x14ac:dyDescent="0.35">
      <c r="A97" s="302"/>
      <c r="B97" s="753" t="s">
        <v>750</v>
      </c>
      <c r="C97" s="128">
        <v>0</v>
      </c>
      <c r="D97" s="128">
        <f>'Financial impact (cash)'!D31*'Capacity (local prices)'!$C97</f>
        <v>0</v>
      </c>
      <c r="E97" s="128">
        <f>'Financial impact (cash)'!E31*'Capacity (local prices)'!$C97</f>
        <v>0</v>
      </c>
      <c r="F97" s="128">
        <f>'Financial impact (cash)'!F31*'Capacity (local prices)'!$C97</f>
        <v>0</v>
      </c>
      <c r="G97" s="128">
        <f>'Financial impact (cash)'!G31*'Capacity (local prices)'!$C97</f>
        <v>0</v>
      </c>
      <c r="H97" s="128">
        <f>'Financial impact (cash)'!H31*'Capacity (local prices)'!$C97</f>
        <v>0</v>
      </c>
      <c r="I97" s="128">
        <f>'Financial impact (cash)'!I31*'Capacity (local prices)'!$C97</f>
        <v>0</v>
      </c>
      <c r="J97" s="294"/>
      <c r="K97" s="294"/>
      <c r="L97" s="294"/>
      <c r="M97" s="294"/>
      <c r="N97" s="294"/>
      <c r="O97" s="294"/>
      <c r="P97" s="294"/>
      <c r="Q97" s="294"/>
      <c r="V97" s="133"/>
      <c r="AJ97" s="285"/>
      <c r="AK97" s="285"/>
      <c r="AL97" s="285"/>
      <c r="AM97" s="285"/>
      <c r="AN97" s="285"/>
    </row>
    <row r="98" spans="1:40" x14ac:dyDescent="0.35">
      <c r="A98" s="302"/>
      <c r="B98" s="321"/>
      <c r="C98" s="321"/>
      <c r="D98" s="185">
        <f t="shared" ref="D98:I98" si="47">SUM(D79:D97)</f>
        <v>0</v>
      </c>
      <c r="E98" s="185">
        <f t="shared" si="47"/>
        <v>0</v>
      </c>
      <c r="F98" s="185">
        <f t="shared" si="47"/>
        <v>0</v>
      </c>
      <c r="G98" s="185">
        <f t="shared" si="47"/>
        <v>0</v>
      </c>
      <c r="H98" s="185">
        <f t="shared" si="47"/>
        <v>0</v>
      </c>
      <c r="I98" s="185">
        <f t="shared" si="47"/>
        <v>0</v>
      </c>
      <c r="J98" s="294"/>
      <c r="K98" s="294"/>
      <c r="L98" s="294"/>
      <c r="M98" s="294"/>
      <c r="N98" s="294"/>
      <c r="O98" s="294"/>
      <c r="P98" s="294"/>
      <c r="Q98" s="294"/>
      <c r="V98" s="133"/>
      <c r="AJ98" s="285"/>
      <c r="AK98" s="285"/>
      <c r="AL98" s="285"/>
      <c r="AM98" s="285"/>
      <c r="AN98" s="285"/>
    </row>
    <row r="99" spans="1:40" x14ac:dyDescent="0.35">
      <c r="A99" s="302"/>
      <c r="B99" s="256"/>
      <c r="C99" s="256"/>
      <c r="D99" s="284" t="s">
        <v>995</v>
      </c>
      <c r="E99" s="185">
        <f>E98-$D$98</f>
        <v>0</v>
      </c>
      <c r="F99" s="185">
        <f>F98-$D$98</f>
        <v>0</v>
      </c>
      <c r="G99" s="185">
        <f>G98-$D$98</f>
        <v>0</v>
      </c>
      <c r="H99" s="185">
        <f>H98-$D$98</f>
        <v>0</v>
      </c>
      <c r="I99" s="185">
        <f>I98-$D$98</f>
        <v>0</v>
      </c>
      <c r="J99" s="294"/>
      <c r="K99" s="294"/>
      <c r="L99" s="294"/>
      <c r="M99" s="294"/>
      <c r="N99" s="294"/>
      <c r="O99" s="294"/>
      <c r="P99" s="294"/>
      <c r="Q99" s="294"/>
      <c r="S99" s="133"/>
      <c r="T99" s="133"/>
      <c r="U99" s="133"/>
      <c r="V99" s="133"/>
      <c r="W99" s="133"/>
      <c r="X99" s="133"/>
      <c r="Y99" s="133"/>
      <c r="Z99" s="133"/>
      <c r="AJ99" s="285"/>
      <c r="AK99" s="285"/>
      <c r="AL99" s="285"/>
      <c r="AM99" s="285"/>
      <c r="AN99" s="285"/>
    </row>
    <row r="100" spans="1:40" x14ac:dyDescent="0.35">
      <c r="A100" s="294"/>
      <c r="B100" s="320"/>
      <c r="C100" s="300"/>
      <c r="D100" s="300"/>
      <c r="E100" s="301"/>
      <c r="F100" s="294"/>
      <c r="G100" s="294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S100" s="133"/>
      <c r="T100" s="133"/>
      <c r="U100" s="133"/>
      <c r="V100" s="133"/>
      <c r="W100" s="133"/>
      <c r="X100" s="133"/>
      <c r="Y100" s="133"/>
      <c r="Z100" s="133"/>
      <c r="AJ100" s="285"/>
      <c r="AK100" s="285"/>
      <c r="AL100" s="285"/>
      <c r="AM100" s="285"/>
      <c r="AN100" s="285"/>
    </row>
    <row r="101" spans="1:40" x14ac:dyDescent="0.35">
      <c r="A101" s="286"/>
      <c r="B101" s="322" t="s">
        <v>996</v>
      </c>
      <c r="C101" s="303"/>
      <c r="D101" s="303"/>
      <c r="E101" s="304"/>
      <c r="F101" s="305"/>
      <c r="G101" s="306"/>
      <c r="H101" s="306"/>
      <c r="I101" s="306"/>
      <c r="J101" s="434"/>
      <c r="K101" s="286"/>
      <c r="L101" s="286"/>
      <c r="M101" s="286"/>
      <c r="N101" s="286"/>
      <c r="O101" s="286"/>
      <c r="P101" s="286"/>
      <c r="Q101" s="215"/>
      <c r="V101" s="133"/>
    </row>
    <row r="102" spans="1:40" x14ac:dyDescent="0.35">
      <c r="A102" s="286"/>
      <c r="B102" s="387" t="s">
        <v>997</v>
      </c>
      <c r="C102" s="388"/>
      <c r="D102" s="388"/>
      <c r="E102" s="388"/>
      <c r="F102" s="388"/>
      <c r="G102" s="388"/>
      <c r="H102" s="388"/>
      <c r="I102" s="214"/>
      <c r="J102" s="429"/>
      <c r="K102" s="215"/>
      <c r="L102" s="428"/>
      <c r="M102" s="428"/>
      <c r="N102" s="428"/>
      <c r="O102" s="428"/>
      <c r="P102" s="428"/>
      <c r="Q102" s="428"/>
      <c r="V102" s="133"/>
    </row>
    <row r="103" spans="1:40" ht="43.5" x14ac:dyDescent="0.35">
      <c r="A103" s="286"/>
      <c r="B103" s="281" t="s">
        <v>876</v>
      </c>
      <c r="C103" s="165" t="s">
        <v>998</v>
      </c>
      <c r="D103" s="421" t="s">
        <v>957</v>
      </c>
      <c r="E103" s="255" t="s">
        <v>685</v>
      </c>
      <c r="F103" s="255" t="s">
        <v>686</v>
      </c>
      <c r="G103" s="164" t="s">
        <v>914</v>
      </c>
      <c r="H103" s="164" t="s">
        <v>915</v>
      </c>
      <c r="I103" s="255" t="s">
        <v>916</v>
      </c>
      <c r="J103" s="286"/>
      <c r="K103" s="556" t="s">
        <v>969</v>
      </c>
      <c r="L103" s="421" t="s">
        <v>957</v>
      </c>
      <c r="M103" s="541" t="s">
        <v>685</v>
      </c>
      <c r="N103" s="541" t="s">
        <v>686</v>
      </c>
      <c r="O103" s="422" t="s">
        <v>914</v>
      </c>
      <c r="P103" s="422" t="s">
        <v>915</v>
      </c>
      <c r="Q103" s="541" t="s">
        <v>916</v>
      </c>
      <c r="V103" s="133"/>
    </row>
    <row r="104" spans="1:40" x14ac:dyDescent="0.35">
      <c r="A104" s="286"/>
      <c r="B104" s="348" t="str">
        <f>'Financial impact (cash)'!B13</f>
        <v>Ublituximab</v>
      </c>
      <c r="C104" s="149">
        <f>'Inputs and eligible population'!F$111</f>
        <v>120</v>
      </c>
      <c r="D104" s="128">
        <f>('Financial impact (cash)'!D13*$C$104)/60</f>
        <v>0</v>
      </c>
      <c r="E104" s="128">
        <f>('Financial impact (cash)'!E13*$C$104)/60</f>
        <v>0</v>
      </c>
      <c r="F104" s="128">
        <f>('Financial impact (cash)'!F13*$C$104)/60</f>
        <v>0</v>
      </c>
      <c r="G104" s="128">
        <f>('Financial impact (cash)'!G13*$C$104)/60</f>
        <v>0</v>
      </c>
      <c r="H104" s="128">
        <f>('Financial impact (cash)'!H13*$C$104)/60</f>
        <v>0</v>
      </c>
      <c r="I104" s="128">
        <f>('Financial impact (cash)'!I13*$C$104)/60</f>
        <v>0</v>
      </c>
      <c r="J104" s="286"/>
      <c r="K104" s="572">
        <f>'Inputs and eligible population'!$AA$111</f>
        <v>42.84</v>
      </c>
      <c r="L104" s="291">
        <f t="shared" ref="L104:Q104" si="48">(D104*$K104)/1000</f>
        <v>0</v>
      </c>
      <c r="M104" s="291">
        <f t="shared" si="48"/>
        <v>0</v>
      </c>
      <c r="N104" s="291">
        <f t="shared" si="48"/>
        <v>0</v>
      </c>
      <c r="O104" s="291">
        <f t="shared" si="48"/>
        <v>0</v>
      </c>
      <c r="P104" s="291">
        <f t="shared" si="48"/>
        <v>0</v>
      </c>
      <c r="Q104" s="291">
        <f t="shared" si="48"/>
        <v>0</v>
      </c>
      <c r="S104" s="133"/>
      <c r="T104" s="133"/>
      <c r="U104" s="133"/>
      <c r="V104" s="133"/>
      <c r="W104" s="133"/>
      <c r="X104" s="133"/>
      <c r="Y104" s="133"/>
      <c r="Z104" s="133"/>
      <c r="AJ104" s="285"/>
      <c r="AK104" s="285"/>
      <c r="AL104" s="285"/>
      <c r="AM104" s="285"/>
      <c r="AN104" s="285"/>
    </row>
    <row r="105" spans="1:40" x14ac:dyDescent="0.35">
      <c r="A105" s="286"/>
      <c r="B105" s="348" t="str">
        <f>'Financial impact (cash)'!B14</f>
        <v>Ocrelizumab IV</v>
      </c>
      <c r="C105" s="149">
        <f>'Inputs and eligible population'!G$111</f>
        <v>180</v>
      </c>
      <c r="D105" s="128">
        <f>('Financial impact (cash)'!D14*$C$105)/60</f>
        <v>0</v>
      </c>
      <c r="E105" s="128">
        <f>('Financial impact (cash)'!E14*$C$105)/60</f>
        <v>0</v>
      </c>
      <c r="F105" s="128">
        <f>('Financial impact (cash)'!F14*$C$105)/60</f>
        <v>0</v>
      </c>
      <c r="G105" s="128">
        <f>('Financial impact (cash)'!G14*$C$105)/60</f>
        <v>0</v>
      </c>
      <c r="H105" s="128">
        <f>('Financial impact (cash)'!H14*$C$105)/60</f>
        <v>0</v>
      </c>
      <c r="I105" s="128">
        <f>('Financial impact (cash)'!I14*$C$105)/60</f>
        <v>0</v>
      </c>
      <c r="J105" s="286"/>
      <c r="K105" s="572">
        <f>'Inputs and eligible population'!$AA$111</f>
        <v>42.84</v>
      </c>
      <c r="L105" s="291">
        <f t="shared" ref="L105:L122" si="49">(D105*$K105)/1000</f>
        <v>0</v>
      </c>
      <c r="M105" s="291">
        <f t="shared" ref="M105:M122" si="50">(E105*$K105)/1000</f>
        <v>0</v>
      </c>
      <c r="N105" s="291">
        <f t="shared" ref="N105:N122" si="51">(F105*$K105)/1000</f>
        <v>0</v>
      </c>
      <c r="O105" s="291">
        <f t="shared" ref="O105:O122" si="52">(G105*$K105)/1000</f>
        <v>0</v>
      </c>
      <c r="P105" s="291">
        <f t="shared" ref="P105:P122" si="53">(H105*$K105)/1000</f>
        <v>0</v>
      </c>
      <c r="Q105" s="291">
        <f t="shared" ref="Q105:Q122" si="54">(I105*$K105)/1000</f>
        <v>0</v>
      </c>
      <c r="S105" s="133"/>
      <c r="T105" s="133"/>
      <c r="U105" s="133"/>
      <c r="V105" s="133"/>
      <c r="W105" s="133"/>
      <c r="X105" s="133"/>
      <c r="Y105" s="133"/>
      <c r="Z105" s="133"/>
      <c r="AJ105" s="285"/>
      <c r="AK105" s="285"/>
      <c r="AL105" s="285"/>
      <c r="AM105" s="285"/>
      <c r="AN105" s="285"/>
    </row>
    <row r="106" spans="1:40" x14ac:dyDescent="0.35">
      <c r="A106" s="286"/>
      <c r="B106" s="348" t="str">
        <f>'Financial impact (cash)'!B15</f>
        <v>Ocrelizumab SC</v>
      </c>
      <c r="C106" s="149">
        <f>'Inputs and eligible population'!H$111</f>
        <v>10</v>
      </c>
      <c r="D106" s="128">
        <f>('Financial impact (cash)'!D15*$C$106)/60</f>
        <v>0</v>
      </c>
      <c r="E106" s="128">
        <f>('Financial impact (cash)'!E15*$C$106)/60</f>
        <v>0</v>
      </c>
      <c r="F106" s="128">
        <f>('Financial impact (cash)'!F15*$C$106)/60</f>
        <v>0</v>
      </c>
      <c r="G106" s="128">
        <f>('Financial impact (cash)'!G15*$C$106)/60</f>
        <v>0</v>
      </c>
      <c r="H106" s="128">
        <f>('Financial impact (cash)'!H15*$C$106)/60</f>
        <v>0</v>
      </c>
      <c r="I106" s="128">
        <f>('Financial impact (cash)'!I15*$C$106)/60</f>
        <v>0</v>
      </c>
      <c r="J106" s="286"/>
      <c r="K106" s="572">
        <f>'Inputs and eligible population'!$AA$111</f>
        <v>42.84</v>
      </c>
      <c r="L106" s="291">
        <f t="shared" ref="L106" si="55">(D106*$K106)/1000</f>
        <v>0</v>
      </c>
      <c r="M106" s="291">
        <f t="shared" ref="M106" si="56">(E106*$K106)/1000</f>
        <v>0</v>
      </c>
      <c r="N106" s="291">
        <f t="shared" ref="N106" si="57">(F106*$K106)/1000</f>
        <v>0</v>
      </c>
      <c r="O106" s="291">
        <f t="shared" ref="O106" si="58">(G106*$K106)/1000</f>
        <v>0</v>
      </c>
      <c r="P106" s="291">
        <f t="shared" ref="P106" si="59">(H106*$K106)/1000</f>
        <v>0</v>
      </c>
      <c r="Q106" s="291">
        <f t="shared" ref="Q106" si="60">(I106*$K106)/1000</f>
        <v>0</v>
      </c>
      <c r="S106" s="133"/>
      <c r="T106" s="133"/>
      <c r="U106" s="133"/>
      <c r="V106" s="133"/>
      <c r="W106" s="133"/>
      <c r="X106" s="133"/>
      <c r="Y106" s="133"/>
      <c r="Z106" s="133"/>
      <c r="AJ106" s="285"/>
      <c r="AK106" s="285"/>
      <c r="AL106" s="285"/>
      <c r="AM106" s="285"/>
      <c r="AN106" s="285"/>
    </row>
    <row r="107" spans="1:40" x14ac:dyDescent="0.35">
      <c r="A107" s="286"/>
      <c r="B107" s="348" t="str">
        <f>'Financial impact (cash)'!B16</f>
        <v>Ofatumumab SC</v>
      </c>
      <c r="C107" s="149">
        <f>'Inputs and eligible population'!I$111</f>
        <v>0</v>
      </c>
      <c r="D107" s="128">
        <f>('Financial impact (cash)'!D16*$C$107)/60</f>
        <v>0</v>
      </c>
      <c r="E107" s="128">
        <f>('Financial impact (cash)'!E16*$C$107)/60</f>
        <v>0</v>
      </c>
      <c r="F107" s="128">
        <f>('Financial impact (cash)'!F16*$C$107)/60</f>
        <v>0</v>
      </c>
      <c r="G107" s="128">
        <f>('Financial impact (cash)'!G16*$C$107)/60</f>
        <v>0</v>
      </c>
      <c r="H107" s="128">
        <f>('Financial impact (cash)'!H16*$C$107)/60</f>
        <v>0</v>
      </c>
      <c r="I107" s="128">
        <f>('Financial impact (cash)'!I16*$C$107)/60</f>
        <v>0</v>
      </c>
      <c r="J107" s="286"/>
      <c r="K107" s="572">
        <f>'Inputs and eligible population'!$AA$111</f>
        <v>42.84</v>
      </c>
      <c r="L107" s="291">
        <f t="shared" si="49"/>
        <v>0</v>
      </c>
      <c r="M107" s="291">
        <f t="shared" si="50"/>
        <v>0</v>
      </c>
      <c r="N107" s="291">
        <f t="shared" si="51"/>
        <v>0</v>
      </c>
      <c r="O107" s="291">
        <f t="shared" si="52"/>
        <v>0</v>
      </c>
      <c r="P107" s="291">
        <f t="shared" si="53"/>
        <v>0</v>
      </c>
      <c r="Q107" s="291">
        <f t="shared" si="54"/>
        <v>0</v>
      </c>
      <c r="S107" s="133"/>
      <c r="T107" s="133"/>
      <c r="U107" s="133"/>
      <c r="V107" s="133"/>
      <c r="W107" s="133"/>
      <c r="X107" s="133"/>
      <c r="Y107" s="133"/>
      <c r="Z107" s="133"/>
      <c r="AJ107" s="285"/>
      <c r="AK107" s="285"/>
      <c r="AL107" s="285"/>
      <c r="AM107" s="285"/>
      <c r="AN107" s="285"/>
    </row>
    <row r="108" spans="1:40" x14ac:dyDescent="0.35">
      <c r="A108" s="286"/>
      <c r="B108" s="348" t="str">
        <f>'Financial impact (cash)'!B17</f>
        <v xml:space="preserve">Ponesimod </v>
      </c>
      <c r="C108" s="149">
        <f>'Inputs and eligible population'!J$111</f>
        <v>0</v>
      </c>
      <c r="D108" s="128">
        <f>('Financial impact (cash)'!D17*$C$108)/60</f>
        <v>0</v>
      </c>
      <c r="E108" s="128">
        <f>('Financial impact (cash)'!E17*$C$108)/60</f>
        <v>0</v>
      </c>
      <c r="F108" s="128">
        <f>('Financial impact (cash)'!F17*$C$108)/60</f>
        <v>0</v>
      </c>
      <c r="G108" s="128">
        <f>('Financial impact (cash)'!G17*$C$108)/60</f>
        <v>0</v>
      </c>
      <c r="H108" s="128">
        <f>('Financial impact (cash)'!H17*$C$108)/60</f>
        <v>0</v>
      </c>
      <c r="I108" s="128">
        <f>('Financial impact (cash)'!I17*$C$108)/60</f>
        <v>0</v>
      </c>
      <c r="J108" s="286"/>
      <c r="K108" s="572">
        <f>'Inputs and eligible population'!$AA$111</f>
        <v>42.84</v>
      </c>
      <c r="L108" s="291">
        <f t="shared" si="49"/>
        <v>0</v>
      </c>
      <c r="M108" s="291">
        <f t="shared" si="50"/>
        <v>0</v>
      </c>
      <c r="N108" s="291">
        <f t="shared" si="51"/>
        <v>0</v>
      </c>
      <c r="O108" s="291">
        <f t="shared" si="52"/>
        <v>0</v>
      </c>
      <c r="P108" s="291">
        <f t="shared" si="53"/>
        <v>0</v>
      </c>
      <c r="Q108" s="291">
        <f t="shared" si="54"/>
        <v>0</v>
      </c>
      <c r="S108" s="133"/>
      <c r="T108" s="133"/>
      <c r="U108" s="133"/>
      <c r="V108" s="133"/>
      <c r="W108" s="133"/>
      <c r="X108" s="133"/>
      <c r="Y108" s="133"/>
      <c r="Z108" s="133"/>
      <c r="AJ108" s="285"/>
      <c r="AK108" s="285"/>
      <c r="AL108" s="285"/>
      <c r="AM108" s="285"/>
      <c r="AN108" s="285"/>
    </row>
    <row r="109" spans="1:40" x14ac:dyDescent="0.35">
      <c r="A109" s="286"/>
      <c r="B109" s="348" t="str">
        <f>'Financial impact (cash)'!B18</f>
        <v>Alemtuzumab</v>
      </c>
      <c r="C109" s="149">
        <f>'Inputs and eligible population'!K$111</f>
        <v>60</v>
      </c>
      <c r="D109" s="128">
        <f>('Financial impact (cash)'!D18*$C$109)/60</f>
        <v>0</v>
      </c>
      <c r="E109" s="128">
        <f>('Financial impact (cash)'!E18*$C$109)/60</f>
        <v>0</v>
      </c>
      <c r="F109" s="128">
        <f>('Financial impact (cash)'!F18*$C$109)/60</f>
        <v>0</v>
      </c>
      <c r="G109" s="128">
        <f>('Financial impact (cash)'!G18*$C$109)/60</f>
        <v>0</v>
      </c>
      <c r="H109" s="128">
        <f>('Financial impact (cash)'!H18*$C$109)/60</f>
        <v>0</v>
      </c>
      <c r="I109" s="128">
        <f>('Financial impact (cash)'!I18*$C$109)/60</f>
        <v>0</v>
      </c>
      <c r="J109" s="286"/>
      <c r="K109" s="572">
        <f>'Inputs and eligible population'!$AA$111</f>
        <v>42.84</v>
      </c>
      <c r="L109" s="291">
        <f t="shared" si="49"/>
        <v>0</v>
      </c>
      <c r="M109" s="291">
        <f t="shared" si="50"/>
        <v>0</v>
      </c>
      <c r="N109" s="291">
        <f t="shared" si="51"/>
        <v>0</v>
      </c>
      <c r="O109" s="291">
        <f t="shared" si="52"/>
        <v>0</v>
      </c>
      <c r="P109" s="291">
        <f t="shared" si="53"/>
        <v>0</v>
      </c>
      <c r="Q109" s="291">
        <f t="shared" si="54"/>
        <v>0</v>
      </c>
      <c r="S109" s="133"/>
      <c r="T109" s="133"/>
      <c r="U109" s="133"/>
      <c r="V109" s="133"/>
      <c r="W109" s="133"/>
      <c r="X109" s="133"/>
      <c r="Y109" s="133"/>
      <c r="Z109" s="133"/>
      <c r="AJ109" s="285"/>
      <c r="AK109" s="285"/>
      <c r="AL109" s="285"/>
      <c r="AM109" s="285"/>
      <c r="AN109" s="285"/>
    </row>
    <row r="110" spans="1:40" x14ac:dyDescent="0.35">
      <c r="A110" s="286"/>
      <c r="B110" s="348" t="str">
        <f>'Financial impact (cash)'!B19</f>
        <v>Cladribine</v>
      </c>
      <c r="C110" s="149">
        <f>'Inputs and eligible population'!L$111</f>
        <v>0</v>
      </c>
      <c r="D110" s="128">
        <f>('Financial impact (cash)'!D19*$C$110)/60</f>
        <v>0</v>
      </c>
      <c r="E110" s="128">
        <f>('Financial impact (cash)'!E19*$C$110)/60</f>
        <v>0</v>
      </c>
      <c r="F110" s="128">
        <f>('Financial impact (cash)'!F19*$C$110)/60</f>
        <v>0</v>
      </c>
      <c r="G110" s="128">
        <f>('Financial impact (cash)'!G19*$C$110)/60</f>
        <v>0</v>
      </c>
      <c r="H110" s="128">
        <f>('Financial impact (cash)'!H19*$C$110)/60</f>
        <v>0</v>
      </c>
      <c r="I110" s="128">
        <f>('Financial impact (cash)'!I19*$C$110)/60</f>
        <v>0</v>
      </c>
      <c r="J110" s="286"/>
      <c r="K110" s="572">
        <f>'Inputs and eligible population'!$AA$111</f>
        <v>42.84</v>
      </c>
      <c r="L110" s="291">
        <f t="shared" ref="L110" si="61">(D110*$K110)/1000</f>
        <v>0</v>
      </c>
      <c r="M110" s="291">
        <f t="shared" ref="M110" si="62">(E110*$K110)/1000</f>
        <v>0</v>
      </c>
      <c r="N110" s="291">
        <f t="shared" ref="N110" si="63">(F110*$K110)/1000</f>
        <v>0</v>
      </c>
      <c r="O110" s="291">
        <f t="shared" ref="O110" si="64">(G110*$K110)/1000</f>
        <v>0</v>
      </c>
      <c r="P110" s="291">
        <f t="shared" ref="P110" si="65">(H110*$K110)/1000</f>
        <v>0</v>
      </c>
      <c r="Q110" s="291">
        <f t="shared" ref="Q110" si="66">(I110*$K110)/1000</f>
        <v>0</v>
      </c>
      <c r="S110" s="133"/>
      <c r="T110" s="133"/>
      <c r="U110" s="133"/>
      <c r="V110" s="133"/>
      <c r="W110" s="133"/>
      <c r="X110" s="133"/>
      <c r="Y110" s="133"/>
      <c r="Z110" s="133"/>
      <c r="AJ110" s="285"/>
      <c r="AK110" s="285"/>
      <c r="AL110" s="285"/>
      <c r="AM110" s="285"/>
      <c r="AN110" s="285"/>
    </row>
    <row r="111" spans="1:40" x14ac:dyDescent="0.35">
      <c r="A111" s="286"/>
      <c r="B111" s="348" t="str">
        <f>'Financial impact (cash)'!B20</f>
        <v>Dimethyl fumarate</v>
      </c>
      <c r="C111" s="149">
        <f>'Inputs and eligible population'!M$111</f>
        <v>0</v>
      </c>
      <c r="D111" s="128">
        <f>('Financial impact (cash)'!D20*$C$111)/60</f>
        <v>0</v>
      </c>
      <c r="E111" s="128">
        <f>('Financial impact (cash)'!E20*$C$111)/60</f>
        <v>0</v>
      </c>
      <c r="F111" s="128">
        <f>('Financial impact (cash)'!F20*$C$111)/60</f>
        <v>0</v>
      </c>
      <c r="G111" s="128">
        <f>('Financial impact (cash)'!G20*$C$111)/60</f>
        <v>0</v>
      </c>
      <c r="H111" s="128">
        <f>('Financial impact (cash)'!H20*$C$111)/60</f>
        <v>0</v>
      </c>
      <c r="I111" s="128">
        <f>('Financial impact (cash)'!I20*$C$111)/60</f>
        <v>0</v>
      </c>
      <c r="J111" s="286"/>
      <c r="K111" s="572">
        <f>'Inputs and eligible population'!$AA$111</f>
        <v>42.84</v>
      </c>
      <c r="L111" s="291">
        <f t="shared" si="49"/>
        <v>0</v>
      </c>
      <c r="M111" s="291">
        <f t="shared" si="50"/>
        <v>0</v>
      </c>
      <c r="N111" s="291">
        <f t="shared" si="51"/>
        <v>0</v>
      </c>
      <c r="O111" s="291">
        <f t="shared" si="52"/>
        <v>0</v>
      </c>
      <c r="P111" s="291">
        <f t="shared" si="53"/>
        <v>0</v>
      </c>
      <c r="Q111" s="291">
        <f t="shared" si="54"/>
        <v>0</v>
      </c>
      <c r="S111" s="133"/>
      <c r="T111" s="133"/>
      <c r="U111" s="133"/>
      <c r="V111" s="133"/>
      <c r="W111" s="133"/>
      <c r="X111" s="133"/>
      <c r="Y111" s="133"/>
      <c r="Z111" s="133"/>
      <c r="AJ111" s="285"/>
      <c r="AK111" s="285"/>
      <c r="AL111" s="285"/>
      <c r="AM111" s="285"/>
      <c r="AN111" s="285"/>
    </row>
    <row r="112" spans="1:40" x14ac:dyDescent="0.35">
      <c r="A112" s="286"/>
      <c r="B112" s="348" t="str">
        <f>'Financial impact (cash)'!B21</f>
        <v>Diroximel fumarate</v>
      </c>
      <c r="C112" s="149">
        <f>'Inputs and eligible population'!N$111</f>
        <v>0</v>
      </c>
      <c r="D112" s="128">
        <f>('Financial impact (cash)'!D21*$C$112)/60</f>
        <v>0</v>
      </c>
      <c r="E112" s="128">
        <f>('Financial impact (cash)'!E21*$C$112)/60</f>
        <v>0</v>
      </c>
      <c r="F112" s="128">
        <f>('Financial impact (cash)'!F21*$C$112)/60</f>
        <v>0</v>
      </c>
      <c r="G112" s="128">
        <f>('Financial impact (cash)'!G21*$C$112)/60</f>
        <v>0</v>
      </c>
      <c r="H112" s="128">
        <f>('Financial impact (cash)'!H21*$C$112)/60</f>
        <v>0</v>
      </c>
      <c r="I112" s="128">
        <f>('Financial impact (cash)'!I21*$C$112)/60</f>
        <v>0</v>
      </c>
      <c r="J112" s="286"/>
      <c r="K112" s="572">
        <f>'Inputs and eligible population'!$AA$111</f>
        <v>42.84</v>
      </c>
      <c r="L112" s="291">
        <f t="shared" si="49"/>
        <v>0</v>
      </c>
      <c r="M112" s="291">
        <f t="shared" si="50"/>
        <v>0</v>
      </c>
      <c r="N112" s="291">
        <f t="shared" si="51"/>
        <v>0</v>
      </c>
      <c r="O112" s="291">
        <f t="shared" si="52"/>
        <v>0</v>
      </c>
      <c r="P112" s="291">
        <f t="shared" si="53"/>
        <v>0</v>
      </c>
      <c r="Q112" s="291">
        <f t="shared" si="54"/>
        <v>0</v>
      </c>
      <c r="S112" s="133"/>
      <c r="T112" s="133"/>
      <c r="U112" s="133"/>
      <c r="V112" s="133"/>
      <c r="W112" s="133"/>
      <c r="X112" s="133"/>
      <c r="Y112" s="133"/>
      <c r="Z112" s="133"/>
      <c r="AJ112" s="285"/>
      <c r="AK112" s="285"/>
      <c r="AL112" s="285"/>
      <c r="AM112" s="285"/>
      <c r="AN112" s="285"/>
    </row>
    <row r="113" spans="1:40" x14ac:dyDescent="0.35">
      <c r="A113" s="286"/>
      <c r="B113" s="348" t="str">
        <f>'Financial impact (cash)'!B22</f>
        <v>Fingolimod</v>
      </c>
      <c r="C113" s="149">
        <f>'Inputs and eligible population'!O$111</f>
        <v>0</v>
      </c>
      <c r="D113" s="128">
        <f>('Financial impact (cash)'!D22*$C$113)/60</f>
        <v>0</v>
      </c>
      <c r="E113" s="128">
        <f>('Financial impact (cash)'!E22*$C$113)/60</f>
        <v>0</v>
      </c>
      <c r="F113" s="128">
        <f>('Financial impact (cash)'!F22*$C$113)/60</f>
        <v>0</v>
      </c>
      <c r="G113" s="128">
        <f>('Financial impact (cash)'!G22*$C$113)/60</f>
        <v>0</v>
      </c>
      <c r="H113" s="128">
        <f>('Financial impact (cash)'!H22*$C$113)/60</f>
        <v>0</v>
      </c>
      <c r="I113" s="128">
        <f>('Financial impact (cash)'!I22*$C$113)/60</f>
        <v>0</v>
      </c>
      <c r="J113" s="286"/>
      <c r="K113" s="572">
        <f>'Inputs and eligible population'!$AA$111</f>
        <v>42.84</v>
      </c>
      <c r="L113" s="291">
        <f t="shared" si="49"/>
        <v>0</v>
      </c>
      <c r="M113" s="291">
        <f t="shared" si="50"/>
        <v>0</v>
      </c>
      <c r="N113" s="291">
        <f t="shared" si="51"/>
        <v>0</v>
      </c>
      <c r="O113" s="291">
        <f t="shared" si="52"/>
        <v>0</v>
      </c>
      <c r="P113" s="291">
        <f t="shared" si="53"/>
        <v>0</v>
      </c>
      <c r="Q113" s="291">
        <f t="shared" si="54"/>
        <v>0</v>
      </c>
      <c r="S113" s="133"/>
      <c r="T113" s="133"/>
      <c r="U113" s="133"/>
      <c r="V113" s="133"/>
      <c r="W113" s="133"/>
      <c r="X113" s="133"/>
      <c r="Y113" s="133"/>
      <c r="Z113" s="133"/>
      <c r="AJ113" s="285"/>
      <c r="AK113" s="285"/>
      <c r="AL113" s="285"/>
      <c r="AM113" s="285"/>
      <c r="AN113" s="285"/>
    </row>
    <row r="114" spans="1:40" x14ac:dyDescent="0.35">
      <c r="A114" s="286"/>
      <c r="B114" s="348" t="str">
        <f>'Financial impact (cash)'!B23</f>
        <v>Glatiramer acetate</v>
      </c>
      <c r="C114" s="149">
        <f>'Inputs and eligible population'!P$111</f>
        <v>0</v>
      </c>
      <c r="D114" s="128">
        <f>('Financial impact (cash)'!D23*$C$114)/60</f>
        <v>0</v>
      </c>
      <c r="E114" s="128">
        <f>('Financial impact (cash)'!E23*$C$114)/60</f>
        <v>0</v>
      </c>
      <c r="F114" s="128">
        <f>('Financial impact (cash)'!F23*$C$114)/60</f>
        <v>0</v>
      </c>
      <c r="G114" s="128">
        <f>('Financial impact (cash)'!G23*$C$114)/60</f>
        <v>0</v>
      </c>
      <c r="H114" s="128">
        <f>('Financial impact (cash)'!H23*$C$114)/60</f>
        <v>0</v>
      </c>
      <c r="I114" s="128">
        <f>('Financial impact (cash)'!I23*$C$114)/60</f>
        <v>0</v>
      </c>
      <c r="J114" s="286"/>
      <c r="K114" s="572">
        <f>'Inputs and eligible population'!$AA$111</f>
        <v>42.84</v>
      </c>
      <c r="L114" s="291">
        <f t="shared" si="49"/>
        <v>0</v>
      </c>
      <c r="M114" s="291">
        <f t="shared" si="50"/>
        <v>0</v>
      </c>
      <c r="N114" s="291">
        <f t="shared" si="51"/>
        <v>0</v>
      </c>
      <c r="O114" s="291">
        <f t="shared" si="52"/>
        <v>0</v>
      </c>
      <c r="P114" s="291">
        <f t="shared" si="53"/>
        <v>0</v>
      </c>
      <c r="Q114" s="291">
        <f t="shared" si="54"/>
        <v>0</v>
      </c>
      <c r="S114" s="133"/>
      <c r="T114" s="133"/>
      <c r="U114" s="133"/>
      <c r="V114" s="133"/>
      <c r="W114" s="133"/>
      <c r="X114" s="133"/>
      <c r="Y114" s="133"/>
      <c r="Z114" s="133"/>
      <c r="AJ114" s="285"/>
      <c r="AK114" s="285"/>
      <c r="AL114" s="285"/>
      <c r="AM114" s="285"/>
      <c r="AN114" s="285"/>
    </row>
    <row r="115" spans="1:40" x14ac:dyDescent="0.35">
      <c r="A115" s="286"/>
      <c r="B115" s="348" t="str">
        <f>'Financial impact (cash)'!B24</f>
        <v>Interferon beta-1a 22 mcg</v>
      </c>
      <c r="C115" s="149">
        <f>'Inputs and eligible population'!Q$111</f>
        <v>0</v>
      </c>
      <c r="D115" s="128">
        <f>('Financial impact (cash)'!D24*$C$115)/60</f>
        <v>0</v>
      </c>
      <c r="E115" s="128">
        <f>('Financial impact (cash)'!E24*$C$115)/60</f>
        <v>0</v>
      </c>
      <c r="F115" s="128">
        <f>('Financial impact (cash)'!F24*$C$115)/60</f>
        <v>0</v>
      </c>
      <c r="G115" s="128">
        <f>('Financial impact (cash)'!G24*$C$115)/60</f>
        <v>0</v>
      </c>
      <c r="H115" s="128">
        <f>('Financial impact (cash)'!H24*$C$115)/60</f>
        <v>0</v>
      </c>
      <c r="I115" s="128">
        <f>('Financial impact (cash)'!I24*$C$115)/60</f>
        <v>0</v>
      </c>
      <c r="J115" s="286"/>
      <c r="K115" s="572">
        <f>'Inputs and eligible population'!$AA$111</f>
        <v>42.84</v>
      </c>
      <c r="L115" s="291">
        <f t="shared" si="49"/>
        <v>0</v>
      </c>
      <c r="M115" s="291">
        <f t="shared" si="50"/>
        <v>0</v>
      </c>
      <c r="N115" s="291">
        <f t="shared" si="51"/>
        <v>0</v>
      </c>
      <c r="O115" s="291">
        <f t="shared" si="52"/>
        <v>0</v>
      </c>
      <c r="P115" s="291">
        <f t="shared" si="53"/>
        <v>0</v>
      </c>
      <c r="Q115" s="291">
        <f t="shared" si="54"/>
        <v>0</v>
      </c>
      <c r="S115" s="133"/>
      <c r="T115" s="133"/>
      <c r="U115" s="133"/>
      <c r="V115" s="133"/>
      <c r="W115" s="133"/>
      <c r="X115" s="133"/>
      <c r="Y115" s="133"/>
      <c r="Z115" s="133"/>
      <c r="AJ115" s="285"/>
      <c r="AK115" s="285"/>
      <c r="AL115" s="285"/>
      <c r="AM115" s="285"/>
      <c r="AN115" s="285"/>
    </row>
    <row r="116" spans="1:40" x14ac:dyDescent="0.35">
      <c r="A116" s="286"/>
      <c r="B116" s="348" t="str">
        <f>'Financial impact (cash)'!B25</f>
        <v>Interferon beta-1a 30 mcg</v>
      </c>
      <c r="C116" s="149">
        <f>'Inputs and eligible population'!R$111</f>
        <v>0</v>
      </c>
      <c r="D116" s="128">
        <f>('Financial impact (cash)'!D25*$C$116)/60</f>
        <v>0</v>
      </c>
      <c r="E116" s="128">
        <f>('Financial impact (cash)'!E25*$C$116)/60</f>
        <v>0</v>
      </c>
      <c r="F116" s="128">
        <f>('Financial impact (cash)'!F25*$C$116)/60</f>
        <v>0</v>
      </c>
      <c r="G116" s="128">
        <f>('Financial impact (cash)'!G25*$C$116)/60</f>
        <v>0</v>
      </c>
      <c r="H116" s="128">
        <f>('Financial impact (cash)'!H25*$C$116)/60</f>
        <v>0</v>
      </c>
      <c r="I116" s="128">
        <f>('Financial impact (cash)'!I25*$C$116)/60</f>
        <v>0</v>
      </c>
      <c r="J116" s="286"/>
      <c r="K116" s="572">
        <f>'Inputs and eligible population'!$AA$111</f>
        <v>42.84</v>
      </c>
      <c r="L116" s="291">
        <f t="shared" si="49"/>
        <v>0</v>
      </c>
      <c r="M116" s="291">
        <f t="shared" si="50"/>
        <v>0</v>
      </c>
      <c r="N116" s="291">
        <f t="shared" si="51"/>
        <v>0</v>
      </c>
      <c r="O116" s="291">
        <f t="shared" si="52"/>
        <v>0</v>
      </c>
      <c r="P116" s="291">
        <f t="shared" si="53"/>
        <v>0</v>
      </c>
      <c r="Q116" s="291">
        <f t="shared" si="54"/>
        <v>0</v>
      </c>
      <c r="S116" s="133"/>
      <c r="T116" s="133"/>
      <c r="U116" s="133"/>
      <c r="V116" s="133"/>
      <c r="W116" s="133"/>
      <c r="X116" s="133"/>
      <c r="Y116" s="133"/>
      <c r="Z116" s="133"/>
      <c r="AJ116" s="285"/>
      <c r="AK116" s="285"/>
      <c r="AL116" s="285"/>
      <c r="AM116" s="285"/>
      <c r="AN116" s="285"/>
    </row>
    <row r="117" spans="1:40" x14ac:dyDescent="0.35">
      <c r="A117" s="286"/>
      <c r="B117" s="348" t="str">
        <f>'Financial impact (cash)'!B26</f>
        <v>Interferon beta-1a 44mcg SC</v>
      </c>
      <c r="C117" s="149">
        <f>'Inputs and eligible population'!S$111</f>
        <v>0</v>
      </c>
      <c r="D117" s="128">
        <f>('Financial impact (cash)'!D26*$C$117)/60</f>
        <v>0</v>
      </c>
      <c r="E117" s="128">
        <f>('Financial impact (cash)'!E26*$C$117)/60</f>
        <v>0</v>
      </c>
      <c r="F117" s="128">
        <f>('Financial impact (cash)'!F26*$C$117)/60</f>
        <v>0</v>
      </c>
      <c r="G117" s="128">
        <f>('Financial impact (cash)'!G26*$C$117)/60</f>
        <v>0</v>
      </c>
      <c r="H117" s="128">
        <f>('Financial impact (cash)'!H26*$C$117)/60</f>
        <v>0</v>
      </c>
      <c r="I117" s="128">
        <f>('Financial impact (cash)'!I26*$C$117)/60</f>
        <v>0</v>
      </c>
      <c r="J117" s="286"/>
      <c r="K117" s="572">
        <f>'Inputs and eligible population'!$AA$111</f>
        <v>42.84</v>
      </c>
      <c r="L117" s="291">
        <f t="shared" si="49"/>
        <v>0</v>
      </c>
      <c r="M117" s="291">
        <f t="shared" si="50"/>
        <v>0</v>
      </c>
      <c r="N117" s="291">
        <f t="shared" si="51"/>
        <v>0</v>
      </c>
      <c r="O117" s="291">
        <f t="shared" si="52"/>
        <v>0</v>
      </c>
      <c r="P117" s="291">
        <f t="shared" si="53"/>
        <v>0</v>
      </c>
      <c r="Q117" s="291">
        <f t="shared" si="54"/>
        <v>0</v>
      </c>
      <c r="S117" s="133"/>
      <c r="T117" s="133"/>
      <c r="U117" s="133"/>
      <c r="V117" s="133"/>
      <c r="W117" s="133"/>
      <c r="X117" s="133"/>
      <c r="Y117" s="133"/>
      <c r="Z117" s="133"/>
      <c r="AJ117" s="285"/>
      <c r="AK117" s="285"/>
      <c r="AL117" s="285"/>
      <c r="AM117" s="285"/>
      <c r="AN117" s="285"/>
    </row>
    <row r="118" spans="1:40" x14ac:dyDescent="0.35">
      <c r="A118" s="286"/>
      <c r="B118" s="348" t="str">
        <f>'Financial impact (cash)'!B27</f>
        <v>Interferon beta-1b 250mcg SC</v>
      </c>
      <c r="C118" s="149">
        <f>'Inputs and eligible population'!T$111</f>
        <v>0</v>
      </c>
      <c r="D118" s="128">
        <f>('Financial impact (cash)'!D27*$C$118)/60</f>
        <v>0</v>
      </c>
      <c r="E118" s="128">
        <f>('Financial impact (cash)'!E27*$C$118)/60</f>
        <v>0</v>
      </c>
      <c r="F118" s="128">
        <f>('Financial impact (cash)'!F27*$C$118)/60</f>
        <v>0</v>
      </c>
      <c r="G118" s="128">
        <f>('Financial impact (cash)'!G27*$C$118)/60</f>
        <v>0</v>
      </c>
      <c r="H118" s="128">
        <f>('Financial impact (cash)'!H27*$C$118)/60</f>
        <v>0</v>
      </c>
      <c r="I118" s="128">
        <f>('Financial impact (cash)'!I27*$C$118)/60</f>
        <v>0</v>
      </c>
      <c r="J118" s="286"/>
      <c r="K118" s="572">
        <f>'Inputs and eligible population'!$AA$111</f>
        <v>42.84</v>
      </c>
      <c r="L118" s="291">
        <f t="shared" si="49"/>
        <v>0</v>
      </c>
      <c r="M118" s="291">
        <f t="shared" si="50"/>
        <v>0</v>
      </c>
      <c r="N118" s="291">
        <f t="shared" si="51"/>
        <v>0</v>
      </c>
      <c r="O118" s="291">
        <f t="shared" si="52"/>
        <v>0</v>
      </c>
      <c r="P118" s="291">
        <f t="shared" si="53"/>
        <v>0</v>
      </c>
      <c r="Q118" s="291">
        <f t="shared" si="54"/>
        <v>0</v>
      </c>
      <c r="S118" s="133"/>
      <c r="T118" s="133"/>
      <c r="U118" s="133"/>
      <c r="V118" s="133"/>
      <c r="W118" s="133"/>
      <c r="X118" s="133"/>
      <c r="Y118" s="133"/>
      <c r="Z118" s="133"/>
      <c r="AJ118" s="285"/>
      <c r="AK118" s="285"/>
      <c r="AL118" s="285"/>
      <c r="AM118" s="285"/>
      <c r="AN118" s="285"/>
    </row>
    <row r="119" spans="1:40" x14ac:dyDescent="0.35">
      <c r="A119" s="286"/>
      <c r="B119" s="348" t="str">
        <f>'Financial impact (cash)'!B28</f>
        <v>Natalizumab</v>
      </c>
      <c r="C119" s="149">
        <f>'Inputs and eligible population'!U$111</f>
        <v>60</v>
      </c>
      <c r="D119" s="128">
        <f>('Financial impact (cash)'!D28*$C$119)/60</f>
        <v>0</v>
      </c>
      <c r="E119" s="128">
        <f>('Financial impact (cash)'!E28*$C$119)/60</f>
        <v>0</v>
      </c>
      <c r="F119" s="128">
        <f>('Financial impact (cash)'!F28*$C$119)/60</f>
        <v>0</v>
      </c>
      <c r="G119" s="128">
        <f>('Financial impact (cash)'!G28*$C$119)/60</f>
        <v>0</v>
      </c>
      <c r="H119" s="128">
        <f>('Financial impact (cash)'!H28*$C$119)/60</f>
        <v>0</v>
      </c>
      <c r="I119" s="128">
        <f>('Financial impact (cash)'!I28*$C$119)/60</f>
        <v>0</v>
      </c>
      <c r="J119" s="286"/>
      <c r="K119" s="572">
        <f>'Inputs and eligible population'!$AA$111</f>
        <v>42.84</v>
      </c>
      <c r="L119" s="291">
        <f t="shared" si="49"/>
        <v>0</v>
      </c>
      <c r="M119" s="291">
        <f t="shared" si="50"/>
        <v>0</v>
      </c>
      <c r="N119" s="291">
        <f t="shared" si="51"/>
        <v>0</v>
      </c>
      <c r="O119" s="291">
        <f t="shared" si="52"/>
        <v>0</v>
      </c>
      <c r="P119" s="291">
        <f t="shared" si="53"/>
        <v>0</v>
      </c>
      <c r="Q119" s="291">
        <f t="shared" si="54"/>
        <v>0</v>
      </c>
      <c r="S119" s="133"/>
      <c r="T119" s="133"/>
      <c r="U119" s="133"/>
      <c r="V119" s="133"/>
      <c r="W119" s="133"/>
      <c r="X119" s="133"/>
      <c r="Y119" s="133"/>
      <c r="Z119" s="133"/>
      <c r="AJ119" s="285"/>
      <c r="AK119" s="285"/>
      <c r="AL119" s="285"/>
      <c r="AM119" s="285"/>
      <c r="AN119" s="285"/>
    </row>
    <row r="120" spans="1:40" x14ac:dyDescent="0.35">
      <c r="A120" s="286"/>
      <c r="B120" s="348" t="str">
        <f>'Financial impact (cash)'!B29</f>
        <v>Peginterferon beta-1a</v>
      </c>
      <c r="C120" s="149">
        <f>'Inputs and eligible population'!V$111</f>
        <v>0</v>
      </c>
      <c r="D120" s="128">
        <f>('Financial impact (cash)'!D29*$C$120)/60</f>
        <v>0</v>
      </c>
      <c r="E120" s="128">
        <f>('Financial impact (cash)'!E29*$C$120)/60</f>
        <v>0</v>
      </c>
      <c r="F120" s="128">
        <f>('Financial impact (cash)'!F29*$C$120)/60</f>
        <v>0</v>
      </c>
      <c r="G120" s="128">
        <f>('Financial impact (cash)'!G29*$C$120)/60</f>
        <v>0</v>
      </c>
      <c r="H120" s="128">
        <f>('Financial impact (cash)'!H29*$C$120)/60</f>
        <v>0</v>
      </c>
      <c r="I120" s="128">
        <f>('Financial impact (cash)'!I29*$C$120)/60</f>
        <v>0</v>
      </c>
      <c r="J120" s="286"/>
      <c r="K120" s="572">
        <f>'Inputs and eligible population'!$AA$111</f>
        <v>42.84</v>
      </c>
      <c r="L120" s="291">
        <f t="shared" si="49"/>
        <v>0</v>
      </c>
      <c r="M120" s="291">
        <f t="shared" si="50"/>
        <v>0</v>
      </c>
      <c r="N120" s="291">
        <f t="shared" si="51"/>
        <v>0</v>
      </c>
      <c r="O120" s="291">
        <f t="shared" si="52"/>
        <v>0</v>
      </c>
      <c r="P120" s="291">
        <f t="shared" si="53"/>
        <v>0</v>
      </c>
      <c r="Q120" s="291">
        <f t="shared" si="54"/>
        <v>0</v>
      </c>
      <c r="S120" s="133"/>
      <c r="T120" s="133"/>
      <c r="U120" s="133"/>
      <c r="V120" s="133"/>
      <c r="W120" s="133"/>
      <c r="X120" s="133"/>
      <c r="Y120" s="133"/>
      <c r="Z120" s="133"/>
      <c r="AJ120" s="285"/>
      <c r="AK120" s="285"/>
      <c r="AL120" s="285"/>
      <c r="AM120" s="285"/>
      <c r="AN120" s="285"/>
    </row>
    <row r="121" spans="1:40" x14ac:dyDescent="0.35">
      <c r="A121" s="286"/>
      <c r="B121" s="348" t="str">
        <f>'Financial impact (cash)'!B30</f>
        <v>Teriflunomide</v>
      </c>
      <c r="C121" s="149">
        <f>'Inputs and eligible population'!W$111</f>
        <v>0</v>
      </c>
      <c r="D121" s="128">
        <f>('Financial impact (cash)'!D30*$C$121)/60</f>
        <v>0</v>
      </c>
      <c r="E121" s="128">
        <f>('Financial impact (cash)'!E30*$C$121)/60</f>
        <v>0</v>
      </c>
      <c r="F121" s="128">
        <f>('Financial impact (cash)'!F30*$C$121)/60</f>
        <v>0</v>
      </c>
      <c r="G121" s="128">
        <f>('Financial impact (cash)'!G30*$C$121)/60</f>
        <v>0</v>
      </c>
      <c r="H121" s="128">
        <f>('Financial impact (cash)'!H30*$C$121)/60</f>
        <v>0</v>
      </c>
      <c r="I121" s="128">
        <f>('Financial impact (cash)'!I30*$C$121)/60</f>
        <v>0</v>
      </c>
      <c r="J121" s="286"/>
      <c r="K121" s="572">
        <f>'Inputs and eligible population'!$AA$111</f>
        <v>42.84</v>
      </c>
      <c r="L121" s="291">
        <f t="shared" si="49"/>
        <v>0</v>
      </c>
      <c r="M121" s="291">
        <f t="shared" si="50"/>
        <v>0</v>
      </c>
      <c r="N121" s="291">
        <f t="shared" si="51"/>
        <v>0</v>
      </c>
      <c r="O121" s="291">
        <f t="shared" si="52"/>
        <v>0</v>
      </c>
      <c r="P121" s="291">
        <f t="shared" si="53"/>
        <v>0</v>
      </c>
      <c r="Q121" s="291">
        <f t="shared" si="54"/>
        <v>0</v>
      </c>
      <c r="S121" s="133"/>
      <c r="T121" s="133"/>
      <c r="U121" s="133"/>
      <c r="V121" s="133"/>
      <c r="W121" s="133"/>
      <c r="X121" s="133"/>
      <c r="Y121" s="133"/>
      <c r="Z121" s="133"/>
      <c r="AJ121" s="285"/>
      <c r="AK121" s="285"/>
      <c r="AL121" s="285"/>
      <c r="AM121" s="285"/>
      <c r="AN121" s="285"/>
    </row>
    <row r="122" spans="1:40" x14ac:dyDescent="0.35">
      <c r="A122" s="286"/>
      <c r="B122" s="348" t="str">
        <f>'Financial impact (cash)'!B31</f>
        <v>Best supportive care</v>
      </c>
      <c r="C122" s="149">
        <f>'Inputs and eligible population'!X$111</f>
        <v>0</v>
      </c>
      <c r="D122" s="128">
        <f>('Financial impact (cash)'!D31*$C$122)/60</f>
        <v>0</v>
      </c>
      <c r="E122" s="128">
        <f>('Financial impact (cash)'!E31*$C$122)/60</f>
        <v>0</v>
      </c>
      <c r="F122" s="128">
        <f>('Financial impact (cash)'!F31*$C$122)/60</f>
        <v>0</v>
      </c>
      <c r="G122" s="128">
        <f>('Financial impact (cash)'!G31*$C$122)/60</f>
        <v>0</v>
      </c>
      <c r="H122" s="128">
        <f>('Financial impact (cash)'!H31*$C$122)/60</f>
        <v>0</v>
      </c>
      <c r="I122" s="128">
        <f>('Financial impact (cash)'!I31*$C$122)/60</f>
        <v>0</v>
      </c>
      <c r="J122" s="286"/>
      <c r="K122" s="572">
        <f>'Inputs and eligible population'!$AA$111</f>
        <v>42.84</v>
      </c>
      <c r="L122" s="291">
        <f t="shared" si="49"/>
        <v>0</v>
      </c>
      <c r="M122" s="291">
        <f t="shared" si="50"/>
        <v>0</v>
      </c>
      <c r="N122" s="291">
        <f t="shared" si="51"/>
        <v>0</v>
      </c>
      <c r="O122" s="291">
        <f t="shared" si="52"/>
        <v>0</v>
      </c>
      <c r="P122" s="291">
        <f t="shared" si="53"/>
        <v>0</v>
      </c>
      <c r="Q122" s="291">
        <f t="shared" si="54"/>
        <v>0</v>
      </c>
      <c r="S122" s="133"/>
      <c r="T122" s="133"/>
      <c r="U122" s="133"/>
      <c r="V122" s="133"/>
      <c r="W122" s="133"/>
      <c r="X122" s="133"/>
      <c r="Y122" s="133"/>
      <c r="Z122" s="133"/>
      <c r="AJ122" s="285"/>
      <c r="AK122" s="285"/>
      <c r="AL122" s="285"/>
      <c r="AM122" s="285"/>
      <c r="AN122" s="285"/>
    </row>
    <row r="123" spans="1:40" x14ac:dyDescent="0.35">
      <c r="A123" s="286"/>
      <c r="B123" s="282" t="s">
        <v>999</v>
      </c>
      <c r="C123" s="321"/>
      <c r="D123" s="185">
        <f t="shared" ref="D123:I123" si="67">SUM(D104:D122)</f>
        <v>0</v>
      </c>
      <c r="E123" s="185">
        <f t="shared" si="67"/>
        <v>0</v>
      </c>
      <c r="F123" s="185">
        <f t="shared" si="67"/>
        <v>0</v>
      </c>
      <c r="G123" s="185">
        <f t="shared" si="67"/>
        <v>0</v>
      </c>
      <c r="H123" s="185">
        <f t="shared" si="67"/>
        <v>0</v>
      </c>
      <c r="I123" s="185">
        <f t="shared" si="67"/>
        <v>0</v>
      </c>
      <c r="J123" s="286"/>
      <c r="K123" s="286"/>
      <c r="L123" s="292">
        <f t="shared" ref="L123:Q123" si="68">SUM(L104:L122)</f>
        <v>0</v>
      </c>
      <c r="M123" s="292">
        <f t="shared" si="68"/>
        <v>0</v>
      </c>
      <c r="N123" s="292">
        <f t="shared" si="68"/>
        <v>0</v>
      </c>
      <c r="O123" s="292">
        <f t="shared" si="68"/>
        <v>0</v>
      </c>
      <c r="P123" s="292">
        <f t="shared" si="68"/>
        <v>0</v>
      </c>
      <c r="Q123" s="292">
        <f t="shared" si="68"/>
        <v>0</v>
      </c>
      <c r="S123" s="133"/>
      <c r="T123" s="133"/>
      <c r="U123" s="133"/>
      <c r="V123" s="133"/>
      <c r="W123" s="133"/>
      <c r="X123" s="133"/>
      <c r="Y123" s="133"/>
      <c r="Z123" s="133"/>
      <c r="AJ123" s="285"/>
      <c r="AK123" s="285"/>
      <c r="AL123" s="285"/>
      <c r="AM123" s="285"/>
      <c r="AN123" s="285"/>
    </row>
    <row r="124" spans="1:40" x14ac:dyDescent="0.35">
      <c r="A124" s="286"/>
      <c r="B124" s="307"/>
      <c r="C124" s="256"/>
      <c r="D124" s="284" t="s">
        <v>1000</v>
      </c>
      <c r="E124" s="185">
        <f>E123-$D$123</f>
        <v>0</v>
      </c>
      <c r="F124" s="185">
        <f>F123-$D$123</f>
        <v>0</v>
      </c>
      <c r="G124" s="185">
        <f>G123-$D$123</f>
        <v>0</v>
      </c>
      <c r="H124" s="185">
        <f>H123-$D$123</f>
        <v>0</v>
      </c>
      <c r="I124" s="185">
        <f>I123-$D$123</f>
        <v>0</v>
      </c>
      <c r="J124" s="286"/>
      <c r="K124" s="286"/>
      <c r="L124" s="542"/>
      <c r="M124" s="292">
        <f>M123-$L$123</f>
        <v>0</v>
      </c>
      <c r="N124" s="292">
        <f>N123-$L$123</f>
        <v>0</v>
      </c>
      <c r="O124" s="292">
        <f>O123-$L$123</f>
        <v>0</v>
      </c>
      <c r="P124" s="292">
        <f>P123-$L$123</f>
        <v>0</v>
      </c>
      <c r="Q124" s="292">
        <f>Q123-$L$123</f>
        <v>0</v>
      </c>
      <c r="S124" s="133"/>
      <c r="T124" s="133"/>
      <c r="U124" s="133"/>
      <c r="V124" s="133"/>
      <c r="W124" s="133"/>
      <c r="X124" s="133"/>
      <c r="Y124" s="133"/>
      <c r="Z124" s="133"/>
      <c r="AJ124" s="285"/>
      <c r="AK124" s="285"/>
      <c r="AL124" s="285"/>
      <c r="AM124" s="285"/>
      <c r="AN124" s="285"/>
    </row>
    <row r="125" spans="1:40" x14ac:dyDescent="0.35">
      <c r="A125" s="286"/>
      <c r="B125" s="323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S125" s="133"/>
      <c r="T125" s="133"/>
      <c r="U125" s="133"/>
      <c r="V125" s="133"/>
      <c r="W125" s="133"/>
      <c r="X125" s="133"/>
      <c r="Y125" s="133"/>
      <c r="Z125" s="133"/>
      <c r="AJ125" s="285"/>
      <c r="AK125" s="285"/>
      <c r="AL125" s="285"/>
      <c r="AM125" s="285"/>
      <c r="AN125" s="285"/>
    </row>
    <row r="126" spans="1:40" x14ac:dyDescent="0.35">
      <c r="A126" s="286"/>
      <c r="B126" s="389" t="s">
        <v>1001</v>
      </c>
      <c r="C126" s="388"/>
      <c r="D126" s="388"/>
      <c r="E126" s="388"/>
      <c r="F126" s="388"/>
      <c r="G126" s="388"/>
      <c r="H126" s="388"/>
      <c r="I126" s="214"/>
      <c r="J126" s="429"/>
      <c r="K126" s="215"/>
      <c r="L126" s="428"/>
      <c r="M126" s="428"/>
      <c r="N126" s="428"/>
      <c r="O126" s="428"/>
      <c r="P126" s="428"/>
      <c r="Q126" s="428"/>
      <c r="S126" s="133"/>
      <c r="T126" s="133"/>
      <c r="U126" s="133"/>
      <c r="V126" s="133"/>
      <c r="W126" s="133"/>
      <c r="X126" s="133"/>
      <c r="Y126" s="133"/>
      <c r="Z126" s="133"/>
      <c r="AJ126" s="285"/>
      <c r="AK126" s="285"/>
      <c r="AL126" s="285"/>
      <c r="AM126" s="285"/>
      <c r="AN126" s="285"/>
    </row>
    <row r="127" spans="1:40" ht="58" x14ac:dyDescent="0.35">
      <c r="A127" s="286"/>
      <c r="B127" s="281" t="s">
        <v>876</v>
      </c>
      <c r="C127" s="165" t="s">
        <v>775</v>
      </c>
      <c r="D127" s="421" t="s">
        <v>957</v>
      </c>
      <c r="E127" s="255" t="s">
        <v>685</v>
      </c>
      <c r="F127" s="255" t="s">
        <v>686</v>
      </c>
      <c r="G127" s="164" t="s">
        <v>914</v>
      </c>
      <c r="H127" s="164" t="s">
        <v>915</v>
      </c>
      <c r="I127" s="255" t="s">
        <v>916</v>
      </c>
      <c r="J127" s="286"/>
      <c r="K127" s="556" t="s">
        <v>969</v>
      </c>
      <c r="L127" s="421" t="s">
        <v>957</v>
      </c>
      <c r="M127" s="255" t="s">
        <v>685</v>
      </c>
      <c r="N127" s="255" t="s">
        <v>686</v>
      </c>
      <c r="O127" s="164" t="s">
        <v>914</v>
      </c>
      <c r="P127" s="164" t="s">
        <v>915</v>
      </c>
      <c r="Q127" s="255" t="s">
        <v>916</v>
      </c>
      <c r="S127" s="133"/>
      <c r="T127" s="133"/>
      <c r="U127" s="133"/>
      <c r="V127" s="133"/>
      <c r="W127" s="133"/>
      <c r="X127" s="133"/>
      <c r="Y127" s="133"/>
      <c r="Z127" s="133"/>
      <c r="AJ127" s="285"/>
      <c r="AK127" s="285"/>
      <c r="AL127" s="285"/>
      <c r="AM127" s="285"/>
      <c r="AN127" s="285"/>
    </row>
    <row r="128" spans="1:40" x14ac:dyDescent="0.35">
      <c r="A128" s="286"/>
      <c r="B128" s="348" t="str">
        <f t="shared" ref="B128:B146" si="69">B104</f>
        <v>Ublituximab</v>
      </c>
      <c r="C128" s="149">
        <f>'Inputs and eligible population'!F$112</f>
        <v>60</v>
      </c>
      <c r="D128" s="128">
        <f>('Financial impact (cash)'!D13*$C128)/60</f>
        <v>0</v>
      </c>
      <c r="E128" s="128">
        <f>('Financial impact (cash)'!E13*$C128)/60</f>
        <v>0</v>
      </c>
      <c r="F128" s="128">
        <f>('Financial impact (cash)'!F13*$C128)/60</f>
        <v>0</v>
      </c>
      <c r="G128" s="128">
        <f>('Financial impact (cash)'!G13*$C128)/60</f>
        <v>0</v>
      </c>
      <c r="H128" s="128">
        <f>('Financial impact (cash)'!H13*$C128)/60</f>
        <v>0</v>
      </c>
      <c r="I128" s="128">
        <f>('Financial impact (cash)'!I13*$C128)/60</f>
        <v>0</v>
      </c>
      <c r="J128" s="286"/>
      <c r="K128" s="572">
        <f>'Inputs and eligible population'!$AA$112</f>
        <v>42.84</v>
      </c>
      <c r="L128" s="291">
        <f t="shared" ref="L128:Q128" si="70">(D128*$K128)/1000</f>
        <v>0</v>
      </c>
      <c r="M128" s="291">
        <f t="shared" si="70"/>
        <v>0</v>
      </c>
      <c r="N128" s="291">
        <f t="shared" si="70"/>
        <v>0</v>
      </c>
      <c r="O128" s="291">
        <f t="shared" si="70"/>
        <v>0</v>
      </c>
      <c r="P128" s="291">
        <f t="shared" si="70"/>
        <v>0</v>
      </c>
      <c r="Q128" s="291">
        <f t="shared" si="70"/>
        <v>0</v>
      </c>
      <c r="S128" s="133"/>
      <c r="T128" s="133"/>
      <c r="U128" s="133"/>
      <c r="V128" s="133"/>
      <c r="W128" s="133"/>
      <c r="X128" s="133"/>
      <c r="Y128" s="133"/>
      <c r="Z128" s="133"/>
      <c r="AJ128" s="285"/>
      <c r="AK128" s="285"/>
      <c r="AL128" s="285"/>
      <c r="AM128" s="285"/>
      <c r="AN128" s="285"/>
    </row>
    <row r="129" spans="1:40" x14ac:dyDescent="0.35">
      <c r="A129" s="286"/>
      <c r="B129" s="348" t="str">
        <f t="shared" si="69"/>
        <v>Ocrelizumab IV</v>
      </c>
      <c r="C129" s="149">
        <f>'Inputs and eligible population'!G$112</f>
        <v>60</v>
      </c>
      <c r="D129" s="128">
        <f>('Financial impact (cash)'!D14*$C129)/60</f>
        <v>0</v>
      </c>
      <c r="E129" s="128">
        <f>('Financial impact (cash)'!E14*$C129)/60</f>
        <v>0</v>
      </c>
      <c r="F129" s="128">
        <f>('Financial impact (cash)'!F14*$C129)/60</f>
        <v>0</v>
      </c>
      <c r="G129" s="128">
        <f>('Financial impact (cash)'!G14*$C129)/60</f>
        <v>0</v>
      </c>
      <c r="H129" s="128">
        <f>('Financial impact (cash)'!H14*$C129)/60</f>
        <v>0</v>
      </c>
      <c r="I129" s="128">
        <f>('Financial impact (cash)'!I14*$C129)/60</f>
        <v>0</v>
      </c>
      <c r="J129" s="286"/>
      <c r="K129" s="572">
        <f>'Inputs and eligible population'!$AA$112</f>
        <v>42.84</v>
      </c>
      <c r="L129" s="291">
        <f t="shared" ref="L129:L146" si="71">(D129*$K129)/1000</f>
        <v>0</v>
      </c>
      <c r="M129" s="291">
        <f t="shared" ref="M129:M146" si="72">(E129*$K129)/1000</f>
        <v>0</v>
      </c>
      <c r="N129" s="291">
        <f t="shared" ref="N129:N146" si="73">(F129*$K129)/1000</f>
        <v>0</v>
      </c>
      <c r="O129" s="291">
        <f t="shared" ref="O129:O146" si="74">(G129*$K129)/1000</f>
        <v>0</v>
      </c>
      <c r="P129" s="291">
        <f t="shared" ref="P129:P146" si="75">(H129*$K129)/1000</f>
        <v>0</v>
      </c>
      <c r="Q129" s="291">
        <f t="shared" ref="Q129:Q146" si="76">(I129*$K129)/1000</f>
        <v>0</v>
      </c>
      <c r="S129" s="133"/>
      <c r="T129" s="133"/>
      <c r="U129" s="133"/>
      <c r="V129" s="133"/>
      <c r="W129" s="133"/>
      <c r="X129" s="133"/>
      <c r="Y129" s="133"/>
      <c r="Z129" s="133"/>
      <c r="AJ129" s="285"/>
      <c r="AK129" s="285"/>
      <c r="AL129" s="285"/>
      <c r="AM129" s="285"/>
      <c r="AN129" s="285"/>
    </row>
    <row r="130" spans="1:40" x14ac:dyDescent="0.35">
      <c r="A130" s="286"/>
      <c r="B130" s="348" t="str">
        <f t="shared" si="69"/>
        <v>Ocrelizumab SC</v>
      </c>
      <c r="C130" s="149">
        <f>'Inputs and eligible population'!H$112</f>
        <v>10</v>
      </c>
      <c r="D130" s="128">
        <f>('Financial impact (cash)'!D15*$C130)/60</f>
        <v>0</v>
      </c>
      <c r="E130" s="128">
        <f>('Financial impact (cash)'!E15*$C130)/60</f>
        <v>0</v>
      </c>
      <c r="F130" s="128">
        <f>('Financial impact (cash)'!F15*$C130)/60</f>
        <v>0</v>
      </c>
      <c r="G130" s="128">
        <f>('Financial impact (cash)'!G15*$C130)/60</f>
        <v>0</v>
      </c>
      <c r="H130" s="128">
        <f>('Financial impact (cash)'!H15*$C130)/60</f>
        <v>0</v>
      </c>
      <c r="I130" s="128">
        <f>('Financial impact (cash)'!I15*$C130)/60</f>
        <v>0</v>
      </c>
      <c r="J130" s="286"/>
      <c r="K130" s="572">
        <f>'Inputs and eligible population'!$AA$112</f>
        <v>42.84</v>
      </c>
      <c r="L130" s="291">
        <f t="shared" ref="L130" si="77">(D130*$K130)/1000</f>
        <v>0</v>
      </c>
      <c r="M130" s="291">
        <f t="shared" ref="M130" si="78">(E130*$K130)/1000</f>
        <v>0</v>
      </c>
      <c r="N130" s="291">
        <f t="shared" ref="N130" si="79">(F130*$K130)/1000</f>
        <v>0</v>
      </c>
      <c r="O130" s="291">
        <f t="shared" ref="O130" si="80">(G130*$K130)/1000</f>
        <v>0</v>
      </c>
      <c r="P130" s="291">
        <f t="shared" ref="P130" si="81">(H130*$K130)/1000</f>
        <v>0</v>
      </c>
      <c r="Q130" s="291">
        <f t="shared" ref="Q130" si="82">(I130*$K130)/1000</f>
        <v>0</v>
      </c>
      <c r="S130" s="133"/>
      <c r="T130" s="133"/>
      <c r="U130" s="133"/>
      <c r="V130" s="133"/>
      <c r="W130" s="133"/>
      <c r="X130" s="133"/>
      <c r="Y130" s="133"/>
      <c r="Z130" s="133"/>
      <c r="AJ130" s="285"/>
      <c r="AK130" s="285"/>
      <c r="AL130" s="285"/>
      <c r="AM130" s="285"/>
      <c r="AN130" s="285"/>
    </row>
    <row r="131" spans="1:40" x14ac:dyDescent="0.35">
      <c r="A131" s="286"/>
      <c r="B131" s="348" t="str">
        <f t="shared" si="69"/>
        <v>Ofatumumab SC</v>
      </c>
      <c r="C131" s="149">
        <f>'Inputs and eligible population'!I$112</f>
        <v>0</v>
      </c>
      <c r="D131" s="128">
        <f>('Financial impact (cash)'!D16*$C131)/60</f>
        <v>0</v>
      </c>
      <c r="E131" s="128">
        <f>('Financial impact (cash)'!E16*$C131)/60</f>
        <v>0</v>
      </c>
      <c r="F131" s="128">
        <f>('Financial impact (cash)'!F16*$C131)/60</f>
        <v>0</v>
      </c>
      <c r="G131" s="128">
        <f>('Financial impact (cash)'!G16*$C131)/60</f>
        <v>0</v>
      </c>
      <c r="H131" s="128">
        <f>('Financial impact (cash)'!H16*$C131)/60</f>
        <v>0</v>
      </c>
      <c r="I131" s="128">
        <f>('Financial impact (cash)'!I16*$C131)/60</f>
        <v>0</v>
      </c>
      <c r="J131" s="286"/>
      <c r="K131" s="572">
        <f>'Inputs and eligible population'!$AA$112</f>
        <v>42.84</v>
      </c>
      <c r="L131" s="291">
        <f t="shared" si="71"/>
        <v>0</v>
      </c>
      <c r="M131" s="291">
        <f t="shared" si="72"/>
        <v>0</v>
      </c>
      <c r="N131" s="291">
        <f t="shared" si="73"/>
        <v>0</v>
      </c>
      <c r="O131" s="291">
        <f t="shared" si="74"/>
        <v>0</v>
      </c>
      <c r="P131" s="291">
        <f t="shared" si="75"/>
        <v>0</v>
      </c>
      <c r="Q131" s="291">
        <f t="shared" si="76"/>
        <v>0</v>
      </c>
      <c r="S131" s="133"/>
      <c r="T131" s="133"/>
      <c r="U131" s="133"/>
      <c r="V131" s="133"/>
      <c r="W131" s="133"/>
      <c r="X131" s="133"/>
      <c r="Y131" s="133"/>
      <c r="Z131" s="133"/>
      <c r="AJ131" s="285"/>
      <c r="AK131" s="285"/>
      <c r="AL131" s="285"/>
      <c r="AM131" s="285"/>
      <c r="AN131" s="285"/>
    </row>
    <row r="132" spans="1:40" x14ac:dyDescent="0.35">
      <c r="A132" s="286"/>
      <c r="B132" s="348" t="str">
        <f t="shared" si="69"/>
        <v xml:space="preserve">Ponesimod </v>
      </c>
      <c r="C132" s="149">
        <f>'Inputs and eligible population'!J$112</f>
        <v>0</v>
      </c>
      <c r="D132" s="128">
        <f>('Financial impact (cash)'!D17*$C132)/60</f>
        <v>0</v>
      </c>
      <c r="E132" s="128">
        <f>('Financial impact (cash)'!E17*$C132)/60</f>
        <v>0</v>
      </c>
      <c r="F132" s="128">
        <f>('Financial impact (cash)'!F17*$C132)/60</f>
        <v>0</v>
      </c>
      <c r="G132" s="128">
        <f>('Financial impact (cash)'!G17*$C132)/60</f>
        <v>0</v>
      </c>
      <c r="H132" s="128">
        <f>('Financial impact (cash)'!H17*$C132)/60</f>
        <v>0</v>
      </c>
      <c r="I132" s="128">
        <f>('Financial impact (cash)'!I17*$C132)/60</f>
        <v>0</v>
      </c>
      <c r="J132" s="286"/>
      <c r="K132" s="572">
        <f>'Inputs and eligible population'!$AA$112</f>
        <v>42.84</v>
      </c>
      <c r="L132" s="291">
        <f t="shared" si="71"/>
        <v>0</v>
      </c>
      <c r="M132" s="291">
        <f t="shared" si="72"/>
        <v>0</v>
      </c>
      <c r="N132" s="291">
        <f t="shared" si="73"/>
        <v>0</v>
      </c>
      <c r="O132" s="291">
        <f t="shared" si="74"/>
        <v>0</v>
      </c>
      <c r="P132" s="291">
        <f t="shared" si="75"/>
        <v>0</v>
      </c>
      <c r="Q132" s="291">
        <f t="shared" si="76"/>
        <v>0</v>
      </c>
      <c r="S132" s="133"/>
      <c r="T132" s="133"/>
      <c r="U132" s="133"/>
      <c r="V132" s="133"/>
      <c r="W132" s="133"/>
      <c r="X132" s="133"/>
      <c r="Y132" s="133"/>
      <c r="Z132" s="133"/>
      <c r="AJ132" s="285"/>
      <c r="AK132" s="285"/>
      <c r="AL132" s="285"/>
      <c r="AM132" s="285"/>
      <c r="AN132" s="285"/>
    </row>
    <row r="133" spans="1:40" x14ac:dyDescent="0.35">
      <c r="A133" s="286"/>
      <c r="B133" s="348" t="str">
        <f t="shared" si="69"/>
        <v>Alemtuzumab</v>
      </c>
      <c r="C133" s="149">
        <f>'Inputs and eligible population'!K$112</f>
        <v>30</v>
      </c>
      <c r="D133" s="128">
        <f>('Financial impact (cash)'!D18*$C133)/60</f>
        <v>0</v>
      </c>
      <c r="E133" s="128">
        <f>('Financial impact (cash)'!E18*$C133)/60</f>
        <v>0</v>
      </c>
      <c r="F133" s="128">
        <f>('Financial impact (cash)'!F18*$C133)/60</f>
        <v>0</v>
      </c>
      <c r="G133" s="128">
        <f>('Financial impact (cash)'!G18*$C133)/60</f>
        <v>0</v>
      </c>
      <c r="H133" s="128">
        <f>('Financial impact (cash)'!H18*$C133)/60</f>
        <v>0</v>
      </c>
      <c r="I133" s="128">
        <f>('Financial impact (cash)'!I18*$C133)/60</f>
        <v>0</v>
      </c>
      <c r="J133" s="286"/>
      <c r="K133" s="572">
        <f>'Inputs and eligible population'!$AA$112</f>
        <v>42.84</v>
      </c>
      <c r="L133" s="291">
        <f t="shared" si="71"/>
        <v>0</v>
      </c>
      <c r="M133" s="291">
        <f t="shared" si="72"/>
        <v>0</v>
      </c>
      <c r="N133" s="291">
        <f t="shared" si="73"/>
        <v>0</v>
      </c>
      <c r="O133" s="291">
        <f t="shared" si="74"/>
        <v>0</v>
      </c>
      <c r="P133" s="291">
        <f t="shared" si="75"/>
        <v>0</v>
      </c>
      <c r="Q133" s="291">
        <f t="shared" si="76"/>
        <v>0</v>
      </c>
      <c r="S133" s="133"/>
      <c r="T133" s="133"/>
      <c r="U133" s="133"/>
      <c r="V133" s="133"/>
      <c r="W133" s="133"/>
      <c r="X133" s="133"/>
      <c r="Y133" s="133"/>
      <c r="Z133" s="133"/>
      <c r="AJ133" s="285"/>
      <c r="AK133" s="285"/>
      <c r="AL133" s="285"/>
      <c r="AM133" s="285"/>
      <c r="AN133" s="285"/>
    </row>
    <row r="134" spans="1:40" x14ac:dyDescent="0.35">
      <c r="A134" s="286"/>
      <c r="B134" s="348" t="str">
        <f t="shared" si="69"/>
        <v>Cladribine</v>
      </c>
      <c r="C134" s="149">
        <f>'Inputs and eligible population'!L$112</f>
        <v>0</v>
      </c>
      <c r="D134" s="128">
        <f>('Financial impact (cash)'!D19*$C134)/60</f>
        <v>0</v>
      </c>
      <c r="E134" s="128">
        <f>('Financial impact (cash)'!E19*$C134)/60</f>
        <v>0</v>
      </c>
      <c r="F134" s="128">
        <f>('Financial impact (cash)'!F19*$C134)/60</f>
        <v>0</v>
      </c>
      <c r="G134" s="128">
        <f>('Financial impact (cash)'!G19*$C134)/60</f>
        <v>0</v>
      </c>
      <c r="H134" s="128">
        <f>('Financial impact (cash)'!H19*$C134)/60</f>
        <v>0</v>
      </c>
      <c r="I134" s="128">
        <f>('Financial impact (cash)'!I19*$C134)/60</f>
        <v>0</v>
      </c>
      <c r="J134" s="286"/>
      <c r="K134" s="572">
        <f>'Inputs and eligible population'!$AA$112</f>
        <v>42.84</v>
      </c>
      <c r="L134" s="291">
        <f t="shared" ref="L134" si="83">(D134*$K134)/1000</f>
        <v>0</v>
      </c>
      <c r="M134" s="291">
        <f t="shared" ref="M134" si="84">(E134*$K134)/1000</f>
        <v>0</v>
      </c>
      <c r="N134" s="291">
        <f t="shared" ref="N134" si="85">(F134*$K134)/1000</f>
        <v>0</v>
      </c>
      <c r="O134" s="291">
        <f t="shared" ref="O134" si="86">(G134*$K134)/1000</f>
        <v>0</v>
      </c>
      <c r="P134" s="291">
        <f t="shared" ref="P134" si="87">(H134*$K134)/1000</f>
        <v>0</v>
      </c>
      <c r="Q134" s="291">
        <f t="shared" ref="Q134" si="88">(I134*$K134)/1000</f>
        <v>0</v>
      </c>
      <c r="S134" s="133"/>
      <c r="T134" s="133"/>
      <c r="U134" s="133"/>
      <c r="V134" s="133"/>
      <c r="W134" s="133"/>
      <c r="X134" s="133"/>
      <c r="Y134" s="133"/>
      <c r="Z134" s="133"/>
      <c r="AJ134" s="285"/>
      <c r="AK134" s="285"/>
      <c r="AL134" s="285"/>
      <c r="AM134" s="285"/>
      <c r="AN134" s="285"/>
    </row>
    <row r="135" spans="1:40" x14ac:dyDescent="0.35">
      <c r="A135" s="286"/>
      <c r="B135" s="348" t="str">
        <f t="shared" si="69"/>
        <v>Dimethyl fumarate</v>
      </c>
      <c r="C135" s="149">
        <f>'Inputs and eligible population'!M$112</f>
        <v>0</v>
      </c>
      <c r="D135" s="128">
        <f>('Financial impact (cash)'!D20*$C135)/60</f>
        <v>0</v>
      </c>
      <c r="E135" s="128">
        <f>('Financial impact (cash)'!E20*$C135)/60</f>
        <v>0</v>
      </c>
      <c r="F135" s="128">
        <f>('Financial impact (cash)'!F20*$C135)/60</f>
        <v>0</v>
      </c>
      <c r="G135" s="128">
        <f>('Financial impact (cash)'!G20*$C135)/60</f>
        <v>0</v>
      </c>
      <c r="H135" s="128">
        <f>('Financial impact (cash)'!H20*$C135)/60</f>
        <v>0</v>
      </c>
      <c r="I135" s="128">
        <f>('Financial impact (cash)'!I20*$C135)/60</f>
        <v>0</v>
      </c>
      <c r="J135" s="286"/>
      <c r="K135" s="572">
        <f>'Inputs and eligible population'!$AA$112</f>
        <v>42.84</v>
      </c>
      <c r="L135" s="291">
        <f t="shared" si="71"/>
        <v>0</v>
      </c>
      <c r="M135" s="291">
        <f t="shared" si="72"/>
        <v>0</v>
      </c>
      <c r="N135" s="291">
        <f t="shared" si="73"/>
        <v>0</v>
      </c>
      <c r="O135" s="291">
        <f t="shared" si="74"/>
        <v>0</v>
      </c>
      <c r="P135" s="291">
        <f t="shared" si="75"/>
        <v>0</v>
      </c>
      <c r="Q135" s="291">
        <f t="shared" si="76"/>
        <v>0</v>
      </c>
      <c r="S135" s="133"/>
      <c r="T135" s="133"/>
      <c r="U135" s="133"/>
      <c r="V135" s="133"/>
      <c r="W135" s="133"/>
      <c r="X135" s="133"/>
      <c r="Y135" s="133"/>
      <c r="Z135" s="133"/>
      <c r="AJ135" s="285"/>
      <c r="AK135" s="285"/>
      <c r="AL135" s="285"/>
      <c r="AM135" s="285"/>
      <c r="AN135" s="285"/>
    </row>
    <row r="136" spans="1:40" x14ac:dyDescent="0.35">
      <c r="A136" s="286"/>
      <c r="B136" s="348" t="str">
        <f t="shared" si="69"/>
        <v>Diroximel fumarate</v>
      </c>
      <c r="C136" s="149">
        <f>'Inputs and eligible population'!N$112</f>
        <v>0</v>
      </c>
      <c r="D136" s="128">
        <f>('Financial impact (cash)'!D21*$C136)/60</f>
        <v>0</v>
      </c>
      <c r="E136" s="128">
        <f>('Financial impact (cash)'!E21*$C136)/60</f>
        <v>0</v>
      </c>
      <c r="F136" s="128">
        <f>('Financial impact (cash)'!F21*$C136)/60</f>
        <v>0</v>
      </c>
      <c r="G136" s="128">
        <f>('Financial impact (cash)'!G21*$C136)/60</f>
        <v>0</v>
      </c>
      <c r="H136" s="128">
        <f>('Financial impact (cash)'!H21*$C136)/60</f>
        <v>0</v>
      </c>
      <c r="I136" s="128">
        <f>('Financial impact (cash)'!I21*$C136)/60</f>
        <v>0</v>
      </c>
      <c r="J136" s="286"/>
      <c r="K136" s="572">
        <f>'Inputs and eligible population'!$AA$112</f>
        <v>42.84</v>
      </c>
      <c r="L136" s="291">
        <f t="shared" si="71"/>
        <v>0</v>
      </c>
      <c r="M136" s="291">
        <f t="shared" si="72"/>
        <v>0</v>
      </c>
      <c r="N136" s="291">
        <f t="shared" si="73"/>
        <v>0</v>
      </c>
      <c r="O136" s="291">
        <f t="shared" si="74"/>
        <v>0</v>
      </c>
      <c r="P136" s="291">
        <f t="shared" si="75"/>
        <v>0</v>
      </c>
      <c r="Q136" s="291">
        <f t="shared" si="76"/>
        <v>0</v>
      </c>
      <c r="S136" s="133"/>
      <c r="T136" s="133"/>
      <c r="U136" s="133"/>
      <c r="V136" s="133"/>
      <c r="W136" s="133"/>
      <c r="X136" s="133"/>
      <c r="Y136" s="133"/>
      <c r="Z136" s="133"/>
      <c r="AJ136" s="285"/>
      <c r="AK136" s="285"/>
      <c r="AL136" s="285"/>
      <c r="AM136" s="285"/>
      <c r="AN136" s="285"/>
    </row>
    <row r="137" spans="1:40" x14ac:dyDescent="0.35">
      <c r="A137" s="286"/>
      <c r="B137" s="348" t="str">
        <f t="shared" si="69"/>
        <v>Fingolimod</v>
      </c>
      <c r="C137" s="149">
        <f>'Inputs and eligible population'!O$112</f>
        <v>0</v>
      </c>
      <c r="D137" s="128">
        <f>('Financial impact (cash)'!D22*$C137)/60</f>
        <v>0</v>
      </c>
      <c r="E137" s="128">
        <f>('Financial impact (cash)'!E22*$C137)/60</f>
        <v>0</v>
      </c>
      <c r="F137" s="128">
        <f>('Financial impact (cash)'!F22*$C137)/60</f>
        <v>0</v>
      </c>
      <c r="G137" s="128">
        <f>('Financial impact (cash)'!G22*$C137)/60</f>
        <v>0</v>
      </c>
      <c r="H137" s="128">
        <f>('Financial impact (cash)'!H22*$C137)/60</f>
        <v>0</v>
      </c>
      <c r="I137" s="128">
        <f>('Financial impact (cash)'!I22*$C137)/60</f>
        <v>0</v>
      </c>
      <c r="J137" s="286"/>
      <c r="K137" s="572">
        <f>'Inputs and eligible population'!$AA$112</f>
        <v>42.84</v>
      </c>
      <c r="L137" s="291">
        <f t="shared" si="71"/>
        <v>0</v>
      </c>
      <c r="M137" s="291">
        <f t="shared" si="72"/>
        <v>0</v>
      </c>
      <c r="N137" s="291">
        <f t="shared" si="73"/>
        <v>0</v>
      </c>
      <c r="O137" s="291">
        <f t="shared" si="74"/>
        <v>0</v>
      </c>
      <c r="P137" s="291">
        <f t="shared" si="75"/>
        <v>0</v>
      </c>
      <c r="Q137" s="291">
        <f t="shared" si="76"/>
        <v>0</v>
      </c>
      <c r="S137" s="133"/>
      <c r="T137" s="133"/>
      <c r="U137" s="133"/>
      <c r="V137" s="133"/>
      <c r="W137" s="133"/>
      <c r="X137" s="133"/>
      <c r="Y137" s="133"/>
      <c r="Z137" s="133"/>
      <c r="AJ137" s="285"/>
      <c r="AK137" s="285"/>
      <c r="AL137" s="285"/>
      <c r="AM137" s="285"/>
      <c r="AN137" s="285"/>
    </row>
    <row r="138" spans="1:40" x14ac:dyDescent="0.35">
      <c r="A138" s="286"/>
      <c r="B138" s="348" t="str">
        <f t="shared" si="69"/>
        <v>Glatiramer acetate</v>
      </c>
      <c r="C138" s="149">
        <f>'Inputs and eligible population'!P$112</f>
        <v>0</v>
      </c>
      <c r="D138" s="128">
        <f>('Financial impact (cash)'!D23*$C138)/60</f>
        <v>0</v>
      </c>
      <c r="E138" s="128">
        <f>('Financial impact (cash)'!E23*$C138)/60</f>
        <v>0</v>
      </c>
      <c r="F138" s="128">
        <f>('Financial impact (cash)'!F23*$C138)/60</f>
        <v>0</v>
      </c>
      <c r="G138" s="128">
        <f>('Financial impact (cash)'!G23*$C138)/60</f>
        <v>0</v>
      </c>
      <c r="H138" s="128">
        <f>('Financial impact (cash)'!H23*$C138)/60</f>
        <v>0</v>
      </c>
      <c r="I138" s="128">
        <f>('Financial impact (cash)'!I23*$C138)/60</f>
        <v>0</v>
      </c>
      <c r="J138" s="286"/>
      <c r="K138" s="572">
        <f>'Inputs and eligible population'!$AA$112</f>
        <v>42.84</v>
      </c>
      <c r="L138" s="291">
        <f t="shared" si="71"/>
        <v>0</v>
      </c>
      <c r="M138" s="291">
        <f t="shared" si="72"/>
        <v>0</v>
      </c>
      <c r="N138" s="291">
        <f t="shared" si="73"/>
        <v>0</v>
      </c>
      <c r="O138" s="291">
        <f t="shared" si="74"/>
        <v>0</v>
      </c>
      <c r="P138" s="291">
        <f t="shared" si="75"/>
        <v>0</v>
      </c>
      <c r="Q138" s="291">
        <f t="shared" si="76"/>
        <v>0</v>
      </c>
      <c r="S138" s="133"/>
      <c r="T138" s="133"/>
      <c r="U138" s="133"/>
      <c r="V138" s="133"/>
      <c r="W138" s="133"/>
      <c r="X138" s="133"/>
      <c r="Y138" s="133"/>
      <c r="Z138" s="133"/>
      <c r="AJ138" s="285"/>
      <c r="AK138" s="285"/>
      <c r="AL138" s="285"/>
      <c r="AM138" s="285"/>
      <c r="AN138" s="285"/>
    </row>
    <row r="139" spans="1:40" x14ac:dyDescent="0.35">
      <c r="A139" s="286"/>
      <c r="B139" s="348" t="str">
        <f t="shared" si="69"/>
        <v>Interferon beta-1a 22 mcg</v>
      </c>
      <c r="C139" s="149">
        <f>'Inputs and eligible population'!Q$112</f>
        <v>0</v>
      </c>
      <c r="D139" s="128">
        <f>('Financial impact (cash)'!D24*$C139)/60</f>
        <v>0</v>
      </c>
      <c r="E139" s="128">
        <f>('Financial impact (cash)'!E24*$C139)/60</f>
        <v>0</v>
      </c>
      <c r="F139" s="128">
        <f>('Financial impact (cash)'!F24*$C139)/60</f>
        <v>0</v>
      </c>
      <c r="G139" s="128">
        <f>('Financial impact (cash)'!G24*$C139)/60</f>
        <v>0</v>
      </c>
      <c r="H139" s="128">
        <f>('Financial impact (cash)'!H24*$C139)/60</f>
        <v>0</v>
      </c>
      <c r="I139" s="128">
        <f>('Financial impact (cash)'!I24*$C139)/60</f>
        <v>0</v>
      </c>
      <c r="J139" s="286"/>
      <c r="K139" s="572">
        <f>'Inputs and eligible population'!$AA$112</f>
        <v>42.84</v>
      </c>
      <c r="L139" s="291">
        <f t="shared" si="71"/>
        <v>0</v>
      </c>
      <c r="M139" s="291">
        <f t="shared" si="72"/>
        <v>0</v>
      </c>
      <c r="N139" s="291">
        <f t="shared" si="73"/>
        <v>0</v>
      </c>
      <c r="O139" s="291">
        <f t="shared" si="74"/>
        <v>0</v>
      </c>
      <c r="P139" s="291">
        <f t="shared" si="75"/>
        <v>0</v>
      </c>
      <c r="Q139" s="291">
        <f t="shared" si="76"/>
        <v>0</v>
      </c>
      <c r="S139" s="133"/>
      <c r="T139" s="133"/>
      <c r="U139" s="133"/>
      <c r="V139" s="133"/>
      <c r="W139" s="133"/>
      <c r="X139" s="133"/>
      <c r="Y139" s="133"/>
      <c r="Z139" s="133"/>
      <c r="AJ139" s="285"/>
      <c r="AK139" s="285"/>
      <c r="AL139" s="285"/>
      <c r="AM139" s="285"/>
      <c r="AN139" s="285"/>
    </row>
    <row r="140" spans="1:40" x14ac:dyDescent="0.35">
      <c r="A140" s="286"/>
      <c r="B140" s="348" t="str">
        <f t="shared" si="69"/>
        <v>Interferon beta-1a 30 mcg</v>
      </c>
      <c r="C140" s="149">
        <f>'Inputs and eligible population'!R$112</f>
        <v>0</v>
      </c>
      <c r="D140" s="128">
        <f>('Financial impact (cash)'!D25*$C140)/60</f>
        <v>0</v>
      </c>
      <c r="E140" s="128">
        <f>('Financial impact (cash)'!E25*$C140)/60</f>
        <v>0</v>
      </c>
      <c r="F140" s="128">
        <f>('Financial impact (cash)'!F25*$C140)/60</f>
        <v>0</v>
      </c>
      <c r="G140" s="128">
        <f>('Financial impact (cash)'!G25*$C140)/60</f>
        <v>0</v>
      </c>
      <c r="H140" s="128">
        <f>('Financial impact (cash)'!H25*$C140)/60</f>
        <v>0</v>
      </c>
      <c r="I140" s="128">
        <f>('Financial impact (cash)'!I25*$C140)/60</f>
        <v>0</v>
      </c>
      <c r="J140" s="286"/>
      <c r="K140" s="572">
        <f>'Inputs and eligible population'!$AA$112</f>
        <v>42.84</v>
      </c>
      <c r="L140" s="291">
        <f t="shared" si="71"/>
        <v>0</v>
      </c>
      <c r="M140" s="291">
        <f t="shared" si="72"/>
        <v>0</v>
      </c>
      <c r="N140" s="291">
        <f t="shared" si="73"/>
        <v>0</v>
      </c>
      <c r="O140" s="291">
        <f t="shared" si="74"/>
        <v>0</v>
      </c>
      <c r="P140" s="291">
        <f t="shared" si="75"/>
        <v>0</v>
      </c>
      <c r="Q140" s="291">
        <f t="shared" si="76"/>
        <v>0</v>
      </c>
      <c r="S140" s="133"/>
      <c r="T140" s="133"/>
      <c r="U140" s="133"/>
      <c r="V140" s="133"/>
      <c r="W140" s="133"/>
      <c r="X140" s="133"/>
      <c r="Y140" s="133"/>
      <c r="Z140" s="133"/>
      <c r="AJ140" s="285"/>
      <c r="AK140" s="285"/>
      <c r="AL140" s="285"/>
      <c r="AM140" s="285"/>
      <c r="AN140" s="285"/>
    </row>
    <row r="141" spans="1:40" x14ac:dyDescent="0.35">
      <c r="A141" s="286"/>
      <c r="B141" s="348" t="str">
        <f t="shared" si="69"/>
        <v>Interferon beta-1a 44mcg SC</v>
      </c>
      <c r="C141" s="149">
        <f>'Inputs and eligible population'!S$112</f>
        <v>0</v>
      </c>
      <c r="D141" s="128">
        <f>('Financial impact (cash)'!D26*$C141)/60</f>
        <v>0</v>
      </c>
      <c r="E141" s="128">
        <f>('Financial impact (cash)'!E26*$C141)/60</f>
        <v>0</v>
      </c>
      <c r="F141" s="128">
        <f>('Financial impact (cash)'!F26*$C141)/60</f>
        <v>0</v>
      </c>
      <c r="G141" s="128">
        <f>('Financial impact (cash)'!G26*$C141)/60</f>
        <v>0</v>
      </c>
      <c r="H141" s="128">
        <f>('Financial impact (cash)'!H26*$C141)/60</f>
        <v>0</v>
      </c>
      <c r="I141" s="128">
        <f>('Financial impact (cash)'!I26*$C141)/60</f>
        <v>0</v>
      </c>
      <c r="J141" s="286"/>
      <c r="K141" s="572">
        <f>'Inputs and eligible population'!$AA$112</f>
        <v>42.84</v>
      </c>
      <c r="L141" s="291">
        <f t="shared" si="71"/>
        <v>0</v>
      </c>
      <c r="M141" s="291">
        <f t="shared" si="72"/>
        <v>0</v>
      </c>
      <c r="N141" s="291">
        <f t="shared" si="73"/>
        <v>0</v>
      </c>
      <c r="O141" s="291">
        <f t="shared" si="74"/>
        <v>0</v>
      </c>
      <c r="P141" s="291">
        <f t="shared" si="75"/>
        <v>0</v>
      </c>
      <c r="Q141" s="291">
        <f t="shared" si="76"/>
        <v>0</v>
      </c>
      <c r="S141" s="133"/>
      <c r="T141" s="133"/>
      <c r="U141" s="133"/>
      <c r="V141" s="133"/>
      <c r="W141" s="133"/>
      <c r="X141" s="133"/>
      <c r="Y141" s="133"/>
      <c r="Z141" s="133"/>
      <c r="AJ141" s="285"/>
      <c r="AK141" s="285"/>
      <c r="AL141" s="285"/>
      <c r="AM141" s="285"/>
      <c r="AN141" s="285"/>
    </row>
    <row r="142" spans="1:40" x14ac:dyDescent="0.35">
      <c r="A142" s="286"/>
      <c r="B142" s="348" t="str">
        <f t="shared" si="69"/>
        <v>Interferon beta-1b 250mcg SC</v>
      </c>
      <c r="C142" s="149">
        <f>'Inputs and eligible population'!T$112</f>
        <v>0</v>
      </c>
      <c r="D142" s="128">
        <f>('Financial impact (cash)'!D27*$C142)/60</f>
        <v>0</v>
      </c>
      <c r="E142" s="128">
        <f>('Financial impact (cash)'!E27*$C142)/60</f>
        <v>0</v>
      </c>
      <c r="F142" s="128">
        <f>('Financial impact (cash)'!F27*$C142)/60</f>
        <v>0</v>
      </c>
      <c r="G142" s="128">
        <f>('Financial impact (cash)'!G27*$C142)/60</f>
        <v>0</v>
      </c>
      <c r="H142" s="128">
        <f>('Financial impact (cash)'!H27*$C142)/60</f>
        <v>0</v>
      </c>
      <c r="I142" s="128">
        <f>('Financial impact (cash)'!I27*$C142)/60</f>
        <v>0</v>
      </c>
      <c r="J142" s="286"/>
      <c r="K142" s="572">
        <f>'Inputs and eligible population'!$AA$112</f>
        <v>42.84</v>
      </c>
      <c r="L142" s="291">
        <f t="shared" si="71"/>
        <v>0</v>
      </c>
      <c r="M142" s="291">
        <f t="shared" si="72"/>
        <v>0</v>
      </c>
      <c r="N142" s="291">
        <f t="shared" si="73"/>
        <v>0</v>
      </c>
      <c r="O142" s="291">
        <f t="shared" si="74"/>
        <v>0</v>
      </c>
      <c r="P142" s="291">
        <f t="shared" si="75"/>
        <v>0</v>
      </c>
      <c r="Q142" s="291">
        <f t="shared" si="76"/>
        <v>0</v>
      </c>
      <c r="S142" s="133"/>
      <c r="T142" s="133"/>
      <c r="U142" s="133"/>
      <c r="V142" s="133"/>
      <c r="W142" s="133"/>
      <c r="X142" s="133"/>
      <c r="Y142" s="133"/>
      <c r="Z142" s="133"/>
      <c r="AJ142" s="285"/>
      <c r="AK142" s="285"/>
      <c r="AL142" s="285"/>
      <c r="AM142" s="285"/>
      <c r="AN142" s="285"/>
    </row>
    <row r="143" spans="1:40" x14ac:dyDescent="0.35">
      <c r="A143" s="286"/>
      <c r="B143" s="348" t="str">
        <f t="shared" si="69"/>
        <v>Natalizumab</v>
      </c>
      <c r="C143" s="149">
        <f>'Inputs and eligible population'!U$112</f>
        <v>30</v>
      </c>
      <c r="D143" s="128">
        <f>('Financial impact (cash)'!D28*$C143)/60</f>
        <v>0</v>
      </c>
      <c r="E143" s="128">
        <f>('Financial impact (cash)'!E28*$C143)/60</f>
        <v>0</v>
      </c>
      <c r="F143" s="128">
        <f>('Financial impact (cash)'!F28*$C143)/60</f>
        <v>0</v>
      </c>
      <c r="G143" s="128">
        <f>('Financial impact (cash)'!G28*$C143)/60</f>
        <v>0</v>
      </c>
      <c r="H143" s="128">
        <f>('Financial impact (cash)'!H28*$C143)/60</f>
        <v>0</v>
      </c>
      <c r="I143" s="128">
        <f>('Financial impact (cash)'!I28*$C143)/60</f>
        <v>0</v>
      </c>
      <c r="J143" s="286"/>
      <c r="K143" s="572">
        <f>'Inputs and eligible population'!$AA$112</f>
        <v>42.84</v>
      </c>
      <c r="L143" s="291">
        <f t="shared" si="71"/>
        <v>0</v>
      </c>
      <c r="M143" s="291">
        <f t="shared" si="72"/>
        <v>0</v>
      </c>
      <c r="N143" s="291">
        <f t="shared" si="73"/>
        <v>0</v>
      </c>
      <c r="O143" s="291">
        <f t="shared" si="74"/>
        <v>0</v>
      </c>
      <c r="P143" s="291">
        <f t="shared" si="75"/>
        <v>0</v>
      </c>
      <c r="Q143" s="291">
        <f t="shared" si="76"/>
        <v>0</v>
      </c>
      <c r="S143" s="133"/>
      <c r="T143" s="133"/>
      <c r="U143" s="133"/>
      <c r="V143" s="133"/>
      <c r="W143" s="133"/>
      <c r="X143" s="133"/>
      <c r="Y143" s="133"/>
      <c r="Z143" s="133"/>
      <c r="AJ143" s="285"/>
      <c r="AK143" s="285"/>
      <c r="AL143" s="285"/>
      <c r="AM143" s="285"/>
      <c r="AN143" s="285"/>
    </row>
    <row r="144" spans="1:40" x14ac:dyDescent="0.35">
      <c r="A144" s="286"/>
      <c r="B144" s="348" t="str">
        <f t="shared" si="69"/>
        <v>Peginterferon beta-1a</v>
      </c>
      <c r="C144" s="149">
        <f>'Inputs and eligible population'!V$112</f>
        <v>0</v>
      </c>
      <c r="D144" s="128">
        <f>('Financial impact (cash)'!D29*$C144)/60</f>
        <v>0</v>
      </c>
      <c r="E144" s="128">
        <f>('Financial impact (cash)'!E29*$C144)/60</f>
        <v>0</v>
      </c>
      <c r="F144" s="128">
        <f>('Financial impact (cash)'!F29*$C144)/60</f>
        <v>0</v>
      </c>
      <c r="G144" s="128">
        <f>('Financial impact (cash)'!G29*$C144)/60</f>
        <v>0</v>
      </c>
      <c r="H144" s="128">
        <f>('Financial impact (cash)'!H29*$C144)/60</f>
        <v>0</v>
      </c>
      <c r="I144" s="128">
        <f>('Financial impact (cash)'!I29*$C144)/60</f>
        <v>0</v>
      </c>
      <c r="J144" s="286"/>
      <c r="K144" s="572">
        <f>'Inputs and eligible population'!$AA$112</f>
        <v>42.84</v>
      </c>
      <c r="L144" s="291">
        <f t="shared" si="71"/>
        <v>0</v>
      </c>
      <c r="M144" s="291">
        <f t="shared" si="72"/>
        <v>0</v>
      </c>
      <c r="N144" s="291">
        <f t="shared" si="73"/>
        <v>0</v>
      </c>
      <c r="O144" s="291">
        <f t="shared" si="74"/>
        <v>0</v>
      </c>
      <c r="P144" s="291">
        <f t="shared" si="75"/>
        <v>0</v>
      </c>
      <c r="Q144" s="291">
        <f t="shared" si="76"/>
        <v>0</v>
      </c>
      <c r="S144" s="133"/>
      <c r="T144" s="133"/>
      <c r="U144" s="133"/>
      <c r="V144" s="133"/>
      <c r="W144" s="133"/>
      <c r="X144" s="133"/>
      <c r="Y144" s="133"/>
      <c r="Z144" s="133"/>
      <c r="AJ144" s="285"/>
      <c r="AK144" s="285"/>
      <c r="AL144" s="285"/>
      <c r="AM144" s="285"/>
      <c r="AN144" s="285"/>
    </row>
    <row r="145" spans="1:40" x14ac:dyDescent="0.35">
      <c r="A145" s="286"/>
      <c r="B145" s="348" t="str">
        <f t="shared" si="69"/>
        <v>Teriflunomide</v>
      </c>
      <c r="C145" s="149">
        <f>'Inputs and eligible population'!W$112</f>
        <v>0</v>
      </c>
      <c r="D145" s="128">
        <f>('Financial impact (cash)'!D30*$C145)/60</f>
        <v>0</v>
      </c>
      <c r="E145" s="128">
        <f>('Financial impact (cash)'!E30*$C145)/60</f>
        <v>0</v>
      </c>
      <c r="F145" s="128">
        <f>('Financial impact (cash)'!F30*$C145)/60</f>
        <v>0</v>
      </c>
      <c r="G145" s="128">
        <f>('Financial impact (cash)'!G30*$C145)/60</f>
        <v>0</v>
      </c>
      <c r="H145" s="128">
        <f>('Financial impact (cash)'!H30*$C145)/60</f>
        <v>0</v>
      </c>
      <c r="I145" s="128">
        <f>('Financial impact (cash)'!I30*$C145)/60</f>
        <v>0</v>
      </c>
      <c r="J145" s="286"/>
      <c r="K145" s="572">
        <f>'Inputs and eligible population'!$AA$112</f>
        <v>42.84</v>
      </c>
      <c r="L145" s="291">
        <f t="shared" si="71"/>
        <v>0</v>
      </c>
      <c r="M145" s="291">
        <f t="shared" si="72"/>
        <v>0</v>
      </c>
      <c r="N145" s="291">
        <f t="shared" si="73"/>
        <v>0</v>
      </c>
      <c r="O145" s="291">
        <f t="shared" si="74"/>
        <v>0</v>
      </c>
      <c r="P145" s="291">
        <f t="shared" si="75"/>
        <v>0</v>
      </c>
      <c r="Q145" s="291">
        <f t="shared" si="76"/>
        <v>0</v>
      </c>
      <c r="S145" s="133"/>
      <c r="T145" s="133"/>
      <c r="U145" s="133"/>
      <c r="V145" s="133"/>
      <c r="W145" s="133"/>
      <c r="X145" s="133"/>
      <c r="Y145" s="133"/>
      <c r="Z145" s="133"/>
      <c r="AJ145" s="285"/>
      <c r="AK145" s="285"/>
      <c r="AL145" s="285"/>
      <c r="AM145" s="285"/>
      <c r="AN145" s="285"/>
    </row>
    <row r="146" spans="1:40" x14ac:dyDescent="0.35">
      <c r="A146" s="286"/>
      <c r="B146" s="348" t="str">
        <f t="shared" si="69"/>
        <v>Best supportive care</v>
      </c>
      <c r="C146" s="149">
        <f>'Inputs and eligible population'!X$112</f>
        <v>0</v>
      </c>
      <c r="D146" s="128">
        <f>('Financial impact (cash)'!D31*$C146)/60</f>
        <v>0</v>
      </c>
      <c r="E146" s="128">
        <f>('Financial impact (cash)'!E31*$C146)/60</f>
        <v>0</v>
      </c>
      <c r="F146" s="128">
        <f>('Financial impact (cash)'!F31*$C146)/60</f>
        <v>0</v>
      </c>
      <c r="G146" s="128">
        <f>('Financial impact (cash)'!G31*$C146)/60</f>
        <v>0</v>
      </c>
      <c r="H146" s="128">
        <f>('Financial impact (cash)'!H31*$C146)/60</f>
        <v>0</v>
      </c>
      <c r="I146" s="128">
        <f>('Financial impact (cash)'!I31*$C146)/60</f>
        <v>0</v>
      </c>
      <c r="J146" s="286"/>
      <c r="K146" s="572">
        <f>'Inputs and eligible population'!$AA$112</f>
        <v>42.84</v>
      </c>
      <c r="L146" s="291">
        <f t="shared" si="71"/>
        <v>0</v>
      </c>
      <c r="M146" s="291">
        <f t="shared" si="72"/>
        <v>0</v>
      </c>
      <c r="N146" s="291">
        <f t="shared" si="73"/>
        <v>0</v>
      </c>
      <c r="O146" s="291">
        <f t="shared" si="74"/>
        <v>0</v>
      </c>
      <c r="P146" s="291">
        <f t="shared" si="75"/>
        <v>0</v>
      </c>
      <c r="Q146" s="291">
        <f t="shared" si="76"/>
        <v>0</v>
      </c>
      <c r="S146" s="133"/>
      <c r="T146" s="133"/>
      <c r="U146" s="133"/>
      <c r="V146" s="133"/>
      <c r="W146" s="133"/>
      <c r="X146" s="133"/>
      <c r="Y146" s="133"/>
      <c r="Z146" s="133"/>
      <c r="AJ146" s="285"/>
      <c r="AK146" s="285"/>
      <c r="AL146" s="285"/>
      <c r="AM146" s="285"/>
      <c r="AN146" s="285"/>
    </row>
    <row r="147" spans="1:40" x14ac:dyDescent="0.35">
      <c r="A147" s="286"/>
      <c r="B147" s="282"/>
      <c r="C147" s="282"/>
      <c r="D147" s="185">
        <f t="shared" ref="D147:I147" si="89">SUM(D128:D146)</f>
        <v>0</v>
      </c>
      <c r="E147" s="185">
        <f t="shared" si="89"/>
        <v>0</v>
      </c>
      <c r="F147" s="185">
        <f t="shared" si="89"/>
        <v>0</v>
      </c>
      <c r="G147" s="185">
        <f t="shared" si="89"/>
        <v>0</v>
      </c>
      <c r="H147" s="185">
        <f t="shared" si="89"/>
        <v>0</v>
      </c>
      <c r="I147" s="185">
        <f t="shared" si="89"/>
        <v>0</v>
      </c>
      <c r="J147" s="286"/>
      <c r="K147" s="286"/>
      <c r="L147" s="292">
        <f t="shared" ref="L147:Q147" si="90">SUM(L128:L146)</f>
        <v>0</v>
      </c>
      <c r="M147" s="292">
        <f t="shared" si="90"/>
        <v>0</v>
      </c>
      <c r="N147" s="292">
        <f t="shared" si="90"/>
        <v>0</v>
      </c>
      <c r="O147" s="292">
        <f t="shared" si="90"/>
        <v>0</v>
      </c>
      <c r="P147" s="292">
        <f t="shared" si="90"/>
        <v>0</v>
      </c>
      <c r="Q147" s="292">
        <f t="shared" si="90"/>
        <v>0</v>
      </c>
      <c r="S147" s="133"/>
      <c r="T147" s="133"/>
      <c r="U147" s="133"/>
      <c r="V147" s="133"/>
      <c r="W147" s="133"/>
      <c r="X147" s="133"/>
      <c r="Y147" s="133"/>
      <c r="Z147" s="133"/>
      <c r="AJ147" s="285"/>
      <c r="AK147" s="285"/>
      <c r="AL147" s="285"/>
      <c r="AM147" s="285"/>
      <c r="AN147" s="285"/>
    </row>
    <row r="148" spans="1:40" x14ac:dyDescent="0.35">
      <c r="A148" s="286"/>
      <c r="B148" s="282"/>
      <c r="C148" s="282"/>
      <c r="D148" s="284" t="s">
        <v>1002</v>
      </c>
      <c r="E148" s="185">
        <f>E147-$D$147</f>
        <v>0</v>
      </c>
      <c r="F148" s="185">
        <f>F147-$D$147</f>
        <v>0</v>
      </c>
      <c r="G148" s="185">
        <f>G147-$D$147</f>
        <v>0</v>
      </c>
      <c r="H148" s="185">
        <f>H147-$D$147</f>
        <v>0</v>
      </c>
      <c r="I148" s="185">
        <f>I147-$D$147</f>
        <v>0</v>
      </c>
      <c r="J148" s="286"/>
      <c r="K148" s="286"/>
      <c r="L148" s="542"/>
      <c r="M148" s="292">
        <f>M147-$L$147</f>
        <v>0</v>
      </c>
      <c r="N148" s="292">
        <f>N147-$L$147</f>
        <v>0</v>
      </c>
      <c r="O148" s="292">
        <f>O147-$L$147</f>
        <v>0</v>
      </c>
      <c r="P148" s="292">
        <f>P147-$L$147</f>
        <v>0</v>
      </c>
      <c r="Q148" s="292">
        <f>Q147-$L$147</f>
        <v>0</v>
      </c>
      <c r="S148" s="133"/>
      <c r="T148" s="133"/>
      <c r="U148" s="133"/>
      <c r="V148" s="133"/>
      <c r="W148" s="133"/>
      <c r="X148" s="133"/>
      <c r="Y148" s="133"/>
      <c r="Z148" s="133"/>
      <c r="AJ148" s="285"/>
      <c r="AK148" s="285"/>
      <c r="AL148" s="285"/>
      <c r="AM148" s="285"/>
      <c r="AN148" s="285"/>
    </row>
    <row r="149" spans="1:40" x14ac:dyDescent="0.35">
      <c r="A149" s="286"/>
      <c r="B149" s="323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S149" s="133"/>
      <c r="T149" s="133"/>
      <c r="U149" s="133"/>
      <c r="V149" s="133"/>
      <c r="W149" s="133"/>
      <c r="X149" s="133"/>
      <c r="Y149" s="133"/>
      <c r="Z149" s="133"/>
      <c r="AJ149" s="285"/>
      <c r="AK149" s="285"/>
      <c r="AL149" s="285"/>
      <c r="AM149" s="285"/>
      <c r="AN149" s="285"/>
    </row>
    <row r="150" spans="1:40" x14ac:dyDescent="0.35">
      <c r="A150" s="286"/>
      <c r="B150" s="389" t="s">
        <v>943</v>
      </c>
      <c r="C150" s="388"/>
      <c r="D150" s="388"/>
      <c r="E150" s="388"/>
      <c r="F150" s="388"/>
      <c r="G150" s="388"/>
      <c r="H150" s="388"/>
      <c r="I150" s="214"/>
      <c r="J150" s="429"/>
      <c r="K150" s="215"/>
      <c r="L150" s="428"/>
      <c r="M150" s="428"/>
      <c r="N150" s="428"/>
      <c r="O150" s="428"/>
      <c r="P150" s="428"/>
      <c r="Q150" s="428"/>
      <c r="V150" s="133"/>
      <c r="AJ150" s="285"/>
      <c r="AK150" s="285"/>
      <c r="AL150" s="285"/>
      <c r="AM150" s="285"/>
      <c r="AN150" s="285"/>
    </row>
    <row r="151" spans="1:40" ht="58" x14ac:dyDescent="0.35">
      <c r="A151" s="286"/>
      <c r="B151" s="281" t="s">
        <v>876</v>
      </c>
      <c r="C151" s="165" t="s">
        <v>776</v>
      </c>
      <c r="D151" s="421" t="s">
        <v>957</v>
      </c>
      <c r="E151" s="255" t="s">
        <v>685</v>
      </c>
      <c r="F151" s="255" t="s">
        <v>686</v>
      </c>
      <c r="G151" s="164" t="s">
        <v>914</v>
      </c>
      <c r="H151" s="164" t="s">
        <v>915</v>
      </c>
      <c r="I151" s="255" t="s">
        <v>916</v>
      </c>
      <c r="J151" s="286"/>
      <c r="K151" s="556" t="s">
        <v>969</v>
      </c>
      <c r="L151" s="421" t="s">
        <v>957</v>
      </c>
      <c r="M151" s="255" t="s">
        <v>685</v>
      </c>
      <c r="N151" s="255" t="s">
        <v>686</v>
      </c>
      <c r="O151" s="164" t="s">
        <v>914</v>
      </c>
      <c r="P151" s="164" t="s">
        <v>915</v>
      </c>
      <c r="Q151" s="255" t="s">
        <v>916</v>
      </c>
      <c r="V151" s="133"/>
      <c r="AJ151" s="285"/>
      <c r="AK151" s="285"/>
      <c r="AL151" s="285"/>
      <c r="AM151" s="285"/>
      <c r="AN151" s="285"/>
    </row>
    <row r="152" spans="1:40" x14ac:dyDescent="0.35">
      <c r="A152" s="286"/>
      <c r="B152" s="348" t="str">
        <f t="shared" ref="B152:B170" si="91">B128</f>
        <v>Ublituximab</v>
      </c>
      <c r="C152" s="149">
        <f>'Inputs and eligible population'!F$113</f>
        <v>60</v>
      </c>
      <c r="D152" s="128">
        <f>('Financial impact (cash)'!D13*$C152)/60</f>
        <v>0</v>
      </c>
      <c r="E152" s="128">
        <f>('Financial impact (cash)'!E13*$C152)/60</f>
        <v>0</v>
      </c>
      <c r="F152" s="128">
        <f>('Financial impact (cash)'!F13*$C152)/60</f>
        <v>0</v>
      </c>
      <c r="G152" s="128">
        <f>('Financial impact (cash)'!G13*$C152)/60</f>
        <v>0</v>
      </c>
      <c r="H152" s="128">
        <f>('Financial impact (cash)'!H13*$C152)/60</f>
        <v>0</v>
      </c>
      <c r="I152" s="128">
        <f>('Financial impact (cash)'!I13*$C152)/60</f>
        <v>0</v>
      </c>
      <c r="J152" s="286"/>
      <c r="K152" s="572">
        <f>'Inputs and eligible population'!$AA$113</f>
        <v>42.84</v>
      </c>
      <c r="L152" s="291">
        <f t="shared" ref="L152:Q152" si="92">(D152*$K152)/1000</f>
        <v>0</v>
      </c>
      <c r="M152" s="291">
        <f t="shared" si="92"/>
        <v>0</v>
      </c>
      <c r="N152" s="291">
        <f t="shared" si="92"/>
        <v>0</v>
      </c>
      <c r="O152" s="291">
        <f t="shared" si="92"/>
        <v>0</v>
      </c>
      <c r="P152" s="291">
        <f t="shared" si="92"/>
        <v>0</v>
      </c>
      <c r="Q152" s="291">
        <f t="shared" si="92"/>
        <v>0</v>
      </c>
      <c r="V152" s="133"/>
      <c r="AJ152" s="285"/>
      <c r="AK152" s="285"/>
      <c r="AL152" s="285"/>
      <c r="AM152" s="285"/>
      <c r="AN152" s="285"/>
    </row>
    <row r="153" spans="1:40" x14ac:dyDescent="0.35">
      <c r="A153" s="286"/>
      <c r="B153" s="348" t="str">
        <f t="shared" si="91"/>
        <v>Ocrelizumab IV</v>
      </c>
      <c r="C153" s="149">
        <f>'Inputs and eligible population'!G$113</f>
        <v>60</v>
      </c>
      <c r="D153" s="128">
        <f>('Financial impact (cash)'!D14*$C153)/60</f>
        <v>0</v>
      </c>
      <c r="E153" s="128">
        <f>('Financial impact (cash)'!E14*$C153)/60</f>
        <v>0</v>
      </c>
      <c r="F153" s="128">
        <f>('Financial impact (cash)'!F14*$C153)/60</f>
        <v>0</v>
      </c>
      <c r="G153" s="128">
        <f>('Financial impact (cash)'!G14*$C153)/60</f>
        <v>0</v>
      </c>
      <c r="H153" s="128">
        <f>('Financial impact (cash)'!H14*$C153)/60</f>
        <v>0</v>
      </c>
      <c r="I153" s="128">
        <f>('Financial impact (cash)'!I14*$C153)/60</f>
        <v>0</v>
      </c>
      <c r="J153" s="286"/>
      <c r="K153" s="572">
        <f>'Inputs and eligible population'!$AA$113</f>
        <v>42.84</v>
      </c>
      <c r="L153" s="291">
        <f>(D153*$K153)/1000</f>
        <v>0</v>
      </c>
      <c r="M153" s="291">
        <f t="shared" ref="M153:M170" si="93">(E153*$K153)/1000</f>
        <v>0</v>
      </c>
      <c r="N153" s="291">
        <f t="shared" ref="N153:N170" si="94">(F153*$K153)/1000</f>
        <v>0</v>
      </c>
      <c r="O153" s="291">
        <f t="shared" ref="O153:O170" si="95">(G153*$K153)/1000</f>
        <v>0</v>
      </c>
      <c r="P153" s="291">
        <f t="shared" ref="P153:P170" si="96">(H153*$K153)/1000</f>
        <v>0</v>
      </c>
      <c r="Q153" s="291">
        <f t="shared" ref="Q153:Q170" si="97">(I153*$K153)/1000</f>
        <v>0</v>
      </c>
      <c r="V153" s="133"/>
      <c r="AJ153" s="285"/>
      <c r="AK153" s="285"/>
      <c r="AL153" s="285"/>
      <c r="AM153" s="285"/>
      <c r="AN153" s="285"/>
    </row>
    <row r="154" spans="1:40" x14ac:dyDescent="0.35">
      <c r="A154" s="286"/>
      <c r="B154" s="348" t="str">
        <f t="shared" si="91"/>
        <v>Ocrelizumab SC</v>
      </c>
      <c r="C154" s="149">
        <f>'Inputs and eligible population'!H$113</f>
        <v>10</v>
      </c>
      <c r="D154" s="128">
        <f>('Financial impact (cash)'!D15*$C154)/60</f>
        <v>0</v>
      </c>
      <c r="E154" s="128">
        <f>('Financial impact (cash)'!E15*$C154)/60</f>
        <v>0</v>
      </c>
      <c r="F154" s="128">
        <f>('Financial impact (cash)'!F15*$C154)/60</f>
        <v>0</v>
      </c>
      <c r="G154" s="128">
        <f>('Financial impact (cash)'!G15*$C154)/60</f>
        <v>0</v>
      </c>
      <c r="H154" s="128">
        <f>('Financial impact (cash)'!H15*$C154)/60</f>
        <v>0</v>
      </c>
      <c r="I154" s="128">
        <f>('Financial impact (cash)'!I15*$C154)/60</f>
        <v>0</v>
      </c>
      <c r="J154" s="286"/>
      <c r="K154" s="572">
        <f>'Inputs and eligible population'!$AA$113</f>
        <v>42.84</v>
      </c>
      <c r="L154" s="291">
        <f t="shared" ref="L154" si="98">(D154*$K154)/1000</f>
        <v>0</v>
      </c>
      <c r="M154" s="291">
        <f t="shared" ref="M154" si="99">(E154*$K154)/1000</f>
        <v>0</v>
      </c>
      <c r="N154" s="291">
        <f t="shared" ref="N154" si="100">(F154*$K154)/1000</f>
        <v>0</v>
      </c>
      <c r="O154" s="291">
        <f t="shared" ref="O154" si="101">(G154*$K154)/1000</f>
        <v>0</v>
      </c>
      <c r="P154" s="291">
        <f t="shared" ref="P154" si="102">(H154*$K154)/1000</f>
        <v>0</v>
      </c>
      <c r="Q154" s="291">
        <f t="shared" ref="Q154" si="103">(I154*$K154)/1000</f>
        <v>0</v>
      </c>
      <c r="V154" s="133"/>
      <c r="AJ154" s="285"/>
      <c r="AK154" s="285"/>
      <c r="AL154" s="285"/>
      <c r="AM154" s="285"/>
      <c r="AN154" s="285"/>
    </row>
    <row r="155" spans="1:40" x14ac:dyDescent="0.35">
      <c r="A155" s="286"/>
      <c r="B155" s="348" t="str">
        <f t="shared" si="91"/>
        <v>Ofatumumab SC</v>
      </c>
      <c r="C155" s="149">
        <f>'Inputs and eligible population'!I$113</f>
        <v>0</v>
      </c>
      <c r="D155" s="128">
        <f>('Financial impact (cash)'!D16*$C155)/60</f>
        <v>0</v>
      </c>
      <c r="E155" s="128">
        <f>('Financial impact (cash)'!E16*$C155)/60</f>
        <v>0</v>
      </c>
      <c r="F155" s="128">
        <f>('Financial impact (cash)'!F16*$C155)/60</f>
        <v>0</v>
      </c>
      <c r="G155" s="128">
        <f>('Financial impact (cash)'!G16*$C155)/60</f>
        <v>0</v>
      </c>
      <c r="H155" s="128">
        <f>('Financial impact (cash)'!H16*$C155)/60</f>
        <v>0</v>
      </c>
      <c r="I155" s="128">
        <f>('Financial impact (cash)'!I16*$C155)/60</f>
        <v>0</v>
      </c>
      <c r="J155" s="286"/>
      <c r="K155" s="572">
        <f>'Inputs and eligible population'!$AA$113</f>
        <v>42.84</v>
      </c>
      <c r="L155" s="291">
        <f t="shared" ref="L155:L170" si="104">(D155*$K155)/1000</f>
        <v>0</v>
      </c>
      <c r="M155" s="291">
        <f t="shared" si="93"/>
        <v>0</v>
      </c>
      <c r="N155" s="291">
        <f t="shared" si="94"/>
        <v>0</v>
      </c>
      <c r="O155" s="291">
        <f t="shared" si="95"/>
        <v>0</v>
      </c>
      <c r="P155" s="291">
        <f t="shared" si="96"/>
        <v>0</v>
      </c>
      <c r="Q155" s="291">
        <f t="shared" si="97"/>
        <v>0</v>
      </c>
      <c r="V155" s="133"/>
      <c r="AJ155" s="285"/>
      <c r="AK155" s="285"/>
      <c r="AL155" s="285"/>
      <c r="AM155" s="285"/>
      <c r="AN155" s="285"/>
    </row>
    <row r="156" spans="1:40" x14ac:dyDescent="0.35">
      <c r="A156" s="286"/>
      <c r="B156" s="348" t="str">
        <f t="shared" si="91"/>
        <v xml:space="preserve">Ponesimod </v>
      </c>
      <c r="C156" s="149">
        <f>'Inputs and eligible population'!J$113</f>
        <v>0</v>
      </c>
      <c r="D156" s="128">
        <f>('Financial impact (cash)'!D17*$C156)/60</f>
        <v>0</v>
      </c>
      <c r="E156" s="128">
        <f>('Financial impact (cash)'!E17*$C156)/60</f>
        <v>0</v>
      </c>
      <c r="F156" s="128">
        <f>('Financial impact (cash)'!F17*$C156)/60</f>
        <v>0</v>
      </c>
      <c r="G156" s="128">
        <f>('Financial impact (cash)'!G17*$C156)/60</f>
        <v>0</v>
      </c>
      <c r="H156" s="128">
        <f>('Financial impact (cash)'!H17*$C156)/60</f>
        <v>0</v>
      </c>
      <c r="I156" s="128">
        <f>('Financial impact (cash)'!I17*$C156)/60</f>
        <v>0</v>
      </c>
      <c r="J156" s="286"/>
      <c r="K156" s="572">
        <f>'Inputs and eligible population'!$AA$113</f>
        <v>42.84</v>
      </c>
      <c r="L156" s="291">
        <f t="shared" si="104"/>
        <v>0</v>
      </c>
      <c r="M156" s="291">
        <f t="shared" si="93"/>
        <v>0</v>
      </c>
      <c r="N156" s="291">
        <f t="shared" si="94"/>
        <v>0</v>
      </c>
      <c r="O156" s="291">
        <f t="shared" si="95"/>
        <v>0</v>
      </c>
      <c r="P156" s="291">
        <f t="shared" si="96"/>
        <v>0</v>
      </c>
      <c r="Q156" s="291">
        <f t="shared" si="97"/>
        <v>0</v>
      </c>
      <c r="V156" s="133"/>
      <c r="AJ156" s="285"/>
      <c r="AK156" s="285"/>
      <c r="AL156" s="285"/>
      <c r="AM156" s="285"/>
      <c r="AN156" s="285"/>
    </row>
    <row r="157" spans="1:40" x14ac:dyDescent="0.35">
      <c r="A157" s="286"/>
      <c r="B157" s="348" t="str">
        <f t="shared" si="91"/>
        <v>Alemtuzumab</v>
      </c>
      <c r="C157" s="149">
        <f>'Inputs and eligible population'!K$113</f>
        <v>30</v>
      </c>
      <c r="D157" s="128">
        <f>('Financial impact (cash)'!D18*$C157)/60</f>
        <v>0</v>
      </c>
      <c r="E157" s="128">
        <f>('Financial impact (cash)'!E18*$C157)/60</f>
        <v>0</v>
      </c>
      <c r="F157" s="128">
        <f>('Financial impact (cash)'!F18*$C157)/60</f>
        <v>0</v>
      </c>
      <c r="G157" s="128">
        <f>('Financial impact (cash)'!G18*$C157)/60</f>
        <v>0</v>
      </c>
      <c r="H157" s="128">
        <f>('Financial impact (cash)'!H18*$C157)/60</f>
        <v>0</v>
      </c>
      <c r="I157" s="128">
        <f>('Financial impact (cash)'!I18*$C157)/60</f>
        <v>0</v>
      </c>
      <c r="J157" s="286"/>
      <c r="K157" s="572">
        <f>'Inputs and eligible population'!$AA$113</f>
        <v>42.84</v>
      </c>
      <c r="L157" s="291">
        <f t="shared" si="104"/>
        <v>0</v>
      </c>
      <c r="M157" s="291">
        <f t="shared" si="93"/>
        <v>0</v>
      </c>
      <c r="N157" s="291">
        <f t="shared" si="94"/>
        <v>0</v>
      </c>
      <c r="O157" s="291">
        <f t="shared" si="95"/>
        <v>0</v>
      </c>
      <c r="P157" s="291">
        <f t="shared" si="96"/>
        <v>0</v>
      </c>
      <c r="Q157" s="291">
        <f t="shared" si="97"/>
        <v>0</v>
      </c>
      <c r="V157" s="133"/>
      <c r="AJ157" s="285"/>
      <c r="AK157" s="285"/>
      <c r="AL157" s="285"/>
      <c r="AM157" s="285"/>
      <c r="AN157" s="285"/>
    </row>
    <row r="158" spans="1:40" x14ac:dyDescent="0.35">
      <c r="A158" s="286"/>
      <c r="B158" s="348" t="str">
        <f t="shared" si="91"/>
        <v>Cladribine</v>
      </c>
      <c r="C158" s="149">
        <f>'Inputs and eligible population'!L$113</f>
        <v>0</v>
      </c>
      <c r="D158" s="128">
        <f>('Financial impact (cash)'!D19*$C158)/60</f>
        <v>0</v>
      </c>
      <c r="E158" s="128">
        <f>('Financial impact (cash)'!E19*$C158)/60</f>
        <v>0</v>
      </c>
      <c r="F158" s="128">
        <f>('Financial impact (cash)'!F19*$C158)/60</f>
        <v>0</v>
      </c>
      <c r="G158" s="128">
        <f>('Financial impact (cash)'!G19*$C158)/60</f>
        <v>0</v>
      </c>
      <c r="H158" s="128">
        <f>('Financial impact (cash)'!H19*$C158)/60</f>
        <v>0</v>
      </c>
      <c r="I158" s="128">
        <f>('Financial impact (cash)'!I19*$C158)/60</f>
        <v>0</v>
      </c>
      <c r="J158" s="286"/>
      <c r="K158" s="572">
        <f>'Inputs and eligible population'!$AA$113</f>
        <v>42.84</v>
      </c>
      <c r="L158" s="291">
        <f t="shared" ref="L158" si="105">(D158*$K158)/1000</f>
        <v>0</v>
      </c>
      <c r="M158" s="291">
        <f t="shared" ref="M158" si="106">(E158*$K158)/1000</f>
        <v>0</v>
      </c>
      <c r="N158" s="291">
        <f t="shared" ref="N158" si="107">(F158*$K158)/1000</f>
        <v>0</v>
      </c>
      <c r="O158" s="291">
        <f t="shared" ref="O158" si="108">(G158*$K158)/1000</f>
        <v>0</v>
      </c>
      <c r="P158" s="291">
        <f t="shared" ref="P158" si="109">(H158*$K158)/1000</f>
        <v>0</v>
      </c>
      <c r="Q158" s="291">
        <f t="shared" ref="Q158" si="110">(I158*$K158)/1000</f>
        <v>0</v>
      </c>
      <c r="V158" s="133"/>
      <c r="AJ158" s="285"/>
      <c r="AK158" s="285"/>
      <c r="AL158" s="285"/>
      <c r="AM158" s="285"/>
      <c r="AN158" s="285"/>
    </row>
    <row r="159" spans="1:40" x14ac:dyDescent="0.35">
      <c r="A159" s="286"/>
      <c r="B159" s="348" t="str">
        <f t="shared" si="91"/>
        <v>Dimethyl fumarate</v>
      </c>
      <c r="C159" s="149">
        <f>'Inputs and eligible population'!M$113</f>
        <v>0</v>
      </c>
      <c r="D159" s="128">
        <f>('Financial impact (cash)'!D20*$C159)/60</f>
        <v>0</v>
      </c>
      <c r="E159" s="128">
        <f>('Financial impact (cash)'!E20*$C159)/60</f>
        <v>0</v>
      </c>
      <c r="F159" s="128">
        <f>('Financial impact (cash)'!F20*$C159)/60</f>
        <v>0</v>
      </c>
      <c r="G159" s="128">
        <f>('Financial impact (cash)'!G20*$C159)/60</f>
        <v>0</v>
      </c>
      <c r="H159" s="128">
        <f>('Financial impact (cash)'!H20*$C159)/60</f>
        <v>0</v>
      </c>
      <c r="I159" s="128">
        <f>('Financial impact (cash)'!I20*$C159)/60</f>
        <v>0</v>
      </c>
      <c r="J159" s="286"/>
      <c r="K159" s="572">
        <f>'Inputs and eligible population'!$AA$113</f>
        <v>42.84</v>
      </c>
      <c r="L159" s="291">
        <f t="shared" si="104"/>
        <v>0</v>
      </c>
      <c r="M159" s="291">
        <f t="shared" si="93"/>
        <v>0</v>
      </c>
      <c r="N159" s="291">
        <f t="shared" si="94"/>
        <v>0</v>
      </c>
      <c r="O159" s="291">
        <f t="shared" si="95"/>
        <v>0</v>
      </c>
      <c r="P159" s="291">
        <f t="shared" si="96"/>
        <v>0</v>
      </c>
      <c r="Q159" s="291">
        <f t="shared" si="97"/>
        <v>0</v>
      </c>
      <c r="V159" s="133"/>
      <c r="AJ159" s="285"/>
      <c r="AK159" s="285"/>
      <c r="AL159" s="285"/>
      <c r="AM159" s="285"/>
      <c r="AN159" s="285"/>
    </row>
    <row r="160" spans="1:40" x14ac:dyDescent="0.35">
      <c r="A160" s="286"/>
      <c r="B160" s="348" t="str">
        <f t="shared" si="91"/>
        <v>Diroximel fumarate</v>
      </c>
      <c r="C160" s="149">
        <f>'Inputs and eligible population'!N$113</f>
        <v>0</v>
      </c>
      <c r="D160" s="128">
        <f>('Financial impact (cash)'!D21*$C160)/60</f>
        <v>0</v>
      </c>
      <c r="E160" s="128">
        <f>('Financial impact (cash)'!E21*$C160)/60</f>
        <v>0</v>
      </c>
      <c r="F160" s="128">
        <f>('Financial impact (cash)'!F21*$C160)/60</f>
        <v>0</v>
      </c>
      <c r="G160" s="128">
        <f>('Financial impact (cash)'!G21*$C160)/60</f>
        <v>0</v>
      </c>
      <c r="H160" s="128">
        <f>('Financial impact (cash)'!H21*$C160)/60</f>
        <v>0</v>
      </c>
      <c r="I160" s="128">
        <f>('Financial impact (cash)'!I21*$C160)/60</f>
        <v>0</v>
      </c>
      <c r="J160" s="286"/>
      <c r="K160" s="572">
        <f>'Inputs and eligible population'!$AA$113</f>
        <v>42.84</v>
      </c>
      <c r="L160" s="291">
        <f t="shared" si="104"/>
        <v>0</v>
      </c>
      <c r="M160" s="291">
        <f t="shared" si="93"/>
        <v>0</v>
      </c>
      <c r="N160" s="291">
        <f t="shared" si="94"/>
        <v>0</v>
      </c>
      <c r="O160" s="291">
        <f t="shared" si="95"/>
        <v>0</v>
      </c>
      <c r="P160" s="291">
        <f t="shared" si="96"/>
        <v>0</v>
      </c>
      <c r="Q160" s="291">
        <f t="shared" si="97"/>
        <v>0</v>
      </c>
      <c r="V160" s="133"/>
      <c r="AJ160" s="285"/>
      <c r="AK160" s="285"/>
      <c r="AL160" s="285"/>
      <c r="AM160" s="285"/>
      <c r="AN160" s="285"/>
    </row>
    <row r="161" spans="1:40" x14ac:dyDescent="0.35">
      <c r="A161" s="286"/>
      <c r="B161" s="348" t="str">
        <f t="shared" si="91"/>
        <v>Fingolimod</v>
      </c>
      <c r="C161" s="149">
        <f>'Inputs and eligible population'!O$113</f>
        <v>0</v>
      </c>
      <c r="D161" s="128">
        <f>('Financial impact (cash)'!D22*$C161)/60</f>
        <v>0</v>
      </c>
      <c r="E161" s="128">
        <f>('Financial impact (cash)'!E22*$C161)/60</f>
        <v>0</v>
      </c>
      <c r="F161" s="128">
        <f>('Financial impact (cash)'!F22*$C161)/60</f>
        <v>0</v>
      </c>
      <c r="G161" s="128">
        <f>('Financial impact (cash)'!G22*$C161)/60</f>
        <v>0</v>
      </c>
      <c r="H161" s="128">
        <f>('Financial impact (cash)'!H22*$C161)/60</f>
        <v>0</v>
      </c>
      <c r="I161" s="128">
        <f>('Financial impact (cash)'!I22*$C161)/60</f>
        <v>0</v>
      </c>
      <c r="J161" s="286"/>
      <c r="K161" s="572">
        <f>'Inputs and eligible population'!$AA$113</f>
        <v>42.84</v>
      </c>
      <c r="L161" s="291">
        <f t="shared" si="104"/>
        <v>0</v>
      </c>
      <c r="M161" s="291">
        <f t="shared" si="93"/>
        <v>0</v>
      </c>
      <c r="N161" s="291">
        <f t="shared" si="94"/>
        <v>0</v>
      </c>
      <c r="O161" s="291">
        <f t="shared" si="95"/>
        <v>0</v>
      </c>
      <c r="P161" s="291">
        <f t="shared" si="96"/>
        <v>0</v>
      </c>
      <c r="Q161" s="291">
        <f t="shared" si="97"/>
        <v>0</v>
      </c>
      <c r="V161" s="133"/>
      <c r="AJ161" s="285"/>
      <c r="AK161" s="285"/>
      <c r="AL161" s="285"/>
      <c r="AM161" s="285"/>
      <c r="AN161" s="285"/>
    </row>
    <row r="162" spans="1:40" x14ac:dyDescent="0.35">
      <c r="A162" s="286"/>
      <c r="B162" s="348" t="str">
        <f t="shared" si="91"/>
        <v>Glatiramer acetate</v>
      </c>
      <c r="C162" s="149">
        <f>'Inputs and eligible population'!P$113</f>
        <v>0</v>
      </c>
      <c r="D162" s="128">
        <f>('Financial impact (cash)'!D23*$C162)/60</f>
        <v>0</v>
      </c>
      <c r="E162" s="128">
        <f>('Financial impact (cash)'!E23*$C162)/60</f>
        <v>0</v>
      </c>
      <c r="F162" s="128">
        <f>('Financial impact (cash)'!F23*$C162)/60</f>
        <v>0</v>
      </c>
      <c r="G162" s="128">
        <f>('Financial impact (cash)'!G23*$C162)/60</f>
        <v>0</v>
      </c>
      <c r="H162" s="128">
        <f>('Financial impact (cash)'!H23*$C162)/60</f>
        <v>0</v>
      </c>
      <c r="I162" s="128">
        <f>('Financial impact (cash)'!I23*$C162)/60</f>
        <v>0</v>
      </c>
      <c r="J162" s="286"/>
      <c r="K162" s="572">
        <f>'Inputs and eligible population'!$AA$113</f>
        <v>42.84</v>
      </c>
      <c r="L162" s="291">
        <f t="shared" si="104"/>
        <v>0</v>
      </c>
      <c r="M162" s="291">
        <f t="shared" si="93"/>
        <v>0</v>
      </c>
      <c r="N162" s="291">
        <f t="shared" si="94"/>
        <v>0</v>
      </c>
      <c r="O162" s="291">
        <f t="shared" si="95"/>
        <v>0</v>
      </c>
      <c r="P162" s="291">
        <f t="shared" si="96"/>
        <v>0</v>
      </c>
      <c r="Q162" s="291">
        <f t="shared" si="97"/>
        <v>0</v>
      </c>
      <c r="V162" s="133"/>
      <c r="AJ162" s="285"/>
      <c r="AK162" s="285"/>
      <c r="AL162" s="285"/>
      <c r="AM162" s="285"/>
      <c r="AN162" s="285"/>
    </row>
    <row r="163" spans="1:40" x14ac:dyDescent="0.35">
      <c r="A163" s="286"/>
      <c r="B163" s="348" t="str">
        <f t="shared" si="91"/>
        <v>Interferon beta-1a 22 mcg</v>
      </c>
      <c r="C163" s="149">
        <f>'Inputs and eligible population'!Q$113</f>
        <v>0</v>
      </c>
      <c r="D163" s="128">
        <f>('Financial impact (cash)'!D24*$C163)/60</f>
        <v>0</v>
      </c>
      <c r="E163" s="128">
        <f>('Financial impact (cash)'!E24*$C163)/60</f>
        <v>0</v>
      </c>
      <c r="F163" s="128">
        <f>('Financial impact (cash)'!F24*$C163)/60</f>
        <v>0</v>
      </c>
      <c r="G163" s="128">
        <f>('Financial impact (cash)'!G24*$C163)/60</f>
        <v>0</v>
      </c>
      <c r="H163" s="128">
        <f>('Financial impact (cash)'!H24*$C163)/60</f>
        <v>0</v>
      </c>
      <c r="I163" s="128">
        <f>('Financial impact (cash)'!I24*$C163)/60</f>
        <v>0</v>
      </c>
      <c r="J163" s="286"/>
      <c r="K163" s="572">
        <f>'Inputs and eligible population'!$AA$113</f>
        <v>42.84</v>
      </c>
      <c r="L163" s="291">
        <f t="shared" si="104"/>
        <v>0</v>
      </c>
      <c r="M163" s="291">
        <f t="shared" si="93"/>
        <v>0</v>
      </c>
      <c r="N163" s="291">
        <f t="shared" si="94"/>
        <v>0</v>
      </c>
      <c r="O163" s="291">
        <f t="shared" si="95"/>
        <v>0</v>
      </c>
      <c r="P163" s="291">
        <f t="shared" si="96"/>
        <v>0</v>
      </c>
      <c r="Q163" s="291">
        <f t="shared" si="97"/>
        <v>0</v>
      </c>
      <c r="V163" s="133"/>
      <c r="AJ163" s="285"/>
      <c r="AK163" s="285"/>
      <c r="AL163" s="285"/>
      <c r="AM163" s="285"/>
      <c r="AN163" s="285"/>
    </row>
    <row r="164" spans="1:40" x14ac:dyDescent="0.35">
      <c r="A164" s="286"/>
      <c r="B164" s="348" t="str">
        <f t="shared" si="91"/>
        <v>Interferon beta-1a 30 mcg</v>
      </c>
      <c r="C164" s="149">
        <f>'Inputs and eligible population'!R$113</f>
        <v>0</v>
      </c>
      <c r="D164" s="128">
        <f>('Financial impact (cash)'!D25*$C164)/60</f>
        <v>0</v>
      </c>
      <c r="E164" s="128">
        <f>('Financial impact (cash)'!E25*$C164)/60</f>
        <v>0</v>
      </c>
      <c r="F164" s="128">
        <f>('Financial impact (cash)'!F25*$C164)/60</f>
        <v>0</v>
      </c>
      <c r="G164" s="128">
        <f>('Financial impact (cash)'!G25*$C164)/60</f>
        <v>0</v>
      </c>
      <c r="H164" s="128">
        <f>('Financial impact (cash)'!H25*$C164)/60</f>
        <v>0</v>
      </c>
      <c r="I164" s="128">
        <f>('Financial impact (cash)'!I25*$C164)/60</f>
        <v>0</v>
      </c>
      <c r="J164" s="286"/>
      <c r="K164" s="572">
        <f>'Inputs and eligible population'!$AA$113</f>
        <v>42.84</v>
      </c>
      <c r="L164" s="291">
        <f t="shared" si="104"/>
        <v>0</v>
      </c>
      <c r="M164" s="291">
        <f t="shared" si="93"/>
        <v>0</v>
      </c>
      <c r="N164" s="291">
        <f t="shared" si="94"/>
        <v>0</v>
      </c>
      <c r="O164" s="291">
        <f t="shared" si="95"/>
        <v>0</v>
      </c>
      <c r="P164" s="291">
        <f t="shared" si="96"/>
        <v>0</v>
      </c>
      <c r="Q164" s="291">
        <f t="shared" si="97"/>
        <v>0</v>
      </c>
      <c r="V164" s="133"/>
      <c r="AJ164" s="285"/>
      <c r="AK164" s="285"/>
      <c r="AL164" s="285"/>
      <c r="AM164" s="285"/>
      <c r="AN164" s="285"/>
    </row>
    <row r="165" spans="1:40" x14ac:dyDescent="0.35">
      <c r="A165" s="286"/>
      <c r="B165" s="348" t="str">
        <f t="shared" si="91"/>
        <v>Interferon beta-1a 44mcg SC</v>
      </c>
      <c r="C165" s="149">
        <f>'Inputs and eligible population'!S$113</f>
        <v>0</v>
      </c>
      <c r="D165" s="128">
        <f>('Financial impact (cash)'!D26*$C165)/60</f>
        <v>0</v>
      </c>
      <c r="E165" s="128">
        <f>('Financial impact (cash)'!E26*$C165)/60</f>
        <v>0</v>
      </c>
      <c r="F165" s="128">
        <f>('Financial impact (cash)'!F26*$C165)/60</f>
        <v>0</v>
      </c>
      <c r="G165" s="128">
        <f>('Financial impact (cash)'!G26*$C165)/60</f>
        <v>0</v>
      </c>
      <c r="H165" s="128">
        <f>('Financial impact (cash)'!H26*$C165)/60</f>
        <v>0</v>
      </c>
      <c r="I165" s="128">
        <f>('Financial impact (cash)'!I26*$C165)/60</f>
        <v>0</v>
      </c>
      <c r="J165" s="286"/>
      <c r="K165" s="572">
        <f>'Inputs and eligible population'!$AA$113</f>
        <v>42.84</v>
      </c>
      <c r="L165" s="291">
        <f t="shared" si="104"/>
        <v>0</v>
      </c>
      <c r="M165" s="291">
        <f t="shared" si="93"/>
        <v>0</v>
      </c>
      <c r="N165" s="291">
        <f t="shared" si="94"/>
        <v>0</v>
      </c>
      <c r="O165" s="291">
        <f t="shared" si="95"/>
        <v>0</v>
      </c>
      <c r="P165" s="291">
        <f t="shared" si="96"/>
        <v>0</v>
      </c>
      <c r="Q165" s="291">
        <f t="shared" si="97"/>
        <v>0</v>
      </c>
      <c r="V165" s="133"/>
      <c r="AJ165" s="285"/>
      <c r="AK165" s="285"/>
      <c r="AL165" s="285"/>
      <c r="AM165" s="285"/>
      <c r="AN165" s="285"/>
    </row>
    <row r="166" spans="1:40" x14ac:dyDescent="0.35">
      <c r="A166" s="286"/>
      <c r="B166" s="348" t="str">
        <f t="shared" si="91"/>
        <v>Interferon beta-1b 250mcg SC</v>
      </c>
      <c r="C166" s="149">
        <f>'Inputs and eligible population'!T$113</f>
        <v>0</v>
      </c>
      <c r="D166" s="128">
        <f>('Financial impact (cash)'!D27*$C166)/60</f>
        <v>0</v>
      </c>
      <c r="E166" s="128">
        <f>('Financial impact (cash)'!E27*$C166)/60</f>
        <v>0</v>
      </c>
      <c r="F166" s="128">
        <f>('Financial impact (cash)'!F27*$C166)/60</f>
        <v>0</v>
      </c>
      <c r="G166" s="128">
        <f>('Financial impact (cash)'!G27*$C166)/60</f>
        <v>0</v>
      </c>
      <c r="H166" s="128">
        <f>('Financial impact (cash)'!H27*$C166)/60</f>
        <v>0</v>
      </c>
      <c r="I166" s="128">
        <f>('Financial impact (cash)'!I27*$C166)/60</f>
        <v>0</v>
      </c>
      <c r="J166" s="286"/>
      <c r="K166" s="572">
        <f>'Inputs and eligible population'!$AA$113</f>
        <v>42.84</v>
      </c>
      <c r="L166" s="291">
        <f t="shared" si="104"/>
        <v>0</v>
      </c>
      <c r="M166" s="291">
        <f t="shared" si="93"/>
        <v>0</v>
      </c>
      <c r="N166" s="291">
        <f t="shared" si="94"/>
        <v>0</v>
      </c>
      <c r="O166" s="291">
        <f t="shared" si="95"/>
        <v>0</v>
      </c>
      <c r="P166" s="291">
        <f t="shared" si="96"/>
        <v>0</v>
      </c>
      <c r="Q166" s="291">
        <f t="shared" si="97"/>
        <v>0</v>
      </c>
      <c r="V166" s="133"/>
      <c r="AJ166" s="285"/>
      <c r="AK166" s="285"/>
      <c r="AL166" s="285"/>
      <c r="AM166" s="285"/>
      <c r="AN166" s="285"/>
    </row>
    <row r="167" spans="1:40" x14ac:dyDescent="0.35">
      <c r="A167" s="286"/>
      <c r="B167" s="348" t="str">
        <f t="shared" si="91"/>
        <v>Natalizumab</v>
      </c>
      <c r="C167" s="149">
        <f>'Inputs and eligible population'!U$113</f>
        <v>30</v>
      </c>
      <c r="D167" s="128">
        <f>('Financial impact (cash)'!D28*$C167)/60</f>
        <v>0</v>
      </c>
      <c r="E167" s="128">
        <f>('Financial impact (cash)'!E28*$C167)/60</f>
        <v>0</v>
      </c>
      <c r="F167" s="128">
        <f>('Financial impact (cash)'!F28*$C167)/60</f>
        <v>0</v>
      </c>
      <c r="G167" s="128">
        <f>('Financial impact (cash)'!G28*$C167)/60</f>
        <v>0</v>
      </c>
      <c r="H167" s="128">
        <f>('Financial impact (cash)'!H28*$C167)/60</f>
        <v>0</v>
      </c>
      <c r="I167" s="128">
        <f>('Financial impact (cash)'!I28*$C167)/60</f>
        <v>0</v>
      </c>
      <c r="J167" s="286"/>
      <c r="K167" s="572">
        <f>'Inputs and eligible population'!$AA$113</f>
        <v>42.84</v>
      </c>
      <c r="L167" s="291">
        <f t="shared" si="104"/>
        <v>0</v>
      </c>
      <c r="M167" s="291">
        <f t="shared" si="93"/>
        <v>0</v>
      </c>
      <c r="N167" s="291">
        <f t="shared" si="94"/>
        <v>0</v>
      </c>
      <c r="O167" s="291">
        <f t="shared" si="95"/>
        <v>0</v>
      </c>
      <c r="P167" s="291">
        <f t="shared" si="96"/>
        <v>0</v>
      </c>
      <c r="Q167" s="291">
        <f t="shared" si="97"/>
        <v>0</v>
      </c>
      <c r="V167" s="133"/>
      <c r="AJ167" s="285"/>
      <c r="AK167" s="285"/>
      <c r="AL167" s="285"/>
      <c r="AM167" s="285"/>
      <c r="AN167" s="285"/>
    </row>
    <row r="168" spans="1:40" x14ac:dyDescent="0.35">
      <c r="A168" s="286"/>
      <c r="B168" s="348" t="str">
        <f t="shared" si="91"/>
        <v>Peginterferon beta-1a</v>
      </c>
      <c r="C168" s="149">
        <f>'Inputs and eligible population'!V$113</f>
        <v>0</v>
      </c>
      <c r="D168" s="128">
        <f>('Financial impact (cash)'!D29*$C168)/60</f>
        <v>0</v>
      </c>
      <c r="E168" s="128">
        <f>('Financial impact (cash)'!E29*$C168)/60</f>
        <v>0</v>
      </c>
      <c r="F168" s="128">
        <f>('Financial impact (cash)'!F29*$C168)/60</f>
        <v>0</v>
      </c>
      <c r="G168" s="128">
        <f>('Financial impact (cash)'!G29*$C168)/60</f>
        <v>0</v>
      </c>
      <c r="H168" s="128">
        <f>('Financial impact (cash)'!H29*$C168)/60</f>
        <v>0</v>
      </c>
      <c r="I168" s="128">
        <f>('Financial impact (cash)'!I29*$C168)/60</f>
        <v>0</v>
      </c>
      <c r="J168" s="286"/>
      <c r="K168" s="572">
        <f>'Inputs and eligible population'!$AA$113</f>
        <v>42.84</v>
      </c>
      <c r="L168" s="291">
        <f t="shared" si="104"/>
        <v>0</v>
      </c>
      <c r="M168" s="291">
        <f t="shared" si="93"/>
        <v>0</v>
      </c>
      <c r="N168" s="291">
        <f t="shared" si="94"/>
        <v>0</v>
      </c>
      <c r="O168" s="291">
        <f t="shared" si="95"/>
        <v>0</v>
      </c>
      <c r="P168" s="291">
        <f t="shared" si="96"/>
        <v>0</v>
      </c>
      <c r="Q168" s="291">
        <f t="shared" si="97"/>
        <v>0</v>
      </c>
      <c r="V168" s="133"/>
      <c r="AJ168" s="285"/>
      <c r="AK168" s="285"/>
      <c r="AL168" s="285"/>
      <c r="AM168" s="285"/>
      <c r="AN168" s="285"/>
    </row>
    <row r="169" spans="1:40" x14ac:dyDescent="0.35">
      <c r="A169" s="286"/>
      <c r="B169" s="348" t="str">
        <f t="shared" si="91"/>
        <v>Teriflunomide</v>
      </c>
      <c r="C169" s="149">
        <f>'Inputs and eligible population'!W$113</f>
        <v>0</v>
      </c>
      <c r="D169" s="128">
        <f>('Financial impact (cash)'!D30*$C169)/60</f>
        <v>0</v>
      </c>
      <c r="E169" s="128">
        <f>('Financial impact (cash)'!E30*$C169)/60</f>
        <v>0</v>
      </c>
      <c r="F169" s="128">
        <f>('Financial impact (cash)'!F30*$C169)/60</f>
        <v>0</v>
      </c>
      <c r="G169" s="128">
        <f>('Financial impact (cash)'!G30*$C169)/60</f>
        <v>0</v>
      </c>
      <c r="H169" s="128">
        <f>('Financial impact (cash)'!H30*$C169)/60</f>
        <v>0</v>
      </c>
      <c r="I169" s="128">
        <f>('Financial impact (cash)'!I30*$C169)/60</f>
        <v>0</v>
      </c>
      <c r="J169" s="286"/>
      <c r="K169" s="572">
        <f>'Inputs and eligible population'!$AA$113</f>
        <v>42.84</v>
      </c>
      <c r="L169" s="291">
        <f t="shared" si="104"/>
        <v>0</v>
      </c>
      <c r="M169" s="291">
        <f t="shared" si="93"/>
        <v>0</v>
      </c>
      <c r="N169" s="291">
        <f t="shared" si="94"/>
        <v>0</v>
      </c>
      <c r="O169" s="291">
        <f t="shared" si="95"/>
        <v>0</v>
      </c>
      <c r="P169" s="291">
        <f t="shared" si="96"/>
        <v>0</v>
      </c>
      <c r="Q169" s="291">
        <f t="shared" si="97"/>
        <v>0</v>
      </c>
      <c r="V169" s="133"/>
      <c r="AJ169" s="285"/>
      <c r="AK169" s="285"/>
      <c r="AL169" s="285"/>
      <c r="AM169" s="285"/>
      <c r="AN169" s="285"/>
    </row>
    <row r="170" spans="1:40" x14ac:dyDescent="0.35">
      <c r="A170" s="286"/>
      <c r="B170" s="348" t="str">
        <f t="shared" si="91"/>
        <v>Best supportive care</v>
      </c>
      <c r="C170" s="149">
        <f>'Inputs and eligible population'!X$113</f>
        <v>0</v>
      </c>
      <c r="D170" s="128">
        <f>('Financial impact (cash)'!D31*$C170)/60</f>
        <v>0</v>
      </c>
      <c r="E170" s="128">
        <f>('Financial impact (cash)'!E31*$C170)/60</f>
        <v>0</v>
      </c>
      <c r="F170" s="128">
        <f>('Financial impact (cash)'!F31*$C170)/60</f>
        <v>0</v>
      </c>
      <c r="G170" s="128">
        <f>('Financial impact (cash)'!G31*$C170)/60</f>
        <v>0</v>
      </c>
      <c r="H170" s="128">
        <f>('Financial impact (cash)'!H31*$C170)/60</f>
        <v>0</v>
      </c>
      <c r="I170" s="128">
        <f>('Financial impact (cash)'!I31*$C170)/60</f>
        <v>0</v>
      </c>
      <c r="J170" s="286"/>
      <c r="K170" s="572">
        <f>'Inputs and eligible population'!$AA$113</f>
        <v>42.84</v>
      </c>
      <c r="L170" s="291">
        <f t="shared" si="104"/>
        <v>0</v>
      </c>
      <c r="M170" s="291">
        <f t="shared" si="93"/>
        <v>0</v>
      </c>
      <c r="N170" s="291">
        <f t="shared" si="94"/>
        <v>0</v>
      </c>
      <c r="O170" s="291">
        <f t="shared" si="95"/>
        <v>0</v>
      </c>
      <c r="P170" s="291">
        <f t="shared" si="96"/>
        <v>0</v>
      </c>
      <c r="Q170" s="291">
        <f t="shared" si="97"/>
        <v>0</v>
      </c>
      <c r="V170" s="133"/>
      <c r="AJ170" s="285"/>
      <c r="AK170" s="285"/>
      <c r="AL170" s="285"/>
      <c r="AM170" s="285"/>
      <c r="AN170" s="285"/>
    </row>
    <row r="171" spans="1:40" x14ac:dyDescent="0.35">
      <c r="A171" s="286"/>
      <c r="B171" s="282"/>
      <c r="C171" s="282"/>
      <c r="D171" s="185">
        <f t="shared" ref="D171:I171" si="111">SUM(D152:D170)</f>
        <v>0</v>
      </c>
      <c r="E171" s="185">
        <f t="shared" si="111"/>
        <v>0</v>
      </c>
      <c r="F171" s="185">
        <f t="shared" si="111"/>
        <v>0</v>
      </c>
      <c r="G171" s="185">
        <f t="shared" si="111"/>
        <v>0</v>
      </c>
      <c r="H171" s="185">
        <f t="shared" si="111"/>
        <v>0</v>
      </c>
      <c r="I171" s="185">
        <f t="shared" si="111"/>
        <v>0</v>
      </c>
      <c r="J171" s="286"/>
      <c r="K171" s="286"/>
      <c r="L171" s="292">
        <f t="shared" ref="L171:Q171" si="112">SUM(L152:L170)</f>
        <v>0</v>
      </c>
      <c r="M171" s="292">
        <f t="shared" si="112"/>
        <v>0</v>
      </c>
      <c r="N171" s="292">
        <f t="shared" si="112"/>
        <v>0</v>
      </c>
      <c r="O171" s="292">
        <f t="shared" si="112"/>
        <v>0</v>
      </c>
      <c r="P171" s="292">
        <f t="shared" si="112"/>
        <v>0</v>
      </c>
      <c r="Q171" s="292">
        <f t="shared" si="112"/>
        <v>0</v>
      </c>
      <c r="R171" s="133"/>
      <c r="S171" s="133"/>
      <c r="T171" s="133"/>
      <c r="U171" s="133"/>
      <c r="V171" s="133"/>
      <c r="W171" s="133"/>
      <c r="X171" s="133"/>
      <c r="Y171" s="133"/>
      <c r="Z171" s="133"/>
      <c r="AJ171" s="285"/>
      <c r="AK171" s="285"/>
      <c r="AL171" s="285"/>
      <c r="AM171" s="285"/>
      <c r="AN171" s="285"/>
    </row>
    <row r="172" spans="1:40" x14ac:dyDescent="0.35">
      <c r="A172" s="286"/>
      <c r="B172" s="307"/>
      <c r="C172" s="282"/>
      <c r="D172" s="284" t="s">
        <v>1003</v>
      </c>
      <c r="E172" s="185">
        <f>E171-$D$171</f>
        <v>0</v>
      </c>
      <c r="F172" s="185">
        <f>F171-$D$171</f>
        <v>0</v>
      </c>
      <c r="G172" s="185">
        <f>G171-$D$171</f>
        <v>0</v>
      </c>
      <c r="H172" s="185">
        <f>H171-$D$171</f>
        <v>0</v>
      </c>
      <c r="I172" s="185">
        <f>I171-$D$171</f>
        <v>0</v>
      </c>
      <c r="J172" s="286"/>
      <c r="K172" s="286"/>
      <c r="L172" s="542"/>
      <c r="M172" s="292">
        <f>M171-$L$171</f>
        <v>0</v>
      </c>
      <c r="N172" s="292">
        <f>N171-$L$171</f>
        <v>0</v>
      </c>
      <c r="O172" s="292">
        <f>O171-$L$171</f>
        <v>0</v>
      </c>
      <c r="P172" s="292">
        <f>P171-$L$171</f>
        <v>0</v>
      </c>
      <c r="Q172" s="292">
        <f>Q171-$L$171</f>
        <v>0</v>
      </c>
      <c r="R172" s="133"/>
      <c r="S172" s="133"/>
      <c r="T172" s="133"/>
      <c r="U172" s="133"/>
      <c r="V172" s="133"/>
      <c r="W172" s="133"/>
      <c r="X172" s="133"/>
      <c r="Y172" s="133"/>
      <c r="Z172" s="133"/>
      <c r="AJ172" s="285"/>
      <c r="AK172" s="285"/>
      <c r="AL172" s="285"/>
      <c r="AM172" s="285"/>
      <c r="AN172" s="285"/>
    </row>
    <row r="173" spans="1:40" x14ac:dyDescent="0.35">
      <c r="A173" s="286"/>
      <c r="B173" s="323"/>
      <c r="C173" s="215"/>
      <c r="D173" s="215"/>
      <c r="E173" s="215"/>
      <c r="F173" s="215"/>
      <c r="G173" s="215"/>
      <c r="H173" s="215"/>
      <c r="I173" s="215"/>
      <c r="J173" s="286"/>
      <c r="K173" s="286"/>
      <c r="L173" s="215"/>
      <c r="M173" s="215"/>
      <c r="N173" s="215"/>
      <c r="O173" s="215"/>
      <c r="P173" s="215"/>
      <c r="Q173" s="215"/>
      <c r="R173" s="133"/>
      <c r="S173" s="133"/>
      <c r="T173" s="133"/>
      <c r="U173" s="133"/>
      <c r="V173" s="133"/>
      <c r="W173" s="133"/>
      <c r="X173" s="133"/>
      <c r="Y173" s="133"/>
      <c r="Z173" s="133"/>
      <c r="AJ173" s="285"/>
      <c r="AK173" s="285"/>
      <c r="AL173" s="285"/>
      <c r="AM173" s="285"/>
      <c r="AN173" s="285"/>
    </row>
    <row r="174" spans="1:40" hidden="1" x14ac:dyDescent="0.35">
      <c r="A174" s="702"/>
      <c r="B174" s="708" t="s">
        <v>1004</v>
      </c>
      <c r="C174" s="703"/>
      <c r="D174" s="704"/>
      <c r="E174" s="703"/>
      <c r="F174" s="705"/>
      <c r="G174" s="706"/>
      <c r="H174" s="706"/>
      <c r="I174" s="707"/>
      <c r="J174" s="702"/>
      <c r="K174" s="702"/>
      <c r="L174" s="702"/>
      <c r="M174" s="702"/>
      <c r="N174" s="702"/>
      <c r="O174" s="702"/>
      <c r="P174" s="702"/>
      <c r="Q174" s="702"/>
      <c r="R174" s="133"/>
      <c r="S174" s="133"/>
      <c r="T174" s="133"/>
      <c r="U174" s="133"/>
      <c r="V174" s="133"/>
      <c r="W174" s="133"/>
      <c r="X174" s="133"/>
      <c r="Y174" s="133"/>
      <c r="Z174" s="133"/>
      <c r="AJ174" s="285"/>
      <c r="AK174" s="285"/>
      <c r="AL174" s="285"/>
      <c r="AM174" s="285"/>
      <c r="AN174" s="285"/>
    </row>
    <row r="175" spans="1:40" hidden="1" x14ac:dyDescent="0.35">
      <c r="A175" s="288"/>
      <c r="B175" s="390" t="s">
        <v>1005</v>
      </c>
      <c r="C175" s="391"/>
      <c r="D175" s="391"/>
      <c r="E175" s="391"/>
      <c r="F175" s="391"/>
      <c r="G175" s="391"/>
      <c r="H175" s="391"/>
      <c r="I175" s="218"/>
      <c r="J175" s="288"/>
      <c r="K175" s="288"/>
      <c r="L175" s="288"/>
      <c r="M175" s="288"/>
      <c r="N175" s="288"/>
      <c r="O175" s="288"/>
      <c r="P175" s="288"/>
      <c r="Q175" s="288"/>
      <c r="V175" s="133"/>
    </row>
    <row r="176" spans="1:40" ht="43.5" hidden="1" x14ac:dyDescent="0.35">
      <c r="A176" s="288"/>
      <c r="B176" s="278" t="s">
        <v>876</v>
      </c>
      <c r="C176" s="165" t="s">
        <v>1006</v>
      </c>
      <c r="D176" s="421" t="s">
        <v>957</v>
      </c>
      <c r="E176" s="255" t="s">
        <v>685</v>
      </c>
      <c r="F176" s="255" t="s">
        <v>686</v>
      </c>
      <c r="G176" s="164" t="s">
        <v>914</v>
      </c>
      <c r="H176" s="164" t="s">
        <v>915</v>
      </c>
      <c r="I176" s="255" t="s">
        <v>916</v>
      </c>
      <c r="J176" s="288"/>
      <c r="K176" s="556" t="s">
        <v>969</v>
      </c>
      <c r="L176" s="421" t="s">
        <v>957</v>
      </c>
      <c r="M176" s="255" t="s">
        <v>685</v>
      </c>
      <c r="N176" s="255" t="s">
        <v>686</v>
      </c>
      <c r="O176" s="164" t="s">
        <v>914</v>
      </c>
      <c r="P176" s="164" t="s">
        <v>915</v>
      </c>
      <c r="Q176" s="255" t="s">
        <v>916</v>
      </c>
      <c r="V176" s="133"/>
    </row>
    <row r="177" spans="1:40" hidden="1" x14ac:dyDescent="0.35">
      <c r="A177" s="288"/>
      <c r="B177" s="348"/>
      <c r="C177" s="149">
        <f>'Inputs and eligible population'!F114</f>
        <v>0</v>
      </c>
      <c r="D177" s="128"/>
      <c r="E177" s="128"/>
      <c r="F177" s="128"/>
      <c r="G177" s="128"/>
      <c r="H177" s="128"/>
      <c r="I177" s="128"/>
      <c r="J177" s="288"/>
      <c r="K177" s="572">
        <f>'Inputs and eligible population'!AA114</f>
        <v>47.51</v>
      </c>
      <c r="L177" s="291">
        <f>(D177*$K177)/1000</f>
        <v>0</v>
      </c>
      <c r="M177" s="291">
        <f t="shared" ref="M177:Q179" si="113">(E177*$K177)/1000</f>
        <v>0</v>
      </c>
      <c r="N177" s="291">
        <f t="shared" si="113"/>
        <v>0</v>
      </c>
      <c r="O177" s="291">
        <f t="shared" si="113"/>
        <v>0</v>
      </c>
      <c r="P177" s="291">
        <f t="shared" si="113"/>
        <v>0</v>
      </c>
      <c r="Q177" s="291">
        <f t="shared" si="113"/>
        <v>0</v>
      </c>
      <c r="V177" s="133"/>
    </row>
    <row r="178" spans="1:40" hidden="1" x14ac:dyDescent="0.35">
      <c r="A178" s="288"/>
      <c r="B178" s="348"/>
      <c r="C178" s="149">
        <f>'Inputs and eligible population'!G114</f>
        <v>0</v>
      </c>
      <c r="D178" s="128"/>
      <c r="E178" s="128"/>
      <c r="F178" s="128"/>
      <c r="G178" s="128"/>
      <c r="H178" s="128"/>
      <c r="I178" s="128"/>
      <c r="J178" s="288"/>
      <c r="K178" s="572">
        <f>'Inputs and eligible population'!AA114</f>
        <v>47.51</v>
      </c>
      <c r="L178" s="291">
        <f>(D178*$K178)/1000</f>
        <v>0</v>
      </c>
      <c r="M178" s="291">
        <f t="shared" si="113"/>
        <v>0</v>
      </c>
      <c r="N178" s="291">
        <f t="shared" si="113"/>
        <v>0</v>
      </c>
      <c r="O178" s="291">
        <f t="shared" si="113"/>
        <v>0</v>
      </c>
      <c r="P178" s="291">
        <f t="shared" si="113"/>
        <v>0</v>
      </c>
      <c r="Q178" s="291">
        <f t="shared" si="113"/>
        <v>0</v>
      </c>
      <c r="V178" s="133"/>
    </row>
    <row r="179" spans="1:40" hidden="1" x14ac:dyDescent="0.35">
      <c r="A179" s="288"/>
      <c r="B179" s="348"/>
      <c r="C179" s="149">
        <f>'Inputs and eligible population'!I114</f>
        <v>0</v>
      </c>
      <c r="D179" s="128"/>
      <c r="E179" s="128"/>
      <c r="F179" s="128"/>
      <c r="G179" s="128"/>
      <c r="H179" s="128"/>
      <c r="I179" s="128"/>
      <c r="J179" s="288"/>
      <c r="K179" s="572">
        <f>'Inputs and eligible population'!AA114</f>
        <v>47.51</v>
      </c>
      <c r="L179" s="291">
        <f>(D179*$K179)/1000</f>
        <v>0</v>
      </c>
      <c r="M179" s="291">
        <f t="shared" si="113"/>
        <v>0</v>
      </c>
      <c r="N179" s="291">
        <f t="shared" si="113"/>
        <v>0</v>
      </c>
      <c r="O179" s="291">
        <f t="shared" si="113"/>
        <v>0</v>
      </c>
      <c r="P179" s="291">
        <f t="shared" si="113"/>
        <v>0</v>
      </c>
      <c r="Q179" s="291">
        <f t="shared" si="113"/>
        <v>0</v>
      </c>
      <c r="V179" s="133"/>
    </row>
    <row r="180" spans="1:40" hidden="1" x14ac:dyDescent="0.35">
      <c r="A180" s="288"/>
      <c r="B180" s="282"/>
      <c r="C180" s="205"/>
      <c r="D180" s="185">
        <f t="shared" ref="D180:I180" si="114">SUM(D177:D179)</f>
        <v>0</v>
      </c>
      <c r="E180" s="185">
        <f t="shared" si="114"/>
        <v>0</v>
      </c>
      <c r="F180" s="185">
        <f t="shared" si="114"/>
        <v>0</v>
      </c>
      <c r="G180" s="185">
        <f t="shared" si="114"/>
        <v>0</v>
      </c>
      <c r="H180" s="185">
        <f t="shared" si="114"/>
        <v>0</v>
      </c>
      <c r="I180" s="185">
        <f t="shared" si="114"/>
        <v>0</v>
      </c>
      <c r="J180" s="288"/>
      <c r="K180" s="288"/>
      <c r="L180" s="292">
        <f t="shared" ref="L180:Q180" si="115">SUM(L177:L179)</f>
        <v>0</v>
      </c>
      <c r="M180" s="292">
        <f t="shared" si="115"/>
        <v>0</v>
      </c>
      <c r="N180" s="292">
        <f t="shared" si="115"/>
        <v>0</v>
      </c>
      <c r="O180" s="292">
        <f t="shared" si="115"/>
        <v>0</v>
      </c>
      <c r="P180" s="292">
        <f t="shared" si="115"/>
        <v>0</v>
      </c>
      <c r="Q180" s="292">
        <f t="shared" si="115"/>
        <v>0</v>
      </c>
      <c r="V180" s="133"/>
    </row>
    <row r="181" spans="1:40" hidden="1" x14ac:dyDescent="0.35">
      <c r="A181" s="288"/>
      <c r="B181" s="307"/>
      <c r="C181" s="223"/>
      <c r="D181" s="284" t="s">
        <v>945</v>
      </c>
      <c r="E181" s="185">
        <f>E180-$D$180</f>
        <v>0</v>
      </c>
      <c r="F181" s="185">
        <f>F180-$D$180</f>
        <v>0</v>
      </c>
      <c r="G181" s="185">
        <f>G180-$D$180</f>
        <v>0</v>
      </c>
      <c r="H181" s="185">
        <f>H180-$D$180</f>
        <v>0</v>
      </c>
      <c r="I181" s="185">
        <f>I180-$D$180</f>
        <v>0</v>
      </c>
      <c r="J181" s="288"/>
      <c r="K181" s="288"/>
      <c r="L181" s="543"/>
      <c r="M181" s="292">
        <f>M180-$L$180</f>
        <v>0</v>
      </c>
      <c r="N181" s="292">
        <f>N180-$L$180</f>
        <v>0</v>
      </c>
      <c r="O181" s="292">
        <f>O180-$L$180</f>
        <v>0</v>
      </c>
      <c r="P181" s="292">
        <f>P180-$L$180</f>
        <v>0</v>
      </c>
      <c r="Q181" s="292">
        <f>Q180-$L$180</f>
        <v>0</v>
      </c>
      <c r="V181" s="133"/>
    </row>
    <row r="182" spans="1:40" hidden="1" x14ac:dyDescent="0.35">
      <c r="A182" s="288"/>
      <c r="B182" s="324"/>
      <c r="C182" s="391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133"/>
      <c r="S182" s="133"/>
      <c r="T182" s="133"/>
      <c r="U182" s="133"/>
      <c r="V182" s="133"/>
      <c r="W182" s="133"/>
      <c r="X182" s="133"/>
      <c r="Y182" s="133"/>
      <c r="Z182" s="133"/>
      <c r="AJ182" s="285"/>
      <c r="AK182" s="285"/>
      <c r="AL182" s="285"/>
      <c r="AM182" s="285"/>
      <c r="AN182" s="285"/>
    </row>
    <row r="183" spans="1:40" hidden="1" x14ac:dyDescent="0.35">
      <c r="A183" s="329"/>
      <c r="B183" s="330" t="s">
        <v>1007</v>
      </c>
      <c r="C183" s="331"/>
      <c r="D183" s="331"/>
      <c r="E183" s="332"/>
      <c r="F183" s="333"/>
      <c r="G183" s="334"/>
      <c r="H183" s="334"/>
      <c r="I183" s="384"/>
      <c r="J183" s="329"/>
      <c r="K183" s="329"/>
      <c r="L183" s="329"/>
      <c r="M183" s="329"/>
      <c r="N183" s="329"/>
      <c r="O183" s="329"/>
      <c r="P183" s="329"/>
      <c r="Q183" s="405"/>
      <c r="R183" s="133"/>
      <c r="S183" s="133"/>
      <c r="T183" s="133"/>
      <c r="U183" s="133"/>
      <c r="V183" s="133"/>
      <c r="W183" s="133"/>
      <c r="X183" s="133"/>
      <c r="Y183" s="133"/>
      <c r="Z183" s="133"/>
      <c r="AJ183" s="285"/>
      <c r="AK183" s="285"/>
      <c r="AL183" s="285"/>
      <c r="AM183" s="285"/>
      <c r="AN183" s="285"/>
    </row>
    <row r="184" spans="1:40" hidden="1" x14ac:dyDescent="0.35">
      <c r="A184" s="329"/>
      <c r="B184" s="394" t="s">
        <v>1008</v>
      </c>
      <c r="C184" s="395"/>
      <c r="D184" s="395"/>
      <c r="E184" s="395"/>
      <c r="F184" s="395"/>
      <c r="G184" s="395"/>
      <c r="H184" s="395"/>
      <c r="I184" s="335"/>
      <c r="J184" s="405"/>
      <c r="K184" s="405"/>
      <c r="L184" s="435"/>
      <c r="M184" s="435"/>
      <c r="N184" s="435"/>
      <c r="O184" s="435"/>
      <c r="P184" s="435"/>
      <c r="Q184" s="435"/>
      <c r="R184" s="133"/>
      <c r="S184" s="133"/>
      <c r="T184" s="133"/>
      <c r="U184" s="133"/>
      <c r="V184" s="133"/>
      <c r="W184" s="133"/>
      <c r="X184" s="133"/>
      <c r="Y184" s="133"/>
      <c r="Z184" s="133"/>
      <c r="AJ184" s="285"/>
      <c r="AK184" s="285"/>
      <c r="AL184" s="285"/>
      <c r="AM184" s="285"/>
      <c r="AN184" s="285"/>
    </row>
    <row r="185" spans="1:40" ht="43.5" hidden="1" x14ac:dyDescent="0.35">
      <c r="A185" s="329"/>
      <c r="B185" s="278" t="s">
        <v>876</v>
      </c>
      <c r="C185" s="165" t="s">
        <v>781</v>
      </c>
      <c r="D185" s="421" t="s">
        <v>957</v>
      </c>
      <c r="E185" s="255" t="s">
        <v>685</v>
      </c>
      <c r="F185" s="255" t="s">
        <v>686</v>
      </c>
      <c r="G185" s="164" t="s">
        <v>914</v>
      </c>
      <c r="H185" s="164" t="s">
        <v>915</v>
      </c>
      <c r="I185" s="255" t="s">
        <v>916</v>
      </c>
      <c r="J185" s="329"/>
      <c r="K185" s="556" t="s">
        <v>969</v>
      </c>
      <c r="L185" s="421" t="s">
        <v>957</v>
      </c>
      <c r="M185" s="255" t="s">
        <v>685</v>
      </c>
      <c r="N185" s="255" t="s">
        <v>686</v>
      </c>
      <c r="O185" s="164" t="s">
        <v>914</v>
      </c>
      <c r="P185" s="164" t="s">
        <v>915</v>
      </c>
      <c r="Q185" s="255" t="s">
        <v>916</v>
      </c>
      <c r="R185" s="133"/>
      <c r="S185" s="133"/>
      <c r="T185" s="133"/>
      <c r="U185" s="133"/>
      <c r="V185" s="133"/>
      <c r="W185" s="133"/>
      <c r="X185" s="133"/>
      <c r="Y185" s="133"/>
      <c r="Z185" s="133"/>
      <c r="AJ185" s="285"/>
      <c r="AK185" s="285"/>
      <c r="AL185" s="285"/>
      <c r="AM185" s="285"/>
      <c r="AN185" s="285"/>
    </row>
    <row r="186" spans="1:40" hidden="1" x14ac:dyDescent="0.35">
      <c r="A186" s="329"/>
      <c r="B186" s="348"/>
      <c r="C186" s="149">
        <f>'Inputs and eligible population'!F115</f>
        <v>0</v>
      </c>
      <c r="D186" s="128">
        <f>'Financial impact (cash)'!D13*'Capacity (local prices)'!$C186</f>
        <v>0</v>
      </c>
      <c r="E186" s="128">
        <f>'Financial impact (cash)'!E13*'Capacity (local prices)'!$C186</f>
        <v>0</v>
      </c>
      <c r="F186" s="128">
        <f>'Financial impact (cash)'!F13*'Capacity (local prices)'!$C186</f>
        <v>0</v>
      </c>
      <c r="G186" s="128">
        <f>'Financial impact (cash)'!G13*'Capacity (local prices)'!$C186</f>
        <v>0</v>
      </c>
      <c r="H186" s="128">
        <f>'Financial impact (cash)'!H13*'Capacity (local prices)'!$C186</f>
        <v>0</v>
      </c>
      <c r="I186" s="128">
        <f>'Financial impact (cash)'!I13*'Capacity (local prices)'!$C186</f>
        <v>0</v>
      </c>
      <c r="J186" s="329"/>
      <c r="K186" s="572">
        <f>'Inputs and eligible population'!AA116</f>
        <v>122.51</v>
      </c>
      <c r="L186" s="291">
        <f>(D186*$C186*'Inputs and eligible population'!$F$116/60*$K186)/1000</f>
        <v>0</v>
      </c>
      <c r="M186" s="291">
        <f>(E186*$C186*'Inputs and eligible population'!$F$116/60*$K186)/1000</f>
        <v>0</v>
      </c>
      <c r="N186" s="291">
        <f>(F186*$C186*'Inputs and eligible population'!$F$116/60*$K186)/1000</f>
        <v>0</v>
      </c>
      <c r="O186" s="291">
        <f>(G186*$C186*'Inputs and eligible population'!$F$116/60*$K186)/1000</f>
        <v>0</v>
      </c>
      <c r="P186" s="291">
        <f>(H186*$C186*'Inputs and eligible population'!$F$116/60*$K186)/1000</f>
        <v>0</v>
      </c>
      <c r="Q186" s="291">
        <f>(I186*$C186*'Inputs and eligible population'!$F$116/60*$K186)/1000</f>
        <v>0</v>
      </c>
      <c r="R186" s="133"/>
      <c r="S186" s="133"/>
      <c r="T186" s="133"/>
      <c r="U186" s="133"/>
      <c r="V186" s="133"/>
      <c r="W186" s="133"/>
      <c r="X186" s="133"/>
      <c r="Y186" s="133"/>
      <c r="Z186" s="133"/>
      <c r="AJ186" s="285"/>
      <c r="AK186" s="285"/>
      <c r="AL186" s="285"/>
      <c r="AM186" s="285"/>
      <c r="AN186" s="285"/>
    </row>
    <row r="187" spans="1:40" hidden="1" x14ac:dyDescent="0.35">
      <c r="A187" s="329"/>
      <c r="B187" s="348"/>
      <c r="C187" s="149">
        <f>'Inputs and eligible population'!G115</f>
        <v>0</v>
      </c>
      <c r="D187" s="128">
        <f>'Financial impact (cash)'!D14*'Capacity (local prices)'!$C187</f>
        <v>0</v>
      </c>
      <c r="E187" s="128">
        <f>'Financial impact (cash)'!E14*'Capacity (local prices)'!$C187</f>
        <v>0</v>
      </c>
      <c r="F187" s="128">
        <f>'Financial impact (cash)'!F14*'Capacity (local prices)'!$C187</f>
        <v>0</v>
      </c>
      <c r="G187" s="128">
        <f>'Financial impact (cash)'!G14*'Capacity (local prices)'!$C187</f>
        <v>0</v>
      </c>
      <c r="H187" s="128">
        <f>'Financial impact (cash)'!H14*'Capacity (local prices)'!$C187</f>
        <v>0</v>
      </c>
      <c r="I187" s="128">
        <f>'Financial impact (cash)'!I14*'Capacity (local prices)'!$C187</f>
        <v>0</v>
      </c>
      <c r="J187" s="329"/>
      <c r="K187" s="572">
        <f>'Inputs and eligible population'!AA116</f>
        <v>122.51</v>
      </c>
      <c r="L187" s="291">
        <f>(D187*$C187*'Inputs and eligible population'!$F$116/60*$K187)/1000</f>
        <v>0</v>
      </c>
      <c r="M187" s="291">
        <f>(E187*$C187*'Inputs and eligible population'!$F$116/60*$K187)/1000</f>
        <v>0</v>
      </c>
      <c r="N187" s="291">
        <f>(F187*$C187*'Inputs and eligible population'!$F$116/60*$K187)/1000</f>
        <v>0</v>
      </c>
      <c r="O187" s="291">
        <f>(G187*$C187*'Inputs and eligible population'!$F$116/60*$K187)/1000</f>
        <v>0</v>
      </c>
      <c r="P187" s="291">
        <f>(H187*$C187*'Inputs and eligible population'!$F$116/60*$K187)/1000</f>
        <v>0</v>
      </c>
      <c r="Q187" s="291">
        <f>(I187*$C187*'Inputs and eligible population'!$F$116/60*$K187)/1000</f>
        <v>0</v>
      </c>
      <c r="R187" s="133"/>
      <c r="S187" s="133"/>
      <c r="T187" s="133"/>
      <c r="U187" s="133"/>
      <c r="V187" s="133"/>
      <c r="W187" s="133"/>
      <c r="X187" s="133"/>
      <c r="Y187" s="133"/>
      <c r="Z187" s="133"/>
      <c r="AJ187" s="285"/>
      <c r="AK187" s="285"/>
      <c r="AL187" s="285"/>
      <c r="AM187" s="285"/>
      <c r="AN187" s="285"/>
    </row>
    <row r="188" spans="1:40" hidden="1" x14ac:dyDescent="0.35">
      <c r="A188" s="329"/>
      <c r="B188" s="348"/>
      <c r="C188" s="149">
        <f>'Inputs and eligible population'!I115</f>
        <v>0</v>
      </c>
      <c r="D188" s="128">
        <f>'Financial impact (cash)'!D16*'Capacity (local prices)'!$C188</f>
        <v>0</v>
      </c>
      <c r="E188" s="128">
        <f>'Financial impact (cash)'!E16*'Capacity (local prices)'!$C188</f>
        <v>0</v>
      </c>
      <c r="F188" s="128">
        <f>'Financial impact (cash)'!F16*'Capacity (local prices)'!$C188</f>
        <v>0</v>
      </c>
      <c r="G188" s="128">
        <f>'Financial impact (cash)'!G16*'Capacity (local prices)'!$C188</f>
        <v>0</v>
      </c>
      <c r="H188" s="128">
        <f>'Financial impact (cash)'!H16*'Capacity (local prices)'!$C188</f>
        <v>0</v>
      </c>
      <c r="I188" s="128">
        <f>'Financial impact (cash)'!I16*'Capacity (local prices)'!$C188</f>
        <v>0</v>
      </c>
      <c r="J188" s="329"/>
      <c r="K188" s="572">
        <f>'Inputs and eligible population'!AA116</f>
        <v>122.51</v>
      </c>
      <c r="L188" s="291">
        <f>(D188*$C188*'Inputs and eligible population'!$F$116/60*$K188)/1000</f>
        <v>0</v>
      </c>
      <c r="M188" s="291">
        <f>(E188*$C188*'Inputs and eligible population'!$F$116/60*$K188)/1000</f>
        <v>0</v>
      </c>
      <c r="N188" s="291">
        <f>(F188*$C188*'Inputs and eligible population'!$F$116/60*$K188)/1000</f>
        <v>0</v>
      </c>
      <c r="O188" s="291">
        <f>(G188*$C188*'Inputs and eligible population'!$F$116/60*$K188)/1000</f>
        <v>0</v>
      </c>
      <c r="P188" s="291">
        <f>(H188*$C188*'Inputs and eligible population'!$F$116/60*$K188)/1000</f>
        <v>0</v>
      </c>
      <c r="Q188" s="291">
        <f>(I188*$C188*'Inputs and eligible population'!$F$116/60*$K188)/1000</f>
        <v>0</v>
      </c>
      <c r="R188" s="133"/>
      <c r="S188" s="133"/>
      <c r="T188" s="133"/>
      <c r="U188" s="133"/>
      <c r="V188" s="133"/>
      <c r="W188" s="133"/>
      <c r="X188" s="133"/>
      <c r="Y188" s="133"/>
      <c r="Z188" s="133"/>
      <c r="AJ188" s="285"/>
      <c r="AK188" s="285"/>
      <c r="AL188" s="285"/>
      <c r="AM188" s="285"/>
      <c r="AN188" s="285"/>
    </row>
    <row r="189" spans="1:40" hidden="1" x14ac:dyDescent="0.35">
      <c r="A189" s="329"/>
      <c r="B189" s="282"/>
      <c r="C189" s="205"/>
      <c r="D189" s="185">
        <f t="shared" ref="D189:I189" si="116">SUM(D186:D188)</f>
        <v>0</v>
      </c>
      <c r="E189" s="185">
        <f t="shared" si="116"/>
        <v>0</v>
      </c>
      <c r="F189" s="185">
        <f t="shared" si="116"/>
        <v>0</v>
      </c>
      <c r="G189" s="185">
        <f t="shared" si="116"/>
        <v>0</v>
      </c>
      <c r="H189" s="185">
        <f t="shared" si="116"/>
        <v>0</v>
      </c>
      <c r="I189" s="185">
        <f t="shared" si="116"/>
        <v>0</v>
      </c>
      <c r="J189" s="329"/>
      <c r="K189" s="329"/>
      <c r="L189" s="292">
        <f t="shared" ref="L189:Q189" si="117">SUM(L186:L188)</f>
        <v>0</v>
      </c>
      <c r="M189" s="292">
        <f t="shared" si="117"/>
        <v>0</v>
      </c>
      <c r="N189" s="292">
        <f t="shared" si="117"/>
        <v>0</v>
      </c>
      <c r="O189" s="292">
        <f t="shared" si="117"/>
        <v>0</v>
      </c>
      <c r="P189" s="292">
        <f t="shared" si="117"/>
        <v>0</v>
      </c>
      <c r="Q189" s="292">
        <f t="shared" si="117"/>
        <v>0</v>
      </c>
      <c r="R189" s="133"/>
      <c r="S189" s="133"/>
      <c r="T189" s="133"/>
      <c r="U189" s="133"/>
      <c r="V189" s="133"/>
      <c r="W189" s="133"/>
      <c r="X189" s="133"/>
      <c r="Y189" s="133"/>
      <c r="Z189" s="133"/>
      <c r="AJ189" s="285"/>
      <c r="AK189" s="285"/>
      <c r="AL189" s="285"/>
      <c r="AM189" s="285"/>
      <c r="AN189" s="285"/>
    </row>
    <row r="190" spans="1:40" hidden="1" x14ac:dyDescent="0.35">
      <c r="A190" s="329"/>
      <c r="B190" s="307"/>
      <c r="C190" s="256"/>
      <c r="D190" s="284" t="s">
        <v>1009</v>
      </c>
      <c r="E190" s="185">
        <f>E189-$D$189</f>
        <v>0</v>
      </c>
      <c r="F190" s="185">
        <f>F189-$D$189</f>
        <v>0</v>
      </c>
      <c r="G190" s="185">
        <f>G189-$D$189</f>
        <v>0</v>
      </c>
      <c r="H190" s="185">
        <f>H189-$D$189</f>
        <v>0</v>
      </c>
      <c r="I190" s="185">
        <f>I189-$D$189</f>
        <v>0</v>
      </c>
      <c r="J190" s="329"/>
      <c r="K190" s="329"/>
      <c r="L190" s="544"/>
      <c r="M190" s="292">
        <f>M189-$L$189</f>
        <v>0</v>
      </c>
      <c r="N190" s="292">
        <f>N189-$L$189</f>
        <v>0</v>
      </c>
      <c r="O190" s="292">
        <f>O189-$L$189</f>
        <v>0</v>
      </c>
      <c r="P190" s="292">
        <f>P189-$L$189</f>
        <v>0</v>
      </c>
      <c r="Q190" s="292">
        <f>Q189-$L$189</f>
        <v>0</v>
      </c>
      <c r="V190" s="133"/>
    </row>
    <row r="191" spans="1:40" hidden="1" x14ac:dyDescent="0.35">
      <c r="A191" s="329"/>
      <c r="B191" s="329"/>
      <c r="C191" s="329"/>
      <c r="D191" s="329"/>
      <c r="E191" s="329"/>
      <c r="F191" s="329"/>
      <c r="G191" s="329"/>
      <c r="H191" s="329"/>
      <c r="I191" s="329"/>
      <c r="J191" s="329"/>
      <c r="K191" s="329"/>
      <c r="L191" s="329"/>
      <c r="M191" s="329"/>
      <c r="N191" s="329"/>
      <c r="O191" s="329"/>
      <c r="P191" s="329"/>
      <c r="Q191" s="329"/>
      <c r="V191" s="133"/>
    </row>
    <row r="192" spans="1:40" x14ac:dyDescent="0.35">
      <c r="A192" s="289"/>
      <c r="B192" s="325" t="s">
        <v>1010</v>
      </c>
      <c r="C192" s="309"/>
      <c r="D192" s="310"/>
      <c r="E192" s="311"/>
      <c r="F192" s="312"/>
      <c r="G192" s="312"/>
      <c r="H192" s="312"/>
      <c r="I192" s="436"/>
      <c r="J192" s="289"/>
      <c r="K192" s="289"/>
      <c r="L192" s="289"/>
      <c r="M192" s="289"/>
      <c r="N192" s="289"/>
      <c r="O192" s="289"/>
      <c r="P192" s="289"/>
      <c r="Q192" s="221"/>
      <c r="R192" s="133"/>
      <c r="S192" s="133"/>
      <c r="T192" s="133"/>
      <c r="U192" s="133"/>
      <c r="V192" s="133"/>
      <c r="W192" s="133"/>
      <c r="X192" s="133"/>
      <c r="Y192" s="133"/>
      <c r="Z192" s="133"/>
      <c r="AJ192" s="285"/>
      <c r="AK192" s="285"/>
      <c r="AL192" s="285"/>
      <c r="AM192" s="285"/>
      <c r="AN192" s="285"/>
    </row>
    <row r="193" spans="1:40" x14ac:dyDescent="0.35">
      <c r="A193" s="289"/>
      <c r="B193" s="396" t="s">
        <v>1011</v>
      </c>
      <c r="C193" s="397"/>
      <c r="D193" s="397"/>
      <c r="E193" s="397"/>
      <c r="F193" s="397"/>
      <c r="G193" s="397"/>
      <c r="H193" s="397"/>
      <c r="I193" s="220"/>
      <c r="J193" s="221"/>
      <c r="K193" s="221"/>
      <c r="L193" s="430"/>
      <c r="M193" s="430"/>
      <c r="N193" s="430"/>
      <c r="O193" s="430"/>
      <c r="P193" s="430"/>
      <c r="Q193" s="430"/>
      <c r="R193" s="133"/>
      <c r="S193" s="133"/>
      <c r="T193" s="133"/>
      <c r="U193" s="133"/>
      <c r="V193" s="133"/>
      <c r="W193" s="133"/>
      <c r="X193" s="133"/>
      <c r="Y193" s="133"/>
      <c r="Z193" s="133"/>
      <c r="AJ193" s="285"/>
      <c r="AK193" s="285"/>
      <c r="AL193" s="285"/>
      <c r="AM193" s="285"/>
      <c r="AN193" s="285"/>
    </row>
    <row r="194" spans="1:40" ht="43.5" x14ac:dyDescent="0.35">
      <c r="A194" s="289"/>
      <c r="B194" s="278" t="s">
        <v>876</v>
      </c>
      <c r="C194" s="165" t="s">
        <v>784</v>
      </c>
      <c r="D194" s="421" t="s">
        <v>957</v>
      </c>
      <c r="E194" s="255" t="s">
        <v>685</v>
      </c>
      <c r="F194" s="255" t="s">
        <v>686</v>
      </c>
      <c r="G194" s="164" t="s">
        <v>914</v>
      </c>
      <c r="H194" s="164" t="s">
        <v>915</v>
      </c>
      <c r="I194" s="255" t="s">
        <v>916</v>
      </c>
      <c r="J194" s="289"/>
      <c r="K194" s="556" t="s">
        <v>969</v>
      </c>
      <c r="L194" s="421" t="s">
        <v>957</v>
      </c>
      <c r="M194" s="255" t="s">
        <v>685</v>
      </c>
      <c r="N194" s="255" t="s">
        <v>686</v>
      </c>
      <c r="O194" s="164" t="s">
        <v>914</v>
      </c>
      <c r="P194" s="164" t="s">
        <v>915</v>
      </c>
      <c r="Q194" s="255" t="s">
        <v>916</v>
      </c>
      <c r="R194" s="133"/>
      <c r="S194" s="133"/>
      <c r="T194" s="133"/>
      <c r="U194" s="133"/>
      <c r="V194" s="133"/>
      <c r="W194" s="133"/>
      <c r="X194" s="133"/>
      <c r="Y194" s="133"/>
      <c r="Z194" s="133"/>
      <c r="AJ194" s="285"/>
      <c r="AK194" s="285"/>
      <c r="AL194" s="285"/>
      <c r="AM194" s="285"/>
      <c r="AN194" s="285"/>
    </row>
    <row r="195" spans="1:40" x14ac:dyDescent="0.35">
      <c r="A195" s="289"/>
      <c r="B195" s="348" t="s">
        <v>699</v>
      </c>
      <c r="C195" s="149">
        <f>'Inputs and eligible population'!F$117</f>
        <v>2</v>
      </c>
      <c r="D195" s="128">
        <f>('Financial impact (cash)'!D13*$C195*'Inputs and eligible population'!$F$118)/60</f>
        <v>0</v>
      </c>
      <c r="E195" s="128">
        <f>('Financial impact (cash)'!E13*$C195*'Inputs and eligible population'!$F$118)/60</f>
        <v>0</v>
      </c>
      <c r="F195" s="128">
        <f>('Financial impact (cash)'!F13*$C195*'Inputs and eligible population'!$F$118)/60</f>
        <v>0</v>
      </c>
      <c r="G195" s="128">
        <f>('Financial impact (cash)'!G13*$C195*'Inputs and eligible population'!$F$118)/60</f>
        <v>0</v>
      </c>
      <c r="H195" s="128">
        <f>('Financial impact (cash)'!H13*$C195*'Inputs and eligible population'!$F$118)/60</f>
        <v>0</v>
      </c>
      <c r="I195" s="128">
        <f>('Financial impact (cash)'!I13*$C195*'Inputs and eligible population'!$F$118)/60</f>
        <v>0</v>
      </c>
      <c r="J195" s="289"/>
      <c r="K195" s="572">
        <f>'Inputs and eligible population'!$AA$118</f>
        <v>42.84</v>
      </c>
      <c r="L195" s="291">
        <f t="shared" ref="L195:Q195" si="118">(D195*$K195)/1000</f>
        <v>0</v>
      </c>
      <c r="M195" s="291">
        <f t="shared" si="118"/>
        <v>0</v>
      </c>
      <c r="N195" s="291">
        <f t="shared" si="118"/>
        <v>0</v>
      </c>
      <c r="O195" s="291">
        <f t="shared" si="118"/>
        <v>0</v>
      </c>
      <c r="P195" s="291">
        <f t="shared" si="118"/>
        <v>0</v>
      </c>
      <c r="Q195" s="291">
        <f t="shared" si="118"/>
        <v>0</v>
      </c>
      <c r="R195" s="133"/>
      <c r="S195" s="133"/>
      <c r="T195" s="133"/>
      <c r="U195" s="133"/>
      <c r="V195" s="133"/>
      <c r="W195" s="133"/>
      <c r="X195" s="133"/>
      <c r="Y195" s="133"/>
      <c r="Z195" s="133"/>
      <c r="AJ195" s="285"/>
      <c r="AK195" s="285"/>
      <c r="AL195" s="285"/>
      <c r="AM195" s="285"/>
      <c r="AN195" s="285"/>
    </row>
    <row r="196" spans="1:40" x14ac:dyDescent="0.35">
      <c r="A196" s="289"/>
      <c r="B196" s="348" t="s">
        <v>701</v>
      </c>
      <c r="C196" s="149">
        <f>'Inputs and eligible population'!G$117</f>
        <v>2</v>
      </c>
      <c r="D196" s="128">
        <f>('Financial impact (cash)'!D14*$C196*'Inputs and eligible population'!$G$118)/60</f>
        <v>0</v>
      </c>
      <c r="E196" s="128">
        <f>('Financial impact (cash)'!E14*$C196*'Inputs and eligible population'!$G$118)/60</f>
        <v>0</v>
      </c>
      <c r="F196" s="128">
        <f>('Financial impact (cash)'!F14*$C196*'Inputs and eligible population'!$G$118)/60</f>
        <v>0</v>
      </c>
      <c r="G196" s="128">
        <f>('Financial impact (cash)'!G14*$C196*'Inputs and eligible population'!$G$118)/60</f>
        <v>0</v>
      </c>
      <c r="H196" s="128">
        <f>('Financial impact (cash)'!H14*$C196*'Inputs and eligible population'!$G$118)/60</f>
        <v>0</v>
      </c>
      <c r="I196" s="128">
        <f>('Financial impact (cash)'!I14*$C196*'Inputs and eligible population'!$G$118)/60</f>
        <v>0</v>
      </c>
      <c r="J196" s="289"/>
      <c r="K196" s="572">
        <f>'Inputs and eligible population'!$AA$118</f>
        <v>42.84</v>
      </c>
      <c r="L196" s="291">
        <f t="shared" ref="L196:L213" si="119">(D196*$K196)/1000</f>
        <v>0</v>
      </c>
      <c r="M196" s="291">
        <f t="shared" ref="M196:M213" si="120">(E196*$K196)/1000</f>
        <v>0</v>
      </c>
      <c r="N196" s="291">
        <f t="shared" ref="N196:N213" si="121">(F196*$K196)/1000</f>
        <v>0</v>
      </c>
      <c r="O196" s="291">
        <f t="shared" ref="O196:O213" si="122">(G196*$K196)/1000</f>
        <v>0</v>
      </c>
      <c r="P196" s="291">
        <f t="shared" ref="P196:P213" si="123">(H196*$K196)/1000</f>
        <v>0</v>
      </c>
      <c r="Q196" s="291">
        <f t="shared" ref="Q196:Q213" si="124">(I196*$K196)/1000</f>
        <v>0</v>
      </c>
      <c r="R196" s="133"/>
      <c r="S196" s="133"/>
      <c r="T196" s="133"/>
      <c r="U196" s="133"/>
      <c r="V196" s="133"/>
      <c r="W196" s="133"/>
      <c r="X196" s="133"/>
      <c r="Y196" s="133"/>
      <c r="Z196" s="133"/>
      <c r="AJ196" s="285"/>
      <c r="AK196" s="285"/>
      <c r="AL196" s="285"/>
      <c r="AM196" s="285"/>
      <c r="AN196" s="285"/>
    </row>
    <row r="197" spans="1:40" x14ac:dyDescent="0.35">
      <c r="A197" s="289"/>
      <c r="B197" s="348" t="s">
        <v>703</v>
      </c>
      <c r="C197" s="149">
        <f>'Inputs and eligible population'!H$117</f>
        <v>2</v>
      </c>
      <c r="D197" s="128">
        <f>('Financial impact (cash)'!D15*$C197*'Inputs and eligible population'!$H$118)/60</f>
        <v>0</v>
      </c>
      <c r="E197" s="128">
        <f>('Financial impact (cash)'!E15*$C197*'Inputs and eligible population'!$H$118)/60</f>
        <v>0</v>
      </c>
      <c r="F197" s="128">
        <f>('Financial impact (cash)'!F15*$C197*'Inputs and eligible population'!$H$118)/60</f>
        <v>0</v>
      </c>
      <c r="G197" s="128">
        <f>('Financial impact (cash)'!G15*$C197*'Inputs and eligible population'!$H$118)/60</f>
        <v>0</v>
      </c>
      <c r="H197" s="128">
        <f>('Financial impact (cash)'!H15*$C197*'Inputs and eligible population'!$H$118)/60</f>
        <v>0</v>
      </c>
      <c r="I197" s="128">
        <f>('Financial impact (cash)'!I15*$C197*'Inputs and eligible population'!$H$118)/60</f>
        <v>0</v>
      </c>
      <c r="J197" s="289"/>
      <c r="K197" s="572">
        <f>'Inputs and eligible population'!$AA$118</f>
        <v>42.84</v>
      </c>
      <c r="L197" s="291">
        <f t="shared" ref="L197" si="125">(D197*$K197)/1000</f>
        <v>0</v>
      </c>
      <c r="M197" s="291">
        <f t="shared" ref="M197" si="126">(E197*$K197)/1000</f>
        <v>0</v>
      </c>
      <c r="N197" s="291">
        <f t="shared" ref="N197" si="127">(F197*$K197)/1000</f>
        <v>0</v>
      </c>
      <c r="O197" s="291">
        <f t="shared" ref="O197" si="128">(G197*$K197)/1000</f>
        <v>0</v>
      </c>
      <c r="P197" s="291">
        <f t="shared" ref="P197" si="129">(H197*$K197)/1000</f>
        <v>0</v>
      </c>
      <c r="Q197" s="291">
        <f>(I197*$K197)/1000</f>
        <v>0</v>
      </c>
      <c r="R197" s="133"/>
      <c r="S197" s="133"/>
      <c r="T197" s="133"/>
      <c r="U197" s="133"/>
      <c r="V197" s="133"/>
      <c r="W197" s="133"/>
      <c r="X197" s="133"/>
      <c r="Y197" s="133"/>
      <c r="Z197" s="133"/>
      <c r="AJ197" s="285"/>
      <c r="AK197" s="285"/>
      <c r="AL197" s="285"/>
      <c r="AM197" s="285"/>
      <c r="AN197" s="285"/>
    </row>
    <row r="198" spans="1:40" x14ac:dyDescent="0.35">
      <c r="A198" s="289"/>
      <c r="B198" s="348" t="s">
        <v>705</v>
      </c>
      <c r="C198" s="149">
        <f>'Inputs and eligible population'!I$117</f>
        <v>1</v>
      </c>
      <c r="D198" s="128">
        <f>('Financial impact (cash)'!D16*$C198*'Inputs and eligible population'!$I$118)/60</f>
        <v>0</v>
      </c>
      <c r="E198" s="128">
        <f>('Financial impact (cash)'!E16*$C198*'Inputs and eligible population'!$I$118)/60</f>
        <v>0</v>
      </c>
      <c r="F198" s="128">
        <f>('Financial impact (cash)'!F16*$C198*'Inputs and eligible population'!$I$118)/60</f>
        <v>0</v>
      </c>
      <c r="G198" s="128">
        <f>('Financial impact (cash)'!G16*$C198*'Inputs and eligible population'!$I$118)/60</f>
        <v>0</v>
      </c>
      <c r="H198" s="128">
        <f>('Financial impact (cash)'!H16*$C198*'Inputs and eligible population'!$I$118)/60</f>
        <v>0</v>
      </c>
      <c r="I198" s="128">
        <f>('Financial impact (cash)'!I16*$C198*'Inputs and eligible population'!$I$118)/60</f>
        <v>0</v>
      </c>
      <c r="J198" s="289"/>
      <c r="K198" s="572">
        <f>'Inputs and eligible population'!$AA$118</f>
        <v>42.84</v>
      </c>
      <c r="L198" s="291">
        <f t="shared" si="119"/>
        <v>0</v>
      </c>
      <c r="M198" s="291">
        <f t="shared" si="120"/>
        <v>0</v>
      </c>
      <c r="N198" s="291">
        <f t="shared" si="121"/>
        <v>0</v>
      </c>
      <c r="O198" s="291">
        <f t="shared" si="122"/>
        <v>0</v>
      </c>
      <c r="P198" s="291">
        <f t="shared" si="123"/>
        <v>0</v>
      </c>
      <c r="Q198" s="291">
        <f t="shared" si="124"/>
        <v>0</v>
      </c>
      <c r="R198" s="133"/>
      <c r="S198" s="133"/>
      <c r="T198" s="133"/>
      <c r="U198" s="133"/>
      <c r="V198" s="133"/>
      <c r="W198" s="133"/>
      <c r="X198" s="133"/>
      <c r="Y198" s="133"/>
      <c r="Z198" s="133"/>
      <c r="AJ198" s="285"/>
      <c r="AK198" s="285"/>
      <c r="AL198" s="285"/>
      <c r="AM198" s="285"/>
      <c r="AN198" s="285"/>
    </row>
    <row r="199" spans="1:40" x14ac:dyDescent="0.35">
      <c r="A199" s="289"/>
      <c r="B199" s="348" t="s">
        <v>749</v>
      </c>
      <c r="C199" s="149">
        <f>'Inputs and eligible population'!J$117</f>
        <v>2</v>
      </c>
      <c r="D199" s="128">
        <f>('Financial impact (cash)'!D17*$C199*'Inputs and eligible population'!$J$118)/60</f>
        <v>0</v>
      </c>
      <c r="E199" s="128">
        <f>('Financial impact (cash)'!E17*$C199*'Inputs and eligible population'!$J$118)/60</f>
        <v>0</v>
      </c>
      <c r="F199" s="128">
        <f>('Financial impact (cash)'!F17*$C199*'Inputs and eligible population'!$J$118)/60</f>
        <v>0</v>
      </c>
      <c r="G199" s="128">
        <f>('Financial impact (cash)'!G17*$C199*'Inputs and eligible population'!$J$118)/60</f>
        <v>0</v>
      </c>
      <c r="H199" s="128">
        <f>('Financial impact (cash)'!H17*$C199*'Inputs and eligible population'!$J$118)/60</f>
        <v>0</v>
      </c>
      <c r="I199" s="128">
        <f>('Financial impact (cash)'!I17*$C199*'Inputs and eligible population'!$J$118)/60</f>
        <v>0</v>
      </c>
      <c r="J199" s="289"/>
      <c r="K199" s="572">
        <f>'Inputs and eligible population'!$AA$118</f>
        <v>42.84</v>
      </c>
      <c r="L199" s="291">
        <f t="shared" si="119"/>
        <v>0</v>
      </c>
      <c r="M199" s="291">
        <f t="shared" si="120"/>
        <v>0</v>
      </c>
      <c r="N199" s="291">
        <f t="shared" si="121"/>
        <v>0</v>
      </c>
      <c r="O199" s="291">
        <f t="shared" si="122"/>
        <v>0</v>
      </c>
      <c r="P199" s="291">
        <f t="shared" si="123"/>
        <v>0</v>
      </c>
      <c r="Q199" s="291">
        <f t="shared" si="124"/>
        <v>0</v>
      </c>
      <c r="R199" s="133"/>
      <c r="S199" s="133"/>
      <c r="T199" s="133"/>
      <c r="U199" s="133"/>
      <c r="V199" s="133"/>
      <c r="W199" s="133"/>
      <c r="X199" s="133"/>
      <c r="Y199" s="133"/>
      <c r="Z199" s="133"/>
      <c r="AJ199" s="285"/>
      <c r="AK199" s="285"/>
      <c r="AL199" s="285"/>
      <c r="AM199" s="285"/>
      <c r="AN199" s="285"/>
    </row>
    <row r="200" spans="1:40" x14ac:dyDescent="0.35">
      <c r="A200" s="289"/>
      <c r="B200" s="348" t="s">
        <v>711</v>
      </c>
      <c r="C200" s="149">
        <f>'Inputs and eligible population'!K$117</f>
        <v>2</v>
      </c>
      <c r="D200" s="128">
        <f>('Financial impact (cash)'!D18*$C200*'Inputs and eligible population'!$K$118)/60</f>
        <v>0</v>
      </c>
      <c r="E200" s="128">
        <f>('Financial impact (cash)'!E18*$C200*'Inputs and eligible population'!$K$118)/60</f>
        <v>0</v>
      </c>
      <c r="F200" s="128">
        <f>('Financial impact (cash)'!F18*$C200*'Inputs and eligible population'!$K$118)/60</f>
        <v>0</v>
      </c>
      <c r="G200" s="128">
        <f>('Financial impact (cash)'!G18*$C200*'Inputs and eligible population'!$K$118)/60</f>
        <v>0</v>
      </c>
      <c r="H200" s="128">
        <f>('Financial impact (cash)'!H18*$C200*'Inputs and eligible population'!$K$118)/60</f>
        <v>0</v>
      </c>
      <c r="I200" s="128">
        <f>('Financial impact (cash)'!I18*$C200*'Inputs and eligible population'!$K$118)/60</f>
        <v>0</v>
      </c>
      <c r="J200" s="289"/>
      <c r="K200" s="572">
        <f>'Inputs and eligible population'!$AA$118</f>
        <v>42.84</v>
      </c>
      <c r="L200" s="291">
        <f t="shared" si="119"/>
        <v>0</v>
      </c>
      <c r="M200" s="291">
        <f t="shared" si="120"/>
        <v>0</v>
      </c>
      <c r="N200" s="291">
        <f t="shared" si="121"/>
        <v>0</v>
      </c>
      <c r="O200" s="291">
        <f t="shared" si="122"/>
        <v>0</v>
      </c>
      <c r="P200" s="291">
        <f t="shared" si="123"/>
        <v>0</v>
      </c>
      <c r="Q200" s="291">
        <f t="shared" si="124"/>
        <v>0</v>
      </c>
      <c r="R200" s="133"/>
      <c r="S200" s="133"/>
      <c r="T200" s="133"/>
      <c r="U200" s="133"/>
      <c r="V200" s="133"/>
      <c r="W200" s="133"/>
      <c r="X200" s="133"/>
      <c r="Y200" s="133"/>
      <c r="Z200" s="133"/>
      <c r="AJ200" s="285"/>
      <c r="AK200" s="285"/>
      <c r="AL200" s="285"/>
      <c r="AM200" s="285"/>
      <c r="AN200" s="285"/>
    </row>
    <row r="201" spans="1:40" x14ac:dyDescent="0.35">
      <c r="A201" s="289"/>
      <c r="B201" s="348" t="s">
        <v>1101</v>
      </c>
      <c r="C201" s="149">
        <f>'Inputs and eligible population'!L$117</f>
        <v>2</v>
      </c>
      <c r="D201" s="128">
        <f>('Financial impact (cash)'!D19*$C201*'Inputs and eligible population'!$L$118)/60</f>
        <v>0</v>
      </c>
      <c r="E201" s="128">
        <f>('Financial impact (cash)'!E19*$C201*'Inputs and eligible population'!$L$118)/60</f>
        <v>0</v>
      </c>
      <c r="F201" s="128">
        <f>('Financial impact (cash)'!F19*$C201*'Inputs and eligible population'!$L$118)/60</f>
        <v>0</v>
      </c>
      <c r="G201" s="128">
        <f>('Financial impact (cash)'!G19*$C201*'Inputs and eligible population'!$L$118)/60</f>
        <v>0</v>
      </c>
      <c r="H201" s="128">
        <f>('Financial impact (cash)'!H19*$C201*'Inputs and eligible population'!$L$118)/60</f>
        <v>0</v>
      </c>
      <c r="I201" s="128">
        <f>('Financial impact (cash)'!I19*$C201*'Inputs and eligible population'!$L$118)/60</f>
        <v>0</v>
      </c>
      <c r="J201" s="289"/>
      <c r="K201" s="572">
        <f>'Inputs and eligible population'!$AA$118</f>
        <v>42.84</v>
      </c>
      <c r="L201" s="291">
        <f t="shared" ref="L201" si="130">(D201*$K201)/1000</f>
        <v>0</v>
      </c>
      <c r="M201" s="291">
        <f t="shared" ref="M201" si="131">(E201*$K201)/1000</f>
        <v>0</v>
      </c>
      <c r="N201" s="291">
        <f t="shared" ref="N201" si="132">(F201*$K201)/1000</f>
        <v>0</v>
      </c>
      <c r="O201" s="291">
        <f t="shared" ref="O201" si="133">(G201*$K201)/1000</f>
        <v>0</v>
      </c>
      <c r="P201" s="291">
        <f t="shared" ref="P201" si="134">(H201*$K201)/1000</f>
        <v>0</v>
      </c>
      <c r="Q201" s="291">
        <f t="shared" ref="Q201" si="135">(I201*$K201)/1000</f>
        <v>0</v>
      </c>
      <c r="R201" s="133"/>
      <c r="S201" s="133"/>
      <c r="T201" s="133"/>
      <c r="U201" s="133"/>
      <c r="V201" s="133"/>
      <c r="W201" s="133"/>
      <c r="X201" s="133"/>
      <c r="Y201" s="133"/>
      <c r="Z201" s="133"/>
      <c r="AJ201" s="285"/>
      <c r="AK201" s="285"/>
      <c r="AL201" s="285"/>
      <c r="AM201" s="285"/>
      <c r="AN201" s="285"/>
    </row>
    <row r="202" spans="1:40" x14ac:dyDescent="0.35">
      <c r="A202" s="289"/>
      <c r="B202" s="348" t="s">
        <v>714</v>
      </c>
      <c r="C202" s="149">
        <f>'Inputs and eligible population'!M$117</f>
        <v>4</v>
      </c>
      <c r="D202" s="128">
        <f>('Financial impact (cash)'!D20*$C202*'Inputs and eligible population'!$M$118)/60</f>
        <v>0</v>
      </c>
      <c r="E202" s="128">
        <f>('Financial impact (cash)'!E20*$C202*'Inputs and eligible population'!$M$118)/60</f>
        <v>0</v>
      </c>
      <c r="F202" s="128">
        <f>('Financial impact (cash)'!F20*$C202*'Inputs and eligible population'!$M$118)/60</f>
        <v>0</v>
      </c>
      <c r="G202" s="128">
        <f>('Financial impact (cash)'!G20*$C202*'Inputs and eligible population'!$M$118)/60</f>
        <v>0</v>
      </c>
      <c r="H202" s="128">
        <f>('Financial impact (cash)'!H20*$C202*'Inputs and eligible population'!$M$118)/60</f>
        <v>0</v>
      </c>
      <c r="I202" s="128">
        <f>('Financial impact (cash)'!I20*$C202*'Inputs and eligible population'!$M$118)/60</f>
        <v>0</v>
      </c>
      <c r="J202" s="289"/>
      <c r="K202" s="572">
        <f>'Inputs and eligible population'!$AA$118</f>
        <v>42.84</v>
      </c>
      <c r="L202" s="291">
        <f t="shared" si="119"/>
        <v>0</v>
      </c>
      <c r="M202" s="291">
        <f t="shared" si="120"/>
        <v>0</v>
      </c>
      <c r="N202" s="291">
        <f t="shared" si="121"/>
        <v>0</v>
      </c>
      <c r="O202" s="291">
        <f t="shared" si="122"/>
        <v>0</v>
      </c>
      <c r="P202" s="291">
        <f t="shared" si="123"/>
        <v>0</v>
      </c>
      <c r="Q202" s="291">
        <f t="shared" si="124"/>
        <v>0</v>
      </c>
      <c r="R202" s="133"/>
      <c r="S202" s="133"/>
      <c r="T202" s="133"/>
      <c r="U202" s="133"/>
      <c r="V202" s="133"/>
      <c r="W202" s="133"/>
      <c r="X202" s="133"/>
      <c r="Y202" s="133"/>
      <c r="Z202" s="133"/>
      <c r="AJ202" s="285"/>
      <c r="AK202" s="285"/>
      <c r="AL202" s="285"/>
      <c r="AM202" s="285"/>
      <c r="AN202" s="285"/>
    </row>
    <row r="203" spans="1:40" x14ac:dyDescent="0.35">
      <c r="A203" s="289"/>
      <c r="B203" s="348" t="s">
        <v>717</v>
      </c>
      <c r="C203" s="149">
        <f>'Inputs and eligible population'!N$117</f>
        <v>4</v>
      </c>
      <c r="D203" s="128">
        <f>('Financial impact (cash)'!D21*$C203*'Inputs and eligible population'!$N$118)/60</f>
        <v>0</v>
      </c>
      <c r="E203" s="128">
        <f>('Financial impact (cash)'!E21*$C203*'Inputs and eligible population'!$N$118)/60</f>
        <v>0</v>
      </c>
      <c r="F203" s="128">
        <f>('Financial impact (cash)'!F21*$C203*'Inputs and eligible population'!$N$118)/60</f>
        <v>0</v>
      </c>
      <c r="G203" s="128">
        <f>('Financial impact (cash)'!G21*$C203*'Inputs and eligible population'!$N$118)/60</f>
        <v>0</v>
      </c>
      <c r="H203" s="128">
        <f>('Financial impact (cash)'!H21*$C203*'Inputs and eligible population'!$N$118)/60</f>
        <v>0</v>
      </c>
      <c r="I203" s="128">
        <f>('Financial impact (cash)'!I21*$C203*'Inputs and eligible population'!$N$118)/60</f>
        <v>0</v>
      </c>
      <c r="J203" s="289"/>
      <c r="K203" s="572">
        <f>'Inputs and eligible population'!$AA$118</f>
        <v>42.84</v>
      </c>
      <c r="L203" s="291">
        <f t="shared" si="119"/>
        <v>0</v>
      </c>
      <c r="M203" s="291">
        <f t="shared" si="120"/>
        <v>0</v>
      </c>
      <c r="N203" s="291">
        <f t="shared" si="121"/>
        <v>0</v>
      </c>
      <c r="O203" s="291">
        <f t="shared" si="122"/>
        <v>0</v>
      </c>
      <c r="P203" s="291">
        <f t="shared" si="123"/>
        <v>0</v>
      </c>
      <c r="Q203" s="291">
        <f t="shared" si="124"/>
        <v>0</v>
      </c>
      <c r="R203" s="133"/>
      <c r="S203" s="133"/>
      <c r="T203" s="133"/>
      <c r="U203" s="133"/>
      <c r="V203" s="133"/>
      <c r="W203" s="133"/>
      <c r="X203" s="133"/>
      <c r="Y203" s="133"/>
      <c r="Z203" s="133"/>
      <c r="AJ203" s="285"/>
      <c r="AK203" s="285"/>
      <c r="AL203" s="285"/>
      <c r="AM203" s="285"/>
      <c r="AN203" s="285"/>
    </row>
    <row r="204" spans="1:40" x14ac:dyDescent="0.35">
      <c r="A204" s="289"/>
      <c r="B204" s="348" t="s">
        <v>719</v>
      </c>
      <c r="C204" s="149">
        <f>'Inputs and eligible population'!O$117</f>
        <v>2</v>
      </c>
      <c r="D204" s="128">
        <f>('Financial impact (cash)'!D22*$C204*'Inputs and eligible population'!$O$118)/60</f>
        <v>0</v>
      </c>
      <c r="E204" s="128">
        <f>('Financial impact (cash)'!E22*$C204*'Inputs and eligible population'!$O$118)/60</f>
        <v>0</v>
      </c>
      <c r="F204" s="128">
        <f>('Financial impact (cash)'!F22*$C204*'Inputs and eligible population'!$O$118)/60</f>
        <v>0</v>
      </c>
      <c r="G204" s="128">
        <f>('Financial impact (cash)'!G22*$C204*'Inputs and eligible population'!$O$118)/60</f>
        <v>0</v>
      </c>
      <c r="H204" s="128">
        <f>('Financial impact (cash)'!H22*$C204*'Inputs and eligible population'!$O$118)/60</f>
        <v>0</v>
      </c>
      <c r="I204" s="128">
        <f>('Financial impact (cash)'!I22*$C204*'Inputs and eligible population'!$O$118)/60</f>
        <v>0</v>
      </c>
      <c r="J204" s="289"/>
      <c r="K204" s="572">
        <f>'Inputs and eligible population'!$AA$118</f>
        <v>42.84</v>
      </c>
      <c r="L204" s="291">
        <f t="shared" si="119"/>
        <v>0</v>
      </c>
      <c r="M204" s="291">
        <f t="shared" si="120"/>
        <v>0</v>
      </c>
      <c r="N204" s="291">
        <f t="shared" si="121"/>
        <v>0</v>
      </c>
      <c r="O204" s="291">
        <f t="shared" si="122"/>
        <v>0</v>
      </c>
      <c r="P204" s="291">
        <f t="shared" si="123"/>
        <v>0</v>
      </c>
      <c r="Q204" s="291">
        <f t="shared" si="124"/>
        <v>0</v>
      </c>
      <c r="R204" s="133"/>
      <c r="S204" s="133"/>
      <c r="T204" s="133"/>
      <c r="U204" s="133"/>
      <c r="V204" s="133"/>
      <c r="W204" s="133"/>
      <c r="X204" s="133"/>
      <c r="Y204" s="133"/>
      <c r="Z204" s="133"/>
      <c r="AJ204" s="285"/>
      <c r="AK204" s="285"/>
      <c r="AL204" s="285"/>
      <c r="AM204" s="285"/>
      <c r="AN204" s="285"/>
    </row>
    <row r="205" spans="1:40" x14ac:dyDescent="0.35">
      <c r="A205" s="289"/>
      <c r="B205" s="348" t="s">
        <v>721</v>
      </c>
      <c r="C205" s="149">
        <f>'Inputs and eligible population'!P$117</f>
        <v>1</v>
      </c>
      <c r="D205" s="128">
        <f>('Financial impact (cash)'!D23*$C205*'Inputs and eligible population'!$P$118)/60</f>
        <v>0</v>
      </c>
      <c r="E205" s="128">
        <f>('Financial impact (cash)'!E23*$C205*'Inputs and eligible population'!$P$118)/60</f>
        <v>0</v>
      </c>
      <c r="F205" s="128">
        <f>('Financial impact (cash)'!F23*$C205*'Inputs and eligible population'!$P$118)/60</f>
        <v>0</v>
      </c>
      <c r="G205" s="128">
        <f>('Financial impact (cash)'!G23*$C205*'Inputs and eligible population'!$P$118)/60</f>
        <v>0</v>
      </c>
      <c r="H205" s="128">
        <f>('Financial impact (cash)'!H23*$C205*'Inputs and eligible population'!$P$118)/60</f>
        <v>0</v>
      </c>
      <c r="I205" s="128">
        <f>('Financial impact (cash)'!I23*$C205*'Inputs and eligible population'!$P$118)/60</f>
        <v>0</v>
      </c>
      <c r="J205" s="289"/>
      <c r="K205" s="572">
        <f>'Inputs and eligible population'!$AA$118</f>
        <v>42.84</v>
      </c>
      <c r="L205" s="291">
        <f t="shared" si="119"/>
        <v>0</v>
      </c>
      <c r="M205" s="291">
        <f t="shared" si="120"/>
        <v>0</v>
      </c>
      <c r="N205" s="291">
        <f t="shared" si="121"/>
        <v>0</v>
      </c>
      <c r="O205" s="291">
        <f t="shared" si="122"/>
        <v>0</v>
      </c>
      <c r="P205" s="291">
        <f t="shared" si="123"/>
        <v>0</v>
      </c>
      <c r="Q205" s="291">
        <f t="shared" si="124"/>
        <v>0</v>
      </c>
      <c r="R205" s="133"/>
      <c r="S205" s="133"/>
      <c r="T205" s="133"/>
      <c r="U205" s="133"/>
      <c r="V205" s="133"/>
      <c r="W205" s="133"/>
      <c r="X205" s="133"/>
      <c r="Y205" s="133"/>
      <c r="Z205" s="133"/>
      <c r="AJ205" s="285"/>
      <c r="AK205" s="285"/>
      <c r="AL205" s="285"/>
      <c r="AM205" s="285"/>
      <c r="AN205" s="285"/>
    </row>
    <row r="206" spans="1:40" x14ac:dyDescent="0.35">
      <c r="A206" s="289"/>
      <c r="B206" s="348" t="s">
        <v>723</v>
      </c>
      <c r="C206" s="149">
        <f>'Inputs and eligible population'!Q$117</f>
        <v>1</v>
      </c>
      <c r="D206" s="128">
        <f>('Financial impact (cash)'!D24*$C206*'Inputs and eligible population'!$Q$118)/60</f>
        <v>0</v>
      </c>
      <c r="E206" s="128">
        <f>('Financial impact (cash)'!E24*$C206*'Inputs and eligible population'!$Q$118)/60</f>
        <v>0</v>
      </c>
      <c r="F206" s="128">
        <f>('Financial impact (cash)'!F24*$C206*'Inputs and eligible population'!$Q$118)/60</f>
        <v>0</v>
      </c>
      <c r="G206" s="128">
        <f>('Financial impact (cash)'!G24*$C206*'Inputs and eligible population'!$Q$118)/60</f>
        <v>0</v>
      </c>
      <c r="H206" s="128">
        <f>('Financial impact (cash)'!H24*$C206*'Inputs and eligible population'!$Q$118)/60</f>
        <v>0</v>
      </c>
      <c r="I206" s="128">
        <f>('Financial impact (cash)'!I24*$C206*'Inputs and eligible population'!$Q$118)/60</f>
        <v>0</v>
      </c>
      <c r="J206" s="289"/>
      <c r="K206" s="572">
        <f>'Inputs and eligible population'!$AA$118</f>
        <v>42.84</v>
      </c>
      <c r="L206" s="291">
        <f t="shared" si="119"/>
        <v>0</v>
      </c>
      <c r="M206" s="291">
        <f t="shared" si="120"/>
        <v>0</v>
      </c>
      <c r="N206" s="291">
        <f t="shared" si="121"/>
        <v>0</v>
      </c>
      <c r="O206" s="291">
        <f t="shared" si="122"/>
        <v>0</v>
      </c>
      <c r="P206" s="291">
        <f t="shared" si="123"/>
        <v>0</v>
      </c>
      <c r="Q206" s="291">
        <f t="shared" si="124"/>
        <v>0</v>
      </c>
      <c r="R206" s="133"/>
      <c r="S206" s="133"/>
      <c r="T206" s="133"/>
      <c r="U206" s="133"/>
      <c r="V206" s="133"/>
      <c r="W206" s="133"/>
      <c r="X206" s="133"/>
      <c r="Y206" s="133"/>
      <c r="Z206" s="133"/>
      <c r="AJ206" s="285"/>
      <c r="AK206" s="285"/>
      <c r="AL206" s="285"/>
      <c r="AM206" s="285"/>
      <c r="AN206" s="285"/>
    </row>
    <row r="207" spans="1:40" x14ac:dyDescent="0.35">
      <c r="A207" s="289"/>
      <c r="B207" s="348" t="s">
        <v>725</v>
      </c>
      <c r="C207" s="149">
        <f>'Inputs and eligible population'!R$117</f>
        <v>1</v>
      </c>
      <c r="D207" s="128">
        <f>('Financial impact (cash)'!D25*$C207*'Inputs and eligible population'!$R$118)/60</f>
        <v>0</v>
      </c>
      <c r="E207" s="128">
        <f>('Financial impact (cash)'!E25*$C207*'Inputs and eligible population'!$R$118)/60</f>
        <v>0</v>
      </c>
      <c r="F207" s="128">
        <f>('Financial impact (cash)'!F25*$C207*'Inputs and eligible population'!$R$118)/60</f>
        <v>0</v>
      </c>
      <c r="G207" s="128">
        <f>('Financial impact (cash)'!G25*$C207*'Inputs and eligible population'!$R$118)/60</f>
        <v>0</v>
      </c>
      <c r="H207" s="128">
        <f>('Financial impact (cash)'!H25*$C207*'Inputs and eligible population'!$R$118)/60</f>
        <v>0</v>
      </c>
      <c r="I207" s="128">
        <f>('Financial impact (cash)'!I25*$C207*'Inputs and eligible population'!$R$118)/60</f>
        <v>0</v>
      </c>
      <c r="J207" s="289"/>
      <c r="K207" s="572">
        <f>'Inputs and eligible population'!$AA$118</f>
        <v>42.84</v>
      </c>
      <c r="L207" s="291">
        <f t="shared" si="119"/>
        <v>0</v>
      </c>
      <c r="M207" s="291">
        <f t="shared" si="120"/>
        <v>0</v>
      </c>
      <c r="N207" s="291">
        <f t="shared" si="121"/>
        <v>0</v>
      </c>
      <c r="O207" s="291">
        <f t="shared" si="122"/>
        <v>0</v>
      </c>
      <c r="P207" s="291">
        <f t="shared" si="123"/>
        <v>0</v>
      </c>
      <c r="Q207" s="291">
        <f t="shared" si="124"/>
        <v>0</v>
      </c>
      <c r="R207" s="133"/>
      <c r="S207" s="133"/>
      <c r="T207" s="133"/>
      <c r="U207" s="133"/>
      <c r="V207" s="133"/>
      <c r="W207" s="133"/>
      <c r="X207" s="133"/>
      <c r="Y207" s="133"/>
      <c r="Z207" s="133"/>
      <c r="AJ207" s="285"/>
      <c r="AK207" s="285"/>
      <c r="AL207" s="285"/>
      <c r="AM207" s="285"/>
      <c r="AN207" s="285"/>
    </row>
    <row r="208" spans="1:40" x14ac:dyDescent="0.35">
      <c r="A208" s="289"/>
      <c r="B208" s="348" t="s">
        <v>727</v>
      </c>
      <c r="C208" s="149">
        <f>'Inputs and eligible population'!S$117</f>
        <v>1</v>
      </c>
      <c r="D208" s="128">
        <f>('Financial impact (cash)'!D26*$C208*'Inputs and eligible population'!$S$118)/60</f>
        <v>0</v>
      </c>
      <c r="E208" s="128">
        <f>('Financial impact (cash)'!E26*$C208*'Inputs and eligible population'!$S$118)/60</f>
        <v>0</v>
      </c>
      <c r="F208" s="128">
        <f>('Financial impact (cash)'!F26*$C208*'Inputs and eligible population'!$S$118)/60</f>
        <v>0</v>
      </c>
      <c r="G208" s="128">
        <f>('Financial impact (cash)'!G26*$C208*'Inputs and eligible population'!$S$118)/60</f>
        <v>0</v>
      </c>
      <c r="H208" s="128">
        <f>('Financial impact (cash)'!H26*$C208*'Inputs and eligible population'!$S$118)/60</f>
        <v>0</v>
      </c>
      <c r="I208" s="128">
        <f>('Financial impact (cash)'!I26*$C208*'Inputs and eligible population'!$S$118)/60</f>
        <v>0</v>
      </c>
      <c r="J208" s="289"/>
      <c r="K208" s="572">
        <f>'Inputs and eligible population'!$AA$118</f>
        <v>42.84</v>
      </c>
      <c r="L208" s="291">
        <f t="shared" si="119"/>
        <v>0</v>
      </c>
      <c r="M208" s="291">
        <f t="shared" si="120"/>
        <v>0</v>
      </c>
      <c r="N208" s="291">
        <f t="shared" si="121"/>
        <v>0</v>
      </c>
      <c r="O208" s="291">
        <f t="shared" si="122"/>
        <v>0</v>
      </c>
      <c r="P208" s="291">
        <f t="shared" si="123"/>
        <v>0</v>
      </c>
      <c r="Q208" s="291">
        <f t="shared" si="124"/>
        <v>0</v>
      </c>
      <c r="R208" s="133"/>
      <c r="S208" s="133"/>
      <c r="T208" s="133"/>
      <c r="U208" s="133"/>
      <c r="V208" s="133"/>
      <c r="W208" s="133"/>
      <c r="X208" s="133"/>
      <c r="Y208" s="133"/>
      <c r="Z208" s="133"/>
      <c r="AJ208" s="285"/>
      <c r="AK208" s="285"/>
      <c r="AL208" s="285"/>
      <c r="AM208" s="285"/>
      <c r="AN208" s="285"/>
    </row>
    <row r="209" spans="1:40" x14ac:dyDescent="0.35">
      <c r="A209" s="289"/>
      <c r="B209" s="348" t="s">
        <v>729</v>
      </c>
      <c r="C209" s="149">
        <f>'Inputs and eligible population'!T$117</f>
        <v>1</v>
      </c>
      <c r="D209" s="128">
        <f>('Financial impact (cash)'!D27*$C209*'Inputs and eligible population'!$T$118)/60</f>
        <v>0</v>
      </c>
      <c r="E209" s="128">
        <f>('Financial impact (cash)'!E27*$C209*'Inputs and eligible population'!$T$118)/60</f>
        <v>0</v>
      </c>
      <c r="F209" s="128">
        <f>('Financial impact (cash)'!F27*$C209*'Inputs and eligible population'!$T$118)/60</f>
        <v>0</v>
      </c>
      <c r="G209" s="128">
        <f>('Financial impact (cash)'!G27*$C209*'Inputs and eligible population'!$T$118)/60</f>
        <v>0</v>
      </c>
      <c r="H209" s="128">
        <f>('Financial impact (cash)'!H27*$C209*'Inputs and eligible population'!$T$118)/60</f>
        <v>0</v>
      </c>
      <c r="I209" s="128">
        <f>('Financial impact (cash)'!I27*$C209*'Inputs and eligible population'!$T$118)/60</f>
        <v>0</v>
      </c>
      <c r="J209" s="289"/>
      <c r="K209" s="572">
        <f>'Inputs and eligible population'!$AA$118</f>
        <v>42.84</v>
      </c>
      <c r="L209" s="291">
        <f t="shared" si="119"/>
        <v>0</v>
      </c>
      <c r="M209" s="291">
        <f t="shared" si="120"/>
        <v>0</v>
      </c>
      <c r="N209" s="291">
        <f t="shared" si="121"/>
        <v>0</v>
      </c>
      <c r="O209" s="291">
        <f t="shared" si="122"/>
        <v>0</v>
      </c>
      <c r="P209" s="291">
        <f t="shared" si="123"/>
        <v>0</v>
      </c>
      <c r="Q209" s="291">
        <f t="shared" si="124"/>
        <v>0</v>
      </c>
      <c r="R209" s="133"/>
      <c r="S209" s="133"/>
      <c r="T209" s="133"/>
      <c r="U209" s="133"/>
      <c r="V209" s="133"/>
      <c r="W209" s="133"/>
      <c r="X209" s="133"/>
      <c r="Y209" s="133"/>
      <c r="Z209" s="133"/>
      <c r="AJ209" s="285"/>
      <c r="AK209" s="285"/>
      <c r="AL209" s="285"/>
      <c r="AM209" s="285"/>
      <c r="AN209" s="285"/>
    </row>
    <row r="210" spans="1:40" x14ac:dyDescent="0.35">
      <c r="A210" s="289"/>
      <c r="B210" s="348" t="s">
        <v>731</v>
      </c>
      <c r="C210" s="149">
        <f>'Inputs and eligible population'!U$117</f>
        <v>2</v>
      </c>
      <c r="D210" s="128">
        <f>('Financial impact (cash)'!D28*$C210*'Inputs and eligible population'!$U$118)/60</f>
        <v>0</v>
      </c>
      <c r="E210" s="128">
        <f>('Financial impact (cash)'!E28*$C210*'Inputs and eligible population'!$U$118)/60</f>
        <v>0</v>
      </c>
      <c r="F210" s="128">
        <f>('Financial impact (cash)'!F28*$C210*'Inputs and eligible population'!$U$118)/60</f>
        <v>0</v>
      </c>
      <c r="G210" s="128">
        <f>('Financial impact (cash)'!G28*$C210*'Inputs and eligible population'!$U$118)/60</f>
        <v>0</v>
      </c>
      <c r="H210" s="128">
        <f>('Financial impact (cash)'!H28*$C210*'Inputs and eligible population'!$U$118)/60</f>
        <v>0</v>
      </c>
      <c r="I210" s="128">
        <f>('Financial impact (cash)'!I28*$C210*'Inputs and eligible population'!$U$118)/60</f>
        <v>0</v>
      </c>
      <c r="J210" s="289"/>
      <c r="K210" s="572">
        <f>'Inputs and eligible population'!$AA$118</f>
        <v>42.84</v>
      </c>
      <c r="L210" s="291">
        <f t="shared" si="119"/>
        <v>0</v>
      </c>
      <c r="M210" s="291">
        <f t="shared" si="120"/>
        <v>0</v>
      </c>
      <c r="N210" s="291">
        <f t="shared" si="121"/>
        <v>0</v>
      </c>
      <c r="O210" s="291">
        <f t="shared" si="122"/>
        <v>0</v>
      </c>
      <c r="P210" s="291">
        <f t="shared" si="123"/>
        <v>0</v>
      </c>
      <c r="Q210" s="291">
        <f t="shared" si="124"/>
        <v>0</v>
      </c>
      <c r="R210" s="133"/>
      <c r="S210" s="133"/>
      <c r="T210" s="133"/>
      <c r="U210" s="133"/>
      <c r="V210" s="133"/>
      <c r="W210" s="133"/>
      <c r="X210" s="133"/>
      <c r="Y210" s="133"/>
      <c r="Z210" s="133"/>
      <c r="AJ210" s="285"/>
      <c r="AK210" s="285"/>
      <c r="AL210" s="285"/>
      <c r="AM210" s="285"/>
      <c r="AN210" s="285"/>
    </row>
    <row r="211" spans="1:40" x14ac:dyDescent="0.35">
      <c r="A211" s="289"/>
      <c r="B211" s="348" t="s">
        <v>733</v>
      </c>
      <c r="C211" s="149">
        <f>'Inputs and eligible population'!V$117</f>
        <v>2</v>
      </c>
      <c r="D211" s="128">
        <f>('Financial impact (cash)'!D29*$C211*'Inputs and eligible population'!$V$118)/60</f>
        <v>0</v>
      </c>
      <c r="E211" s="128">
        <f>('Financial impact (cash)'!E29*$C211*'Inputs and eligible population'!$V$118)/60</f>
        <v>0</v>
      </c>
      <c r="F211" s="128">
        <f>('Financial impact (cash)'!F29*$C211*'Inputs and eligible population'!$V$118)/60</f>
        <v>0</v>
      </c>
      <c r="G211" s="128">
        <f>('Financial impact (cash)'!G29*$C211*'Inputs and eligible population'!$V$118)/60</f>
        <v>0</v>
      </c>
      <c r="H211" s="128">
        <f>('Financial impact (cash)'!H29*$C211*'Inputs and eligible population'!$V$118)/60</f>
        <v>0</v>
      </c>
      <c r="I211" s="128">
        <f>('Financial impact (cash)'!I29*$C211*'Inputs and eligible population'!$V$118)/60</f>
        <v>0</v>
      </c>
      <c r="J211" s="289"/>
      <c r="K211" s="572">
        <f>'Inputs and eligible population'!$AA$118</f>
        <v>42.84</v>
      </c>
      <c r="L211" s="291">
        <f t="shared" si="119"/>
        <v>0</v>
      </c>
      <c r="M211" s="291">
        <f t="shared" si="120"/>
        <v>0</v>
      </c>
      <c r="N211" s="291">
        <f t="shared" si="121"/>
        <v>0</v>
      </c>
      <c r="O211" s="291">
        <f t="shared" si="122"/>
        <v>0</v>
      </c>
      <c r="P211" s="291">
        <f t="shared" si="123"/>
        <v>0</v>
      </c>
      <c r="Q211" s="291">
        <f t="shared" si="124"/>
        <v>0</v>
      </c>
      <c r="R211" s="133"/>
      <c r="S211" s="133"/>
      <c r="T211" s="133"/>
      <c r="U211" s="133"/>
      <c r="V211" s="133"/>
      <c r="W211" s="133"/>
      <c r="X211" s="133"/>
      <c r="Y211" s="133"/>
      <c r="Z211" s="133"/>
      <c r="AJ211" s="285"/>
      <c r="AK211" s="285"/>
      <c r="AL211" s="285"/>
      <c r="AM211" s="285"/>
      <c r="AN211" s="285"/>
    </row>
    <row r="212" spans="1:40" x14ac:dyDescent="0.35">
      <c r="A212" s="289"/>
      <c r="B212" s="348" t="s">
        <v>735</v>
      </c>
      <c r="C212" s="149">
        <f>'Inputs and eligible population'!W$117</f>
        <v>1</v>
      </c>
      <c r="D212" s="128">
        <f>('Financial impact (cash)'!D30*$C212*'Inputs and eligible population'!$W$118)/60</f>
        <v>0</v>
      </c>
      <c r="E212" s="128">
        <f>('Financial impact (cash)'!E30*$C212*'Inputs and eligible population'!$W$118)/60</f>
        <v>0</v>
      </c>
      <c r="F212" s="128">
        <f>('Financial impact (cash)'!F30*$C212*'Inputs and eligible population'!$W$118)/60</f>
        <v>0</v>
      </c>
      <c r="G212" s="128">
        <f>('Financial impact (cash)'!G30*$C212*'Inputs and eligible population'!$W$118)/60</f>
        <v>0</v>
      </c>
      <c r="H212" s="128">
        <f>('Financial impact (cash)'!H30*$C212*'Inputs and eligible population'!$W$118)/60</f>
        <v>0</v>
      </c>
      <c r="I212" s="128">
        <f>('Financial impact (cash)'!I30*$C212*'Inputs and eligible population'!$W$118)/60</f>
        <v>0</v>
      </c>
      <c r="J212" s="289"/>
      <c r="K212" s="572">
        <f>'Inputs and eligible population'!$AA$118</f>
        <v>42.84</v>
      </c>
      <c r="L212" s="291">
        <f t="shared" si="119"/>
        <v>0</v>
      </c>
      <c r="M212" s="291">
        <f t="shared" si="120"/>
        <v>0</v>
      </c>
      <c r="N212" s="291">
        <f t="shared" si="121"/>
        <v>0</v>
      </c>
      <c r="O212" s="291">
        <f t="shared" si="122"/>
        <v>0</v>
      </c>
      <c r="P212" s="291">
        <f t="shared" si="123"/>
        <v>0</v>
      </c>
      <c r="Q212" s="291">
        <f t="shared" si="124"/>
        <v>0</v>
      </c>
      <c r="R212" s="133"/>
      <c r="S212" s="133"/>
      <c r="T212" s="133"/>
      <c r="U212" s="133"/>
      <c r="V212" s="133"/>
      <c r="W212" s="133"/>
      <c r="X212" s="133"/>
      <c r="Y212" s="133"/>
      <c r="Z212" s="133"/>
      <c r="AJ212" s="285"/>
      <c r="AK212" s="285"/>
      <c r="AL212" s="285"/>
      <c r="AM212" s="285"/>
      <c r="AN212" s="285"/>
    </row>
    <row r="213" spans="1:40" x14ac:dyDescent="0.35">
      <c r="A213" s="289"/>
      <c r="B213" s="348" t="s">
        <v>750</v>
      </c>
      <c r="C213" s="149">
        <f>'Inputs and eligible population'!X$117</f>
        <v>1</v>
      </c>
      <c r="D213" s="128">
        <f>('Financial impact (cash)'!D31*$C213*'Inputs and eligible population'!$X$118)/60</f>
        <v>0</v>
      </c>
      <c r="E213" s="128">
        <f>('Financial impact (cash)'!E31*$C213*'Inputs and eligible population'!$X$118)/60</f>
        <v>0</v>
      </c>
      <c r="F213" s="128">
        <f>('Financial impact (cash)'!F31*$C213*'Inputs and eligible population'!$X$118)/60</f>
        <v>0</v>
      </c>
      <c r="G213" s="128">
        <f>('Financial impact (cash)'!G31*$C213*'Inputs and eligible population'!$X$118)/60</f>
        <v>0</v>
      </c>
      <c r="H213" s="128">
        <f>('Financial impact (cash)'!H31*$C213*'Inputs and eligible population'!$X$118)/60</f>
        <v>0</v>
      </c>
      <c r="I213" s="128">
        <f>('Financial impact (cash)'!I31*$C213*'Inputs and eligible population'!$X$118)/60</f>
        <v>0</v>
      </c>
      <c r="J213" s="289"/>
      <c r="K213" s="572">
        <f>'Inputs and eligible population'!$AA$118</f>
        <v>42.84</v>
      </c>
      <c r="L213" s="291">
        <f t="shared" si="119"/>
        <v>0</v>
      </c>
      <c r="M213" s="291">
        <f t="shared" si="120"/>
        <v>0</v>
      </c>
      <c r="N213" s="291">
        <f t="shared" si="121"/>
        <v>0</v>
      </c>
      <c r="O213" s="291">
        <f t="shared" si="122"/>
        <v>0</v>
      </c>
      <c r="P213" s="291">
        <f t="shared" si="123"/>
        <v>0</v>
      </c>
      <c r="Q213" s="291">
        <f t="shared" si="124"/>
        <v>0</v>
      </c>
      <c r="R213" s="133"/>
      <c r="S213" s="133"/>
      <c r="T213" s="133"/>
      <c r="U213" s="133"/>
      <c r="V213" s="133"/>
      <c r="W213" s="133"/>
      <c r="X213" s="133"/>
      <c r="Y213" s="133"/>
      <c r="Z213" s="133"/>
      <c r="AJ213" s="285"/>
      <c r="AK213" s="285"/>
      <c r="AL213" s="285"/>
      <c r="AM213" s="285"/>
      <c r="AN213" s="285"/>
    </row>
    <row r="214" spans="1:40" x14ac:dyDescent="0.35">
      <c r="A214" s="289"/>
      <c r="B214" s="282"/>
      <c r="C214" s="205"/>
      <c r="D214" s="185">
        <f t="shared" ref="D214:I214" si="136">SUM(D195:D213)</f>
        <v>0</v>
      </c>
      <c r="E214" s="185">
        <f t="shared" si="136"/>
        <v>0</v>
      </c>
      <c r="F214" s="185">
        <f t="shared" si="136"/>
        <v>0</v>
      </c>
      <c r="G214" s="185">
        <f t="shared" si="136"/>
        <v>0</v>
      </c>
      <c r="H214" s="185">
        <f t="shared" si="136"/>
        <v>0</v>
      </c>
      <c r="I214" s="185">
        <f t="shared" si="136"/>
        <v>0</v>
      </c>
      <c r="J214" s="289"/>
      <c r="K214" s="289"/>
      <c r="L214" s="292">
        <f t="shared" ref="L214:Q214" si="137">SUM(L195:L213)</f>
        <v>0</v>
      </c>
      <c r="M214" s="292">
        <f t="shared" si="137"/>
        <v>0</v>
      </c>
      <c r="N214" s="292">
        <f t="shared" si="137"/>
        <v>0</v>
      </c>
      <c r="O214" s="292">
        <f t="shared" si="137"/>
        <v>0</v>
      </c>
      <c r="P214" s="292">
        <f t="shared" si="137"/>
        <v>0</v>
      </c>
      <c r="Q214" s="292">
        <f t="shared" si="137"/>
        <v>0</v>
      </c>
      <c r="R214" s="133"/>
      <c r="S214" s="133"/>
      <c r="T214" s="133"/>
      <c r="U214" s="133"/>
      <c r="V214" s="133"/>
      <c r="W214" s="133"/>
      <c r="X214" s="133"/>
      <c r="Y214" s="133"/>
      <c r="Z214" s="133"/>
      <c r="AJ214" s="285"/>
      <c r="AK214" s="285"/>
      <c r="AL214" s="285"/>
      <c r="AM214" s="285"/>
      <c r="AN214" s="285"/>
    </row>
    <row r="215" spans="1:40" x14ac:dyDescent="0.35">
      <c r="A215" s="289"/>
      <c r="B215" s="307"/>
      <c r="C215" s="256"/>
      <c r="D215" s="284" t="s">
        <v>1129</v>
      </c>
      <c r="E215" s="185">
        <f>E214-$D$214</f>
        <v>0</v>
      </c>
      <c r="F215" s="185">
        <f>F214-$D$214</f>
        <v>0</v>
      </c>
      <c r="G215" s="185">
        <f>G214-$D$214</f>
        <v>0</v>
      </c>
      <c r="H215" s="185">
        <f>H214-$D$214</f>
        <v>0</v>
      </c>
      <c r="I215" s="185">
        <f>I214-$D$214</f>
        <v>0</v>
      </c>
      <c r="J215" s="289"/>
      <c r="K215" s="289"/>
      <c r="L215" s="545"/>
      <c r="M215" s="292">
        <f>M214-$L$214</f>
        <v>0</v>
      </c>
      <c r="N215" s="292">
        <f>N214-$L$214</f>
        <v>0</v>
      </c>
      <c r="O215" s="292">
        <f>O214-$L$214</f>
        <v>0</v>
      </c>
      <c r="P215" s="292">
        <f>P214-$L$214</f>
        <v>0</v>
      </c>
      <c r="Q215" s="292">
        <f>Q214-$L$214</f>
        <v>0</v>
      </c>
      <c r="V215" s="133"/>
    </row>
    <row r="216" spans="1:40" x14ac:dyDescent="0.35">
      <c r="A216" s="289"/>
      <c r="B216" s="326"/>
      <c r="C216" s="221"/>
      <c r="D216" s="221"/>
      <c r="E216" s="221"/>
      <c r="F216" s="221"/>
      <c r="G216" s="221"/>
      <c r="H216" s="221"/>
      <c r="I216" s="221"/>
      <c r="J216" s="289"/>
      <c r="K216" s="289"/>
      <c r="L216" s="221"/>
      <c r="M216" s="221"/>
      <c r="N216" s="221"/>
      <c r="O216" s="221"/>
      <c r="P216" s="221"/>
      <c r="Q216" s="221"/>
      <c r="V216" s="133"/>
    </row>
    <row r="217" spans="1:40" x14ac:dyDescent="0.35">
      <c r="A217" s="289"/>
      <c r="B217" s="396" t="s">
        <v>1127</v>
      </c>
      <c r="C217" s="397"/>
      <c r="D217" s="397"/>
      <c r="E217" s="397"/>
      <c r="F217" s="397"/>
      <c r="G217" s="397"/>
      <c r="H217" s="397"/>
      <c r="I217" s="220"/>
      <c r="J217" s="289"/>
      <c r="K217" s="289"/>
      <c r="L217" s="430"/>
      <c r="M217" s="430"/>
      <c r="N217" s="430"/>
      <c r="O217" s="430"/>
      <c r="P217" s="430"/>
      <c r="Q217" s="430"/>
      <c r="R217" s="133"/>
      <c r="S217" s="133"/>
      <c r="T217" s="133"/>
      <c r="U217" s="133"/>
      <c r="V217" s="133"/>
      <c r="W217" s="133"/>
      <c r="X217" s="133"/>
      <c r="Y217" s="133"/>
      <c r="Z217" s="133"/>
      <c r="AJ217" s="285"/>
      <c r="AK217" s="285"/>
      <c r="AL217" s="285"/>
      <c r="AM217" s="285"/>
      <c r="AN217" s="285"/>
    </row>
    <row r="218" spans="1:40" ht="43.5" x14ac:dyDescent="0.35">
      <c r="A218" s="289"/>
      <c r="B218" s="278" t="s">
        <v>876</v>
      </c>
      <c r="C218" s="165" t="s">
        <v>1012</v>
      </c>
      <c r="D218" s="421" t="s">
        <v>957</v>
      </c>
      <c r="E218" s="255" t="s">
        <v>685</v>
      </c>
      <c r="F218" s="255" t="s">
        <v>686</v>
      </c>
      <c r="G218" s="164" t="s">
        <v>914</v>
      </c>
      <c r="H218" s="164" t="s">
        <v>915</v>
      </c>
      <c r="I218" s="255" t="s">
        <v>916</v>
      </c>
      <c r="J218" s="289"/>
      <c r="K218" s="556" t="s">
        <v>969</v>
      </c>
      <c r="L218" s="421" t="s">
        <v>957</v>
      </c>
      <c r="M218" s="255" t="s">
        <v>685</v>
      </c>
      <c r="N218" s="255" t="s">
        <v>686</v>
      </c>
      <c r="O218" s="164" t="s">
        <v>914</v>
      </c>
      <c r="P218" s="164" t="s">
        <v>915</v>
      </c>
      <c r="Q218" s="255" t="s">
        <v>916</v>
      </c>
      <c r="R218" s="133"/>
      <c r="S218" s="133"/>
      <c r="T218" s="133"/>
      <c r="U218" s="133"/>
      <c r="V218" s="133"/>
      <c r="W218" s="133"/>
      <c r="X218" s="133"/>
      <c r="Y218" s="133"/>
      <c r="Z218" s="133"/>
      <c r="AJ218" s="285"/>
      <c r="AK218" s="285"/>
      <c r="AL218" s="285"/>
      <c r="AM218" s="285"/>
      <c r="AN218" s="285"/>
    </row>
    <row r="219" spans="1:40" x14ac:dyDescent="0.35">
      <c r="A219" s="289"/>
      <c r="B219" s="348" t="s">
        <v>699</v>
      </c>
      <c r="C219" s="149">
        <f>'Inputs and eligible population'!F$119</f>
        <v>1</v>
      </c>
      <c r="D219" s="128">
        <f>('Financial impact (cash)'!D13*$C219*'Inputs and eligible population'!$F$120)/60</f>
        <v>0</v>
      </c>
      <c r="E219" s="128">
        <f>('Financial impact (cash)'!E13*$C219*'Inputs and eligible population'!$F$120)/60</f>
        <v>0</v>
      </c>
      <c r="F219" s="128">
        <f>('Financial impact (cash)'!F13*$C219*'Inputs and eligible population'!$F$120)/60</f>
        <v>0</v>
      </c>
      <c r="G219" s="128">
        <f>('Financial impact (cash)'!G13*$C219*'Inputs and eligible population'!$F$120)/60</f>
        <v>0</v>
      </c>
      <c r="H219" s="128">
        <f>('Financial impact (cash)'!H13*$C219*'Inputs and eligible population'!$F$120)/60</f>
        <v>0</v>
      </c>
      <c r="I219" s="128">
        <f>('Financial impact (cash)'!I13*$C219*'Inputs and eligible population'!$F$120)/60</f>
        <v>0</v>
      </c>
      <c r="J219" s="289"/>
      <c r="K219" s="572">
        <f>'Inputs and eligible population'!$AA$120</f>
        <v>34.700000000000003</v>
      </c>
      <c r="L219" s="291">
        <f>(D219*$K219)/1000</f>
        <v>0</v>
      </c>
      <c r="M219" s="291">
        <f t="shared" ref="M219:M237" si="138">(E219*$K219)/1000</f>
        <v>0</v>
      </c>
      <c r="N219" s="291">
        <f t="shared" ref="N219:N237" si="139">(F219*$K219)/1000</f>
        <v>0</v>
      </c>
      <c r="O219" s="291">
        <f t="shared" ref="O219:O237" si="140">(G219*$K219)/1000</f>
        <v>0</v>
      </c>
      <c r="P219" s="291">
        <f t="shared" ref="P219:P237" si="141">(H219*$K219)/1000</f>
        <v>0</v>
      </c>
      <c r="Q219" s="291">
        <f t="shared" ref="Q219:Q236" si="142">(I219*$K219)/1000</f>
        <v>0</v>
      </c>
      <c r="R219" s="133"/>
      <c r="S219" s="133"/>
      <c r="T219" s="133"/>
      <c r="U219" s="133"/>
      <c r="V219" s="133"/>
      <c r="W219" s="133"/>
      <c r="X219" s="133"/>
      <c r="Y219" s="133"/>
      <c r="Z219" s="133"/>
      <c r="AJ219" s="285"/>
      <c r="AK219" s="285"/>
      <c r="AL219" s="285"/>
      <c r="AM219" s="285"/>
      <c r="AN219" s="285"/>
    </row>
    <row r="220" spans="1:40" x14ac:dyDescent="0.35">
      <c r="A220" s="289"/>
      <c r="B220" s="348" t="s">
        <v>701</v>
      </c>
      <c r="C220" s="149">
        <f>'Inputs and eligible population'!G$119</f>
        <v>1</v>
      </c>
      <c r="D220" s="128">
        <f>('Financial impact (cash)'!D14*$C220*'Inputs and eligible population'!$G$120)/60</f>
        <v>0</v>
      </c>
      <c r="E220" s="128">
        <f>('Financial impact (cash)'!E14*$C220*'Inputs and eligible population'!$G$120)/60</f>
        <v>0</v>
      </c>
      <c r="F220" s="128">
        <f>('Financial impact (cash)'!F14*$C220*'Inputs and eligible population'!$G$120)/60</f>
        <v>0</v>
      </c>
      <c r="G220" s="128">
        <f>('Financial impact (cash)'!G14*$C220*'Inputs and eligible population'!$G$120)/60</f>
        <v>0</v>
      </c>
      <c r="H220" s="128">
        <f>('Financial impact (cash)'!H14*$C220*'Inputs and eligible population'!$G$120)/60</f>
        <v>0</v>
      </c>
      <c r="I220" s="128">
        <f>('Financial impact (cash)'!I14*$C220*'Inputs and eligible population'!$G$120)/60</f>
        <v>0</v>
      </c>
      <c r="J220" s="289"/>
      <c r="K220" s="572">
        <f>'Inputs and eligible population'!$AA$120</f>
        <v>34.700000000000003</v>
      </c>
      <c r="L220" s="291">
        <f t="shared" ref="L220:L237" si="143">(D220*$K220)/1000</f>
        <v>0</v>
      </c>
      <c r="M220" s="291">
        <f t="shared" si="138"/>
        <v>0</v>
      </c>
      <c r="N220" s="291">
        <f t="shared" si="139"/>
        <v>0</v>
      </c>
      <c r="O220" s="291">
        <f t="shared" si="140"/>
        <v>0</v>
      </c>
      <c r="P220" s="291">
        <f t="shared" si="141"/>
        <v>0</v>
      </c>
      <c r="Q220" s="291">
        <f t="shared" si="142"/>
        <v>0</v>
      </c>
      <c r="R220" s="133"/>
      <c r="S220" s="133"/>
      <c r="T220" s="133"/>
      <c r="U220" s="133"/>
      <c r="V220" s="133"/>
      <c r="W220" s="133"/>
      <c r="X220" s="133"/>
      <c r="Y220" s="133"/>
      <c r="Z220" s="133"/>
      <c r="AJ220" s="285"/>
      <c r="AK220" s="285"/>
      <c r="AL220" s="285"/>
      <c r="AM220" s="285"/>
      <c r="AN220" s="285"/>
    </row>
    <row r="221" spans="1:40" x14ac:dyDescent="0.35">
      <c r="A221" s="289"/>
      <c r="B221" s="348" t="s">
        <v>703</v>
      </c>
      <c r="C221" s="149">
        <f>'Inputs and eligible population'!H$119</f>
        <v>1</v>
      </c>
      <c r="D221" s="128">
        <f>('Financial impact (cash)'!D15*$C221*'Inputs and eligible population'!$H$120)/60</f>
        <v>0</v>
      </c>
      <c r="E221" s="128">
        <f>('Financial impact (cash)'!E15*$C221*'Inputs and eligible population'!$H$120)/60</f>
        <v>0</v>
      </c>
      <c r="F221" s="128">
        <f>('Financial impact (cash)'!F15*$C221*'Inputs and eligible population'!$H$120)/60</f>
        <v>0</v>
      </c>
      <c r="G221" s="128">
        <f>('Financial impact (cash)'!G15*$C221*'Inputs and eligible population'!$H$120)/60</f>
        <v>0</v>
      </c>
      <c r="H221" s="128">
        <f>('Financial impact (cash)'!H15*$C221*'Inputs and eligible population'!$H$120)/60</f>
        <v>0</v>
      </c>
      <c r="I221" s="128">
        <f>('Financial impact (cash)'!I15*$C221*'Inputs and eligible population'!$H$120)/60</f>
        <v>0</v>
      </c>
      <c r="J221" s="289"/>
      <c r="K221" s="572">
        <f>'Inputs and eligible population'!$AA$120</f>
        <v>34.700000000000003</v>
      </c>
      <c r="L221" s="291">
        <f t="shared" ref="L221" si="144">(D221*$K221)/1000</f>
        <v>0</v>
      </c>
      <c r="M221" s="291">
        <f t="shared" ref="M221" si="145">(E221*$K221)/1000</f>
        <v>0</v>
      </c>
      <c r="N221" s="291">
        <f t="shared" ref="N221" si="146">(F221*$K221)/1000</f>
        <v>0</v>
      </c>
      <c r="O221" s="291">
        <f t="shared" ref="O221" si="147">(G221*$K221)/1000</f>
        <v>0</v>
      </c>
      <c r="P221" s="291">
        <f t="shared" ref="P221" si="148">(H221*$K221)/1000</f>
        <v>0</v>
      </c>
      <c r="Q221" s="291">
        <f t="shared" ref="Q221" si="149">(I221*$K221)/1000</f>
        <v>0</v>
      </c>
      <c r="R221" s="133"/>
      <c r="S221" s="133"/>
      <c r="T221" s="133"/>
      <c r="U221" s="133"/>
      <c r="V221" s="133"/>
      <c r="W221" s="133"/>
      <c r="X221" s="133"/>
      <c r="Y221" s="133"/>
      <c r="Z221" s="133"/>
      <c r="AJ221" s="285"/>
      <c r="AK221" s="285"/>
      <c r="AL221" s="285"/>
      <c r="AM221" s="285"/>
      <c r="AN221" s="285"/>
    </row>
    <row r="222" spans="1:40" x14ac:dyDescent="0.35">
      <c r="A222" s="289"/>
      <c r="B222" s="348" t="s">
        <v>705</v>
      </c>
      <c r="C222" s="149">
        <f>'Inputs and eligible population'!I$119</f>
        <v>1</v>
      </c>
      <c r="D222" s="128">
        <f>('Financial impact (cash)'!D16*$C222*'Inputs and eligible population'!$I$120)/60</f>
        <v>0</v>
      </c>
      <c r="E222" s="128">
        <f>('Financial impact (cash)'!E16*$C222*'Inputs and eligible population'!$I$120)/60</f>
        <v>0</v>
      </c>
      <c r="F222" s="128">
        <f>('Financial impact (cash)'!F16*$C222*'Inputs and eligible population'!$I$120)/60</f>
        <v>0</v>
      </c>
      <c r="G222" s="128">
        <f>('Financial impact (cash)'!G16*$C222*'Inputs and eligible population'!$I$120)/60</f>
        <v>0</v>
      </c>
      <c r="H222" s="128">
        <f>('Financial impact (cash)'!H16*$C222*'Inputs and eligible population'!$I$120)/60</f>
        <v>0</v>
      </c>
      <c r="I222" s="128">
        <f>('Financial impact (cash)'!I16*$C222*'Inputs and eligible population'!$I$120)/60</f>
        <v>0</v>
      </c>
      <c r="J222" s="289"/>
      <c r="K222" s="572">
        <f>'Inputs and eligible population'!$AA$120</f>
        <v>34.700000000000003</v>
      </c>
      <c r="L222" s="291">
        <f t="shared" si="143"/>
        <v>0</v>
      </c>
      <c r="M222" s="291">
        <f t="shared" si="138"/>
        <v>0</v>
      </c>
      <c r="N222" s="291">
        <f t="shared" si="139"/>
        <v>0</v>
      </c>
      <c r="O222" s="291">
        <f t="shared" si="140"/>
        <v>0</v>
      </c>
      <c r="P222" s="291">
        <f t="shared" si="141"/>
        <v>0</v>
      </c>
      <c r="Q222" s="291">
        <f t="shared" si="142"/>
        <v>0</v>
      </c>
      <c r="R222" s="133"/>
      <c r="S222" s="133"/>
      <c r="T222" s="133"/>
      <c r="U222" s="133"/>
      <c r="V222" s="133"/>
      <c r="W222" s="133"/>
      <c r="X222" s="133"/>
      <c r="Y222" s="133"/>
      <c r="Z222" s="133"/>
      <c r="AJ222" s="285"/>
      <c r="AK222" s="285"/>
      <c r="AL222" s="285"/>
      <c r="AM222" s="285"/>
      <c r="AN222" s="285"/>
    </row>
    <row r="223" spans="1:40" x14ac:dyDescent="0.35">
      <c r="A223" s="289"/>
      <c r="B223" s="348" t="s">
        <v>749</v>
      </c>
      <c r="C223" s="149">
        <f>'Inputs and eligible population'!J$119</f>
        <v>1</v>
      </c>
      <c r="D223" s="128">
        <f>('Financial impact (cash)'!D17*$C223*'Inputs and eligible population'!$J$120)/60</f>
        <v>0</v>
      </c>
      <c r="E223" s="128">
        <f>('Financial impact (cash)'!E17*$C223*'Inputs and eligible population'!$J$120)/60</f>
        <v>0</v>
      </c>
      <c r="F223" s="128">
        <f>('Financial impact (cash)'!F17*$C223*'Inputs and eligible population'!$J$120)/60</f>
        <v>0</v>
      </c>
      <c r="G223" s="128">
        <f>('Financial impact (cash)'!G17*$C223*'Inputs and eligible population'!$J$120)/60</f>
        <v>0</v>
      </c>
      <c r="H223" s="128">
        <f>('Financial impact (cash)'!H17*$C223*'Inputs and eligible population'!$J$120)/60</f>
        <v>0</v>
      </c>
      <c r="I223" s="128">
        <f>('Financial impact (cash)'!I17*$C223*'Inputs and eligible population'!$J$120)/60</f>
        <v>0</v>
      </c>
      <c r="J223" s="289"/>
      <c r="K223" s="572">
        <f>'Inputs and eligible population'!$AA$120</f>
        <v>34.700000000000003</v>
      </c>
      <c r="L223" s="291">
        <f t="shared" si="143"/>
        <v>0</v>
      </c>
      <c r="M223" s="291">
        <f t="shared" si="138"/>
        <v>0</v>
      </c>
      <c r="N223" s="291">
        <f t="shared" si="139"/>
        <v>0</v>
      </c>
      <c r="O223" s="291">
        <f t="shared" si="140"/>
        <v>0</v>
      </c>
      <c r="P223" s="291">
        <f t="shared" si="141"/>
        <v>0</v>
      </c>
      <c r="Q223" s="291">
        <f t="shared" si="142"/>
        <v>0</v>
      </c>
      <c r="R223" s="133"/>
      <c r="S223" s="133"/>
      <c r="T223" s="133"/>
      <c r="U223" s="133"/>
      <c r="V223" s="133"/>
      <c r="W223" s="133"/>
      <c r="X223" s="133"/>
      <c r="Y223" s="133"/>
      <c r="Z223" s="133"/>
      <c r="AJ223" s="285"/>
      <c r="AK223" s="285"/>
      <c r="AL223" s="285"/>
      <c r="AM223" s="285"/>
      <c r="AN223" s="285"/>
    </row>
    <row r="224" spans="1:40" x14ac:dyDescent="0.35">
      <c r="A224" s="289"/>
      <c r="B224" s="348" t="s">
        <v>711</v>
      </c>
      <c r="C224" s="149">
        <f>'Inputs and eligible population'!K$119</f>
        <v>3</v>
      </c>
      <c r="D224" s="128">
        <f>('Financial impact (cash)'!D18*$C224*'Inputs and eligible population'!$K$120)/60</f>
        <v>0</v>
      </c>
      <c r="E224" s="128">
        <f>('Financial impact (cash)'!E18*$C224*'Inputs and eligible population'!$K$120)/60</f>
        <v>0</v>
      </c>
      <c r="F224" s="128">
        <f>('Financial impact (cash)'!F18*$C224*'Inputs and eligible population'!$K$120)/60</f>
        <v>0</v>
      </c>
      <c r="G224" s="128">
        <f>('Financial impact (cash)'!G18*$C224*'Inputs and eligible population'!$K$120)/60</f>
        <v>0</v>
      </c>
      <c r="H224" s="128">
        <f>('Financial impact (cash)'!H18*$C224*'Inputs and eligible population'!$K$120)/60</f>
        <v>0</v>
      </c>
      <c r="I224" s="128">
        <f>('Financial impact (cash)'!I18*$C224*'Inputs and eligible population'!$K$120)/60</f>
        <v>0</v>
      </c>
      <c r="J224" s="289"/>
      <c r="K224" s="572">
        <f>'Inputs and eligible population'!$AA$120</f>
        <v>34.700000000000003</v>
      </c>
      <c r="L224" s="291">
        <f t="shared" si="143"/>
        <v>0</v>
      </c>
      <c r="M224" s="291">
        <f t="shared" si="138"/>
        <v>0</v>
      </c>
      <c r="N224" s="291">
        <f t="shared" si="139"/>
        <v>0</v>
      </c>
      <c r="O224" s="291">
        <f t="shared" si="140"/>
        <v>0</v>
      </c>
      <c r="P224" s="291">
        <f t="shared" si="141"/>
        <v>0</v>
      </c>
      <c r="Q224" s="291">
        <f t="shared" si="142"/>
        <v>0</v>
      </c>
      <c r="R224" s="133"/>
      <c r="S224" s="133"/>
      <c r="T224" s="133"/>
      <c r="U224" s="133"/>
      <c r="V224" s="133"/>
      <c r="W224" s="133"/>
      <c r="X224" s="133"/>
      <c r="Y224" s="133"/>
      <c r="Z224" s="133"/>
      <c r="AJ224" s="285"/>
      <c r="AK224" s="285"/>
      <c r="AL224" s="285"/>
      <c r="AM224" s="285"/>
      <c r="AN224" s="285"/>
    </row>
    <row r="225" spans="1:40" x14ac:dyDescent="0.35">
      <c r="A225" s="289"/>
      <c r="B225" s="348" t="s">
        <v>1101</v>
      </c>
      <c r="C225" s="149">
        <f>'Inputs and eligible population'!L$119</f>
        <v>3</v>
      </c>
      <c r="D225" s="128">
        <f>('Financial impact (cash)'!D19*$C225*'Inputs and eligible population'!$L$120)/60</f>
        <v>0</v>
      </c>
      <c r="E225" s="128">
        <f>('Financial impact (cash)'!E19*$C225*'Inputs and eligible population'!$L$120)/60</f>
        <v>0</v>
      </c>
      <c r="F225" s="128">
        <f>('Financial impact (cash)'!F19*$C225*'Inputs and eligible population'!$L$120)/60</f>
        <v>0</v>
      </c>
      <c r="G225" s="128">
        <f>('Financial impact (cash)'!G19*$C225*'Inputs and eligible population'!$L$120)/60</f>
        <v>0</v>
      </c>
      <c r="H225" s="128">
        <f>('Financial impact (cash)'!H19*$C225*'Inputs and eligible population'!$L$120)/60</f>
        <v>0</v>
      </c>
      <c r="I225" s="128">
        <f>('Financial impact (cash)'!I19*$C225*'Inputs and eligible population'!$L$120)/60</f>
        <v>0</v>
      </c>
      <c r="J225" s="289"/>
      <c r="K225" s="572">
        <f>'Inputs and eligible population'!$AA$120</f>
        <v>34.700000000000003</v>
      </c>
      <c r="L225" s="291">
        <f t="shared" ref="L225" si="150">(D225*$K225)/1000</f>
        <v>0</v>
      </c>
      <c r="M225" s="291">
        <f t="shared" ref="M225" si="151">(E225*$K225)/1000</f>
        <v>0</v>
      </c>
      <c r="N225" s="291">
        <f t="shared" ref="N225" si="152">(F225*$K225)/1000</f>
        <v>0</v>
      </c>
      <c r="O225" s="291">
        <f t="shared" ref="O225" si="153">(G225*$K225)/1000</f>
        <v>0</v>
      </c>
      <c r="P225" s="291">
        <f t="shared" ref="P225" si="154">(H225*$K225)/1000</f>
        <v>0</v>
      </c>
      <c r="Q225" s="291">
        <f t="shared" ref="Q225" si="155">(I225*$K225)/1000</f>
        <v>0</v>
      </c>
      <c r="R225" s="133"/>
      <c r="S225" s="133"/>
      <c r="T225" s="133"/>
      <c r="U225" s="133"/>
      <c r="V225" s="133"/>
      <c r="W225" s="133"/>
      <c r="X225" s="133"/>
      <c r="Y225" s="133"/>
      <c r="Z225" s="133"/>
      <c r="AJ225" s="285"/>
      <c r="AK225" s="285"/>
      <c r="AL225" s="285"/>
      <c r="AM225" s="285"/>
      <c r="AN225" s="285"/>
    </row>
    <row r="226" spans="1:40" x14ac:dyDescent="0.35">
      <c r="A226" s="289"/>
      <c r="B226" s="348" t="s">
        <v>714</v>
      </c>
      <c r="C226" s="149">
        <f>'Inputs and eligible population'!M$119</f>
        <v>2</v>
      </c>
      <c r="D226" s="128">
        <f>('Financial impact (cash)'!D20*$C226*'Inputs and eligible population'!$M$120)/60</f>
        <v>0</v>
      </c>
      <c r="E226" s="128">
        <f>('Financial impact (cash)'!E20*$C226*'Inputs and eligible population'!$M$120)/60</f>
        <v>0</v>
      </c>
      <c r="F226" s="128">
        <f>('Financial impact (cash)'!F20*$C226*'Inputs and eligible population'!$M$120)/60</f>
        <v>0</v>
      </c>
      <c r="G226" s="128">
        <f>('Financial impact (cash)'!G20*$C226*'Inputs and eligible population'!$M$120)/60</f>
        <v>0</v>
      </c>
      <c r="H226" s="128">
        <f>('Financial impact (cash)'!H20*$C226*'Inputs and eligible population'!$M$120)/60</f>
        <v>0</v>
      </c>
      <c r="I226" s="128">
        <f>('Financial impact (cash)'!I20*$C226*'Inputs and eligible population'!$M$120)/60</f>
        <v>0</v>
      </c>
      <c r="J226" s="289"/>
      <c r="K226" s="572">
        <f>'Inputs and eligible population'!$AA$120</f>
        <v>34.700000000000003</v>
      </c>
      <c r="L226" s="291">
        <f t="shared" si="143"/>
        <v>0</v>
      </c>
      <c r="M226" s="291">
        <f t="shared" si="138"/>
        <v>0</v>
      </c>
      <c r="N226" s="291">
        <f t="shared" si="139"/>
        <v>0</v>
      </c>
      <c r="O226" s="291">
        <f t="shared" si="140"/>
        <v>0</v>
      </c>
      <c r="P226" s="291">
        <f t="shared" si="141"/>
        <v>0</v>
      </c>
      <c r="Q226" s="291">
        <f t="shared" si="142"/>
        <v>0</v>
      </c>
      <c r="R226" s="133"/>
      <c r="S226" s="133"/>
      <c r="T226" s="133"/>
      <c r="U226" s="133"/>
      <c r="V226" s="133"/>
      <c r="W226" s="133"/>
      <c r="X226" s="133"/>
      <c r="Y226" s="133"/>
      <c r="Z226" s="133"/>
      <c r="AJ226" s="285"/>
      <c r="AK226" s="285"/>
      <c r="AL226" s="285"/>
      <c r="AM226" s="285"/>
      <c r="AN226" s="285"/>
    </row>
    <row r="227" spans="1:40" x14ac:dyDescent="0.35">
      <c r="A227" s="289"/>
      <c r="B227" s="348" t="s">
        <v>717</v>
      </c>
      <c r="C227" s="149">
        <f>'Inputs and eligible population'!N$119</f>
        <v>2</v>
      </c>
      <c r="D227" s="128">
        <f>('Financial impact (cash)'!D21*$C227*'Inputs and eligible population'!$N$120)/60</f>
        <v>0</v>
      </c>
      <c r="E227" s="128">
        <f>('Financial impact (cash)'!E21*$C227*'Inputs and eligible population'!$N$120)/60</f>
        <v>0</v>
      </c>
      <c r="F227" s="128">
        <f>('Financial impact (cash)'!F21*$C227*'Inputs and eligible population'!$N$120)/60</f>
        <v>0</v>
      </c>
      <c r="G227" s="128">
        <f>('Financial impact (cash)'!G21*$C227*'Inputs and eligible population'!$N$120)/60</f>
        <v>0</v>
      </c>
      <c r="H227" s="128">
        <f>('Financial impact (cash)'!H21*$C227*'Inputs and eligible population'!$N$120)/60</f>
        <v>0</v>
      </c>
      <c r="I227" s="128">
        <f>('Financial impact (cash)'!I21*$C227*'Inputs and eligible population'!$N$120)/60</f>
        <v>0</v>
      </c>
      <c r="J227" s="289"/>
      <c r="K227" s="572">
        <f>'Inputs and eligible population'!$AA$120</f>
        <v>34.700000000000003</v>
      </c>
      <c r="L227" s="291">
        <f t="shared" si="143"/>
        <v>0</v>
      </c>
      <c r="M227" s="291">
        <f t="shared" si="138"/>
        <v>0</v>
      </c>
      <c r="N227" s="291">
        <f t="shared" si="139"/>
        <v>0</v>
      </c>
      <c r="O227" s="291">
        <f t="shared" si="140"/>
        <v>0</v>
      </c>
      <c r="P227" s="291">
        <f t="shared" si="141"/>
        <v>0</v>
      </c>
      <c r="Q227" s="291">
        <f t="shared" si="142"/>
        <v>0</v>
      </c>
      <c r="R227" s="133"/>
      <c r="S227" s="133"/>
      <c r="T227" s="133"/>
      <c r="U227" s="133"/>
      <c r="V227" s="133"/>
      <c r="W227" s="133"/>
      <c r="X227" s="133"/>
      <c r="Y227" s="133"/>
      <c r="Z227" s="133"/>
      <c r="AJ227" s="285"/>
      <c r="AK227" s="285"/>
      <c r="AL227" s="285"/>
      <c r="AM227" s="285"/>
      <c r="AN227" s="285"/>
    </row>
    <row r="228" spans="1:40" x14ac:dyDescent="0.35">
      <c r="A228" s="289"/>
      <c r="B228" s="348" t="s">
        <v>719</v>
      </c>
      <c r="C228" s="149">
        <f>'Inputs and eligible population'!O$119</f>
        <v>3</v>
      </c>
      <c r="D228" s="128">
        <f>('Financial impact (cash)'!D22*$C228*'Inputs and eligible population'!$O$120)/60</f>
        <v>0</v>
      </c>
      <c r="E228" s="128">
        <f>('Financial impact (cash)'!E22*$C228*'Inputs and eligible population'!$O$120)/60</f>
        <v>0</v>
      </c>
      <c r="F228" s="128">
        <f>('Financial impact (cash)'!F22*$C228*'Inputs and eligible population'!$O$120)/60</f>
        <v>0</v>
      </c>
      <c r="G228" s="128">
        <f>('Financial impact (cash)'!G22*$C228*'Inputs and eligible population'!$O$120)/60</f>
        <v>0</v>
      </c>
      <c r="H228" s="128">
        <f>('Financial impact (cash)'!H22*$C228*'Inputs and eligible population'!$O$120)/60</f>
        <v>0</v>
      </c>
      <c r="I228" s="128">
        <f>('Financial impact (cash)'!I22*$C228*'Inputs and eligible population'!$O$120)/60</f>
        <v>0</v>
      </c>
      <c r="J228" s="289"/>
      <c r="K228" s="572">
        <f>'Inputs and eligible population'!$AA$120</f>
        <v>34.700000000000003</v>
      </c>
      <c r="L228" s="291">
        <f t="shared" si="143"/>
        <v>0</v>
      </c>
      <c r="M228" s="291">
        <f t="shared" si="138"/>
        <v>0</v>
      </c>
      <c r="N228" s="291">
        <f t="shared" si="139"/>
        <v>0</v>
      </c>
      <c r="O228" s="291">
        <f t="shared" si="140"/>
        <v>0</v>
      </c>
      <c r="P228" s="291">
        <f t="shared" si="141"/>
        <v>0</v>
      </c>
      <c r="Q228" s="291">
        <f t="shared" si="142"/>
        <v>0</v>
      </c>
      <c r="R228" s="133"/>
      <c r="S228" s="133"/>
      <c r="T228" s="133"/>
      <c r="U228" s="133"/>
      <c r="V228" s="133"/>
      <c r="W228" s="133"/>
      <c r="X228" s="133"/>
      <c r="Y228" s="133"/>
      <c r="Z228" s="133"/>
      <c r="AJ228" s="285"/>
      <c r="AK228" s="285"/>
      <c r="AL228" s="285"/>
      <c r="AM228" s="285"/>
      <c r="AN228" s="285"/>
    </row>
    <row r="229" spans="1:40" x14ac:dyDescent="0.35">
      <c r="A229" s="289"/>
      <c r="B229" s="348" t="s">
        <v>721</v>
      </c>
      <c r="C229" s="149">
        <f>'Inputs and eligible population'!P$119</f>
        <v>2</v>
      </c>
      <c r="D229" s="128">
        <f>('Financial impact (cash)'!D23*$C229*'Inputs and eligible population'!$P$120)/60</f>
        <v>0</v>
      </c>
      <c r="E229" s="128">
        <f>('Financial impact (cash)'!E23*$C229*'Inputs and eligible population'!$P$120)/60</f>
        <v>0</v>
      </c>
      <c r="F229" s="128">
        <f>('Financial impact (cash)'!F23*$C229*'Inputs and eligible population'!$P$120)/60</f>
        <v>0</v>
      </c>
      <c r="G229" s="128">
        <f>('Financial impact (cash)'!G23*$C229*'Inputs and eligible population'!$P$120)/60</f>
        <v>0</v>
      </c>
      <c r="H229" s="128">
        <f>('Financial impact (cash)'!H23*$C229*'Inputs and eligible population'!$P$120)/60</f>
        <v>0</v>
      </c>
      <c r="I229" s="128">
        <f>('Financial impact (cash)'!I23*$C229*'Inputs and eligible population'!$P$120)/60</f>
        <v>0</v>
      </c>
      <c r="J229" s="289"/>
      <c r="K229" s="572">
        <f>'Inputs and eligible population'!$AA$120</f>
        <v>34.700000000000003</v>
      </c>
      <c r="L229" s="291">
        <f t="shared" si="143"/>
        <v>0</v>
      </c>
      <c r="M229" s="291">
        <f t="shared" si="138"/>
        <v>0</v>
      </c>
      <c r="N229" s="291">
        <f t="shared" si="139"/>
        <v>0</v>
      </c>
      <c r="O229" s="291">
        <f t="shared" si="140"/>
        <v>0</v>
      </c>
      <c r="P229" s="291">
        <f t="shared" si="141"/>
        <v>0</v>
      </c>
      <c r="Q229" s="291">
        <f t="shared" si="142"/>
        <v>0</v>
      </c>
      <c r="R229" s="133"/>
      <c r="S229" s="133"/>
      <c r="T229" s="133"/>
      <c r="U229" s="133"/>
      <c r="V229" s="133"/>
      <c r="W229" s="133"/>
      <c r="X229" s="133"/>
      <c r="Y229" s="133"/>
      <c r="Z229" s="133"/>
      <c r="AJ229" s="285"/>
      <c r="AK229" s="285"/>
      <c r="AL229" s="285"/>
      <c r="AM229" s="285"/>
      <c r="AN229" s="285"/>
    </row>
    <row r="230" spans="1:40" x14ac:dyDescent="0.35">
      <c r="A230" s="289"/>
      <c r="B230" s="348" t="s">
        <v>723</v>
      </c>
      <c r="C230" s="149">
        <f>'Inputs and eligible population'!Q$119</f>
        <v>1</v>
      </c>
      <c r="D230" s="128">
        <f>('Financial impact (cash)'!D24*$C230*'Inputs and eligible population'!$Q$120)/60</f>
        <v>0</v>
      </c>
      <c r="E230" s="128">
        <f>('Financial impact (cash)'!E24*$C230*'Inputs and eligible population'!$Q$120)/60</f>
        <v>0</v>
      </c>
      <c r="F230" s="128">
        <f>('Financial impact (cash)'!F24*$C230*'Inputs and eligible population'!$Q$120)/60</f>
        <v>0</v>
      </c>
      <c r="G230" s="128">
        <f>('Financial impact (cash)'!G24*$C230*'Inputs and eligible population'!$Q$120)/60</f>
        <v>0</v>
      </c>
      <c r="H230" s="128">
        <f>('Financial impact (cash)'!H24*$C230*'Inputs and eligible population'!$Q$120)/60</f>
        <v>0</v>
      </c>
      <c r="I230" s="128">
        <f>('Financial impact (cash)'!I24*$C230*'Inputs and eligible population'!$Q$120)/60</f>
        <v>0</v>
      </c>
      <c r="J230" s="289"/>
      <c r="K230" s="572">
        <f>'Inputs and eligible population'!$AA$120</f>
        <v>34.700000000000003</v>
      </c>
      <c r="L230" s="291">
        <f t="shared" si="143"/>
        <v>0</v>
      </c>
      <c r="M230" s="291">
        <f t="shared" si="138"/>
        <v>0</v>
      </c>
      <c r="N230" s="291">
        <f t="shared" si="139"/>
        <v>0</v>
      </c>
      <c r="O230" s="291">
        <f t="shared" si="140"/>
        <v>0</v>
      </c>
      <c r="P230" s="291">
        <f t="shared" si="141"/>
        <v>0</v>
      </c>
      <c r="Q230" s="291">
        <f t="shared" si="142"/>
        <v>0</v>
      </c>
      <c r="R230" s="133"/>
      <c r="S230" s="133"/>
      <c r="T230" s="133"/>
      <c r="U230" s="133"/>
      <c r="V230" s="133"/>
      <c r="W230" s="133"/>
      <c r="X230" s="133"/>
      <c r="Y230" s="133"/>
      <c r="Z230" s="133"/>
      <c r="AJ230" s="285"/>
      <c r="AK230" s="285"/>
      <c r="AL230" s="285"/>
      <c r="AM230" s="285"/>
      <c r="AN230" s="285"/>
    </row>
    <row r="231" spans="1:40" x14ac:dyDescent="0.35">
      <c r="A231" s="289"/>
      <c r="B231" s="348" t="s">
        <v>725</v>
      </c>
      <c r="C231" s="149">
        <f>'Inputs and eligible population'!R$119</f>
        <v>1</v>
      </c>
      <c r="D231" s="128">
        <f>('Financial impact (cash)'!D25*$C231*'Inputs and eligible population'!$R$120)/60</f>
        <v>0</v>
      </c>
      <c r="E231" s="128">
        <f>('Financial impact (cash)'!E25*$C231*'Inputs and eligible population'!$R$120)/60</f>
        <v>0</v>
      </c>
      <c r="F231" s="128">
        <f>('Financial impact (cash)'!F25*$C231*'Inputs and eligible population'!$R$120)/60</f>
        <v>0</v>
      </c>
      <c r="G231" s="128">
        <f>('Financial impact (cash)'!G25*$C231*'Inputs and eligible population'!$R$120)/60</f>
        <v>0</v>
      </c>
      <c r="H231" s="128">
        <f>('Financial impact (cash)'!H25*$C231*'Inputs and eligible population'!$R$120)/60</f>
        <v>0</v>
      </c>
      <c r="I231" s="128">
        <f>('Financial impact (cash)'!I25*$C231*'Inputs and eligible population'!$R$120)/60</f>
        <v>0</v>
      </c>
      <c r="J231" s="289"/>
      <c r="K231" s="572">
        <f>'Inputs and eligible population'!$AA$120</f>
        <v>34.700000000000003</v>
      </c>
      <c r="L231" s="291">
        <f t="shared" si="143"/>
        <v>0</v>
      </c>
      <c r="M231" s="291">
        <f t="shared" si="138"/>
        <v>0</v>
      </c>
      <c r="N231" s="291">
        <f t="shared" si="139"/>
        <v>0</v>
      </c>
      <c r="O231" s="291">
        <f t="shared" si="140"/>
        <v>0</v>
      </c>
      <c r="P231" s="291">
        <f t="shared" si="141"/>
        <v>0</v>
      </c>
      <c r="Q231" s="291">
        <f t="shared" si="142"/>
        <v>0</v>
      </c>
      <c r="R231" s="133"/>
      <c r="S231" s="133"/>
      <c r="T231" s="133"/>
      <c r="U231" s="133"/>
      <c r="V231" s="133"/>
      <c r="W231" s="133"/>
      <c r="X231" s="133"/>
      <c r="Y231" s="133"/>
      <c r="Z231" s="133"/>
      <c r="AJ231" s="285"/>
      <c r="AK231" s="285"/>
      <c r="AL231" s="285"/>
      <c r="AM231" s="285"/>
      <c r="AN231" s="285"/>
    </row>
    <row r="232" spans="1:40" x14ac:dyDescent="0.35">
      <c r="A232" s="289"/>
      <c r="B232" s="348" t="s">
        <v>727</v>
      </c>
      <c r="C232" s="149">
        <f>'Inputs and eligible population'!S$119</f>
        <v>1</v>
      </c>
      <c r="D232" s="128">
        <f>('Financial impact (cash)'!D26*$C232*'Inputs and eligible population'!$S$120)/60</f>
        <v>0</v>
      </c>
      <c r="E232" s="128">
        <f>('Financial impact (cash)'!E26*$C232*'Inputs and eligible population'!$S$120)/60</f>
        <v>0</v>
      </c>
      <c r="F232" s="128">
        <f>('Financial impact (cash)'!F26*$C232*'Inputs and eligible population'!$S$120)/60</f>
        <v>0</v>
      </c>
      <c r="G232" s="128">
        <f>('Financial impact (cash)'!G26*$C232*'Inputs and eligible population'!$S$120)/60</f>
        <v>0</v>
      </c>
      <c r="H232" s="128">
        <f>('Financial impact (cash)'!H26*$C232*'Inputs and eligible population'!$S$120)/60</f>
        <v>0</v>
      </c>
      <c r="I232" s="128">
        <f>('Financial impact (cash)'!I26*$C232*'Inputs and eligible population'!$S$120)/60</f>
        <v>0</v>
      </c>
      <c r="J232" s="289"/>
      <c r="K232" s="572">
        <f>'Inputs and eligible population'!$AA$120</f>
        <v>34.700000000000003</v>
      </c>
      <c r="L232" s="291">
        <f t="shared" si="143"/>
        <v>0</v>
      </c>
      <c r="M232" s="291">
        <f t="shared" si="138"/>
        <v>0</v>
      </c>
      <c r="N232" s="291">
        <f t="shared" si="139"/>
        <v>0</v>
      </c>
      <c r="O232" s="291">
        <f t="shared" si="140"/>
        <v>0</v>
      </c>
      <c r="P232" s="291">
        <f t="shared" si="141"/>
        <v>0</v>
      </c>
      <c r="Q232" s="291">
        <f t="shared" si="142"/>
        <v>0</v>
      </c>
      <c r="R232" s="133"/>
      <c r="S232" s="133"/>
      <c r="T232" s="133"/>
      <c r="U232" s="133"/>
      <c r="V232" s="133"/>
      <c r="W232" s="133"/>
      <c r="X232" s="133"/>
      <c r="Y232" s="133"/>
      <c r="Z232" s="133"/>
      <c r="AJ232" s="285"/>
      <c r="AK232" s="285"/>
      <c r="AL232" s="285"/>
      <c r="AM232" s="285"/>
      <c r="AN232" s="285"/>
    </row>
    <row r="233" spans="1:40" x14ac:dyDescent="0.35">
      <c r="A233" s="289"/>
      <c r="B233" s="348" t="s">
        <v>729</v>
      </c>
      <c r="C233" s="149">
        <f>'Inputs and eligible population'!T$119</f>
        <v>1</v>
      </c>
      <c r="D233" s="128">
        <f>('Financial impact (cash)'!D27*$C233*'Inputs and eligible population'!$T$120)/60</f>
        <v>0</v>
      </c>
      <c r="E233" s="128">
        <f>('Financial impact (cash)'!E27*$C233*'Inputs and eligible population'!$T$120)/60</f>
        <v>0</v>
      </c>
      <c r="F233" s="128">
        <f>('Financial impact (cash)'!F27*$C233*'Inputs and eligible population'!$T$120)/60</f>
        <v>0</v>
      </c>
      <c r="G233" s="128">
        <f>('Financial impact (cash)'!G27*$C233*'Inputs and eligible population'!$T$120)/60</f>
        <v>0</v>
      </c>
      <c r="H233" s="128">
        <f>('Financial impact (cash)'!H27*$C233*'Inputs and eligible population'!$T$120)/60</f>
        <v>0</v>
      </c>
      <c r="I233" s="128">
        <f>('Financial impact (cash)'!I27*$C233*'Inputs and eligible population'!$T$120)/60</f>
        <v>0</v>
      </c>
      <c r="J233" s="289"/>
      <c r="K233" s="572">
        <f>'Inputs and eligible population'!$AA$120</f>
        <v>34.700000000000003</v>
      </c>
      <c r="L233" s="291">
        <f t="shared" si="143"/>
        <v>0</v>
      </c>
      <c r="M233" s="291">
        <f t="shared" si="138"/>
        <v>0</v>
      </c>
      <c r="N233" s="291">
        <f t="shared" si="139"/>
        <v>0</v>
      </c>
      <c r="O233" s="291">
        <f t="shared" si="140"/>
        <v>0</v>
      </c>
      <c r="P233" s="291">
        <f t="shared" si="141"/>
        <v>0</v>
      </c>
      <c r="Q233" s="291">
        <f t="shared" si="142"/>
        <v>0</v>
      </c>
      <c r="R233" s="133"/>
      <c r="S233" s="133"/>
      <c r="T233" s="133"/>
      <c r="U233" s="133"/>
      <c r="V233" s="133"/>
      <c r="W233" s="133"/>
      <c r="X233" s="133"/>
      <c r="Y233" s="133"/>
      <c r="Z233" s="133"/>
      <c r="AJ233" s="285"/>
      <c r="AK233" s="285"/>
      <c r="AL233" s="285"/>
      <c r="AM233" s="285"/>
      <c r="AN233" s="285"/>
    </row>
    <row r="234" spans="1:40" x14ac:dyDescent="0.35">
      <c r="A234" s="289"/>
      <c r="B234" s="348" t="s">
        <v>731</v>
      </c>
      <c r="C234" s="149">
        <f>'Inputs and eligible population'!U$119</f>
        <v>3</v>
      </c>
      <c r="D234" s="128">
        <f>('Financial impact (cash)'!D28*$C234*'Inputs and eligible population'!$U$120)/60</f>
        <v>0</v>
      </c>
      <c r="E234" s="128">
        <f>('Financial impact (cash)'!E28*$C234*'Inputs and eligible population'!$U$120)/60</f>
        <v>0</v>
      </c>
      <c r="F234" s="128">
        <f>('Financial impact (cash)'!F28*$C234*'Inputs and eligible population'!$U$120)/60</f>
        <v>0</v>
      </c>
      <c r="G234" s="128">
        <f>('Financial impact (cash)'!G28*$C234*'Inputs and eligible population'!$U$120)/60</f>
        <v>0</v>
      </c>
      <c r="H234" s="128">
        <f>('Financial impact (cash)'!H28*$C234*'Inputs and eligible population'!$U$120)/60</f>
        <v>0</v>
      </c>
      <c r="I234" s="128">
        <f>('Financial impact (cash)'!I28*$C234*'Inputs and eligible population'!$U$120)/60</f>
        <v>0</v>
      </c>
      <c r="J234" s="289"/>
      <c r="K234" s="572">
        <f>'Inputs and eligible population'!$AA$120</f>
        <v>34.700000000000003</v>
      </c>
      <c r="L234" s="291">
        <f t="shared" si="143"/>
        <v>0</v>
      </c>
      <c r="M234" s="291">
        <f t="shared" si="138"/>
        <v>0</v>
      </c>
      <c r="N234" s="291">
        <f t="shared" si="139"/>
        <v>0</v>
      </c>
      <c r="O234" s="291">
        <f t="shared" si="140"/>
        <v>0</v>
      </c>
      <c r="P234" s="291">
        <f t="shared" si="141"/>
        <v>0</v>
      </c>
      <c r="Q234" s="291">
        <f t="shared" si="142"/>
        <v>0</v>
      </c>
      <c r="R234" s="133"/>
      <c r="S234" s="133"/>
      <c r="T234" s="133"/>
      <c r="U234" s="133"/>
      <c r="V234" s="133"/>
      <c r="W234" s="133"/>
      <c r="X234" s="133"/>
      <c r="Y234" s="133"/>
      <c r="Z234" s="133"/>
      <c r="AJ234" s="285"/>
      <c r="AK234" s="285"/>
      <c r="AL234" s="285"/>
      <c r="AM234" s="285"/>
      <c r="AN234" s="285"/>
    </row>
    <row r="235" spans="1:40" x14ac:dyDescent="0.35">
      <c r="A235" s="289"/>
      <c r="B235" s="348" t="s">
        <v>733</v>
      </c>
      <c r="C235" s="149">
        <f>'Inputs and eligible population'!V$119</f>
        <v>4</v>
      </c>
      <c r="D235" s="128">
        <f>('Financial impact (cash)'!D29*$C235*'Inputs and eligible population'!$V$120)/60</f>
        <v>0</v>
      </c>
      <c r="E235" s="128">
        <f>('Financial impact (cash)'!E29*$C235*'Inputs and eligible population'!$V$120)/60</f>
        <v>0</v>
      </c>
      <c r="F235" s="128">
        <f>('Financial impact (cash)'!F29*$C235*'Inputs and eligible population'!$V$120)/60</f>
        <v>0</v>
      </c>
      <c r="G235" s="128">
        <f>('Financial impact (cash)'!G29*$C235*'Inputs and eligible population'!$V$120)/60</f>
        <v>0</v>
      </c>
      <c r="H235" s="128">
        <f>('Financial impact (cash)'!H29*$C235*'Inputs and eligible population'!$V$120)/60</f>
        <v>0</v>
      </c>
      <c r="I235" s="128">
        <f>('Financial impact (cash)'!I29*$C235*'Inputs and eligible population'!$V$120)/60</f>
        <v>0</v>
      </c>
      <c r="J235" s="289"/>
      <c r="K235" s="572">
        <f>'Inputs and eligible population'!$AA$120</f>
        <v>34.700000000000003</v>
      </c>
      <c r="L235" s="291">
        <f t="shared" si="143"/>
        <v>0</v>
      </c>
      <c r="M235" s="291">
        <f t="shared" si="138"/>
        <v>0</v>
      </c>
      <c r="N235" s="291">
        <f t="shared" si="139"/>
        <v>0</v>
      </c>
      <c r="O235" s="291">
        <f t="shared" si="140"/>
        <v>0</v>
      </c>
      <c r="P235" s="291">
        <f t="shared" si="141"/>
        <v>0</v>
      </c>
      <c r="Q235" s="291">
        <f t="shared" si="142"/>
        <v>0</v>
      </c>
      <c r="R235" s="133"/>
      <c r="S235" s="133"/>
      <c r="T235" s="133"/>
      <c r="U235" s="133"/>
      <c r="V235" s="133"/>
      <c r="W235" s="133"/>
      <c r="X235" s="133"/>
      <c r="Y235" s="133"/>
      <c r="Z235" s="133"/>
      <c r="AJ235" s="285"/>
      <c r="AK235" s="285"/>
      <c r="AL235" s="285"/>
      <c r="AM235" s="285"/>
      <c r="AN235" s="285"/>
    </row>
    <row r="236" spans="1:40" x14ac:dyDescent="0.35">
      <c r="A236" s="289"/>
      <c r="B236" s="348" t="s">
        <v>735</v>
      </c>
      <c r="C236" s="149">
        <f>'Inputs and eligible population'!W$119</f>
        <v>5</v>
      </c>
      <c r="D236" s="128">
        <f>('Financial impact (cash)'!D30*$C236*'Inputs and eligible population'!$W$120)/60</f>
        <v>0</v>
      </c>
      <c r="E236" s="128">
        <f>('Financial impact (cash)'!E30*$C236*'Inputs and eligible population'!$W$120)/60</f>
        <v>0</v>
      </c>
      <c r="F236" s="128">
        <f>('Financial impact (cash)'!F30*$C236*'Inputs and eligible population'!$W$120)/60</f>
        <v>0</v>
      </c>
      <c r="G236" s="128">
        <f>('Financial impact (cash)'!G30*$C236*'Inputs and eligible population'!$W$120)/60</f>
        <v>0</v>
      </c>
      <c r="H236" s="128">
        <f>('Financial impact (cash)'!H30*$C236*'Inputs and eligible population'!$W$120)/60</f>
        <v>0</v>
      </c>
      <c r="I236" s="128">
        <f>('Financial impact (cash)'!I30*$C236*'Inputs and eligible population'!$W$120)/60</f>
        <v>0</v>
      </c>
      <c r="J236" s="289"/>
      <c r="K236" s="572">
        <f>'Inputs and eligible population'!$AA$120</f>
        <v>34.700000000000003</v>
      </c>
      <c r="L236" s="291">
        <f t="shared" si="143"/>
        <v>0</v>
      </c>
      <c r="M236" s="291">
        <f t="shared" si="138"/>
        <v>0</v>
      </c>
      <c r="N236" s="291">
        <f t="shared" si="139"/>
        <v>0</v>
      </c>
      <c r="O236" s="291">
        <f t="shared" si="140"/>
        <v>0</v>
      </c>
      <c r="P236" s="291">
        <f t="shared" si="141"/>
        <v>0</v>
      </c>
      <c r="Q236" s="291">
        <f t="shared" si="142"/>
        <v>0</v>
      </c>
      <c r="R236" s="133"/>
      <c r="S236" s="133"/>
      <c r="T236" s="133"/>
      <c r="U236" s="133"/>
      <c r="V236" s="133"/>
      <c r="W236" s="133"/>
      <c r="X236" s="133"/>
      <c r="Y236" s="133"/>
      <c r="Z236" s="133"/>
      <c r="AJ236" s="285"/>
      <c r="AK236" s="285"/>
      <c r="AL236" s="285"/>
      <c r="AM236" s="285"/>
      <c r="AN236" s="285"/>
    </row>
    <row r="237" spans="1:40" x14ac:dyDescent="0.35">
      <c r="A237" s="289"/>
      <c r="B237" s="348" t="s">
        <v>750</v>
      </c>
      <c r="C237" s="149">
        <f>'Inputs and eligible population'!X$119</f>
        <v>1</v>
      </c>
      <c r="D237" s="128">
        <f>('Financial impact (cash)'!D31*$C237*'Inputs and eligible population'!$X$120)/60</f>
        <v>0</v>
      </c>
      <c r="E237" s="128">
        <f>('Financial impact (cash)'!E31*$C237*'Inputs and eligible population'!$X$120)/60</f>
        <v>0</v>
      </c>
      <c r="F237" s="128">
        <f>('Financial impact (cash)'!F31*$C237*'Inputs and eligible population'!$X$120)/60</f>
        <v>0</v>
      </c>
      <c r="G237" s="128">
        <f>('Financial impact (cash)'!G31*$C237*'Inputs and eligible population'!$X$120)/60</f>
        <v>0</v>
      </c>
      <c r="H237" s="128">
        <f>('Financial impact (cash)'!H31*$C237*'Inputs and eligible population'!$X$120)/60</f>
        <v>0</v>
      </c>
      <c r="I237" s="128">
        <f>('Financial impact (cash)'!I31*$C237*'Inputs and eligible population'!$X$120)/60</f>
        <v>0</v>
      </c>
      <c r="J237" s="289"/>
      <c r="K237" s="572">
        <f>'Inputs and eligible population'!$AA$120</f>
        <v>34.700000000000003</v>
      </c>
      <c r="L237" s="291">
        <f t="shared" si="143"/>
        <v>0</v>
      </c>
      <c r="M237" s="291">
        <f t="shared" si="138"/>
        <v>0</v>
      </c>
      <c r="N237" s="291">
        <f t="shared" si="139"/>
        <v>0</v>
      </c>
      <c r="O237" s="291">
        <f t="shared" si="140"/>
        <v>0</v>
      </c>
      <c r="P237" s="291">
        <f t="shared" si="141"/>
        <v>0</v>
      </c>
      <c r="Q237" s="291">
        <f>(I237*$K237)/1000</f>
        <v>0</v>
      </c>
      <c r="R237" s="133"/>
      <c r="S237" s="133"/>
      <c r="T237" s="133"/>
      <c r="U237" s="133"/>
      <c r="V237" s="133"/>
      <c r="W237" s="133"/>
      <c r="X237" s="133"/>
      <c r="Y237" s="133"/>
      <c r="Z237" s="133"/>
      <c r="AJ237" s="285"/>
      <c r="AK237" s="285"/>
      <c r="AL237" s="285"/>
      <c r="AM237" s="285"/>
      <c r="AN237" s="285"/>
    </row>
    <row r="238" spans="1:40" x14ac:dyDescent="0.35">
      <c r="A238" s="289"/>
      <c r="B238" s="282"/>
      <c r="C238" s="205"/>
      <c r="D238" s="185">
        <f>SUM(D219:D237)</f>
        <v>0</v>
      </c>
      <c r="E238" s="185">
        <f t="shared" ref="E238:I238" si="156">SUM(E219:E237)</f>
        <v>0</v>
      </c>
      <c r="F238" s="185">
        <f t="shared" si="156"/>
        <v>0</v>
      </c>
      <c r="G238" s="185">
        <f t="shared" si="156"/>
        <v>0</v>
      </c>
      <c r="H238" s="185">
        <f t="shared" si="156"/>
        <v>0</v>
      </c>
      <c r="I238" s="185">
        <f t="shared" si="156"/>
        <v>0</v>
      </c>
      <c r="J238" s="289"/>
      <c r="K238" s="289"/>
      <c r="L238" s="292">
        <f t="shared" ref="L238:Q238" si="157">SUM(L219:L237)</f>
        <v>0</v>
      </c>
      <c r="M238" s="292">
        <f t="shared" si="157"/>
        <v>0</v>
      </c>
      <c r="N238" s="292">
        <f t="shared" si="157"/>
        <v>0</v>
      </c>
      <c r="O238" s="292">
        <f t="shared" si="157"/>
        <v>0</v>
      </c>
      <c r="P238" s="292">
        <f t="shared" si="157"/>
        <v>0</v>
      </c>
      <c r="Q238" s="292">
        <f t="shared" si="157"/>
        <v>0</v>
      </c>
      <c r="R238" s="133"/>
      <c r="S238" s="133"/>
      <c r="T238" s="133"/>
      <c r="U238" s="133"/>
      <c r="V238" s="133"/>
      <c r="W238" s="133"/>
      <c r="X238" s="133"/>
      <c r="Y238" s="133"/>
      <c r="Z238" s="133"/>
      <c r="AJ238" s="285"/>
      <c r="AK238" s="285"/>
      <c r="AL238" s="285"/>
      <c r="AM238" s="285"/>
      <c r="AN238" s="285"/>
    </row>
    <row r="239" spans="1:40" x14ac:dyDescent="0.35">
      <c r="A239" s="289"/>
      <c r="B239" s="307"/>
      <c r="C239" s="256"/>
      <c r="D239" s="284" t="s">
        <v>1130</v>
      </c>
      <c r="E239" s="185">
        <f>E238-$D$238</f>
        <v>0</v>
      </c>
      <c r="F239" s="185">
        <f>F238-$D$238</f>
        <v>0</v>
      </c>
      <c r="G239" s="185">
        <f>G238-$D$238</f>
        <v>0</v>
      </c>
      <c r="H239" s="185">
        <f>H238-$D$238</f>
        <v>0</v>
      </c>
      <c r="I239" s="185">
        <f>I238-$D$238</f>
        <v>0</v>
      </c>
      <c r="J239" s="289"/>
      <c r="K239" s="289"/>
      <c r="L239" s="545"/>
      <c r="M239" s="292">
        <f>M238-$L$238</f>
        <v>0</v>
      </c>
      <c r="N239" s="292">
        <f>N238-$L$238</f>
        <v>0</v>
      </c>
      <c r="O239" s="292">
        <f>O238-$L$238</f>
        <v>0</v>
      </c>
      <c r="P239" s="292">
        <f>P238-$L$238</f>
        <v>0</v>
      </c>
      <c r="Q239" s="292">
        <f>Q238-$L$238</f>
        <v>0</v>
      </c>
      <c r="V239" s="133"/>
    </row>
    <row r="240" spans="1:40" x14ac:dyDescent="0.35">
      <c r="A240" s="289"/>
      <c r="B240" s="326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V240" s="133"/>
    </row>
    <row r="241" spans="1:40" x14ac:dyDescent="0.35">
      <c r="A241" s="289"/>
      <c r="B241" s="396" t="s">
        <v>1128</v>
      </c>
      <c r="C241" s="397"/>
      <c r="D241" s="397"/>
      <c r="E241" s="397"/>
      <c r="F241" s="397"/>
      <c r="G241" s="397"/>
      <c r="H241" s="397"/>
      <c r="I241" s="220"/>
      <c r="J241" s="221"/>
      <c r="K241" s="221"/>
      <c r="L241" s="221"/>
      <c r="M241" s="221"/>
      <c r="N241" s="221"/>
      <c r="O241" s="221"/>
      <c r="P241" s="221"/>
      <c r="Q241" s="221"/>
      <c r="R241" s="133"/>
      <c r="S241" s="133"/>
      <c r="T241" s="133"/>
      <c r="U241" s="133"/>
      <c r="V241" s="133"/>
      <c r="W241" s="133"/>
      <c r="X241" s="133"/>
      <c r="Y241" s="133"/>
      <c r="Z241" s="133"/>
      <c r="AJ241" s="285"/>
      <c r="AK241" s="285"/>
      <c r="AL241" s="285"/>
      <c r="AM241" s="285"/>
      <c r="AN241" s="285"/>
    </row>
    <row r="242" spans="1:40" ht="43.5" x14ac:dyDescent="0.35">
      <c r="A242" s="289"/>
      <c r="B242" s="278" t="s">
        <v>876</v>
      </c>
      <c r="C242" s="165" t="s">
        <v>1013</v>
      </c>
      <c r="D242" s="421" t="s">
        <v>957</v>
      </c>
      <c r="E242" s="255" t="s">
        <v>685</v>
      </c>
      <c r="F242" s="255" t="s">
        <v>686</v>
      </c>
      <c r="G242" s="164" t="s">
        <v>914</v>
      </c>
      <c r="H242" s="164" t="s">
        <v>915</v>
      </c>
      <c r="I242" s="255" t="s">
        <v>916</v>
      </c>
      <c r="J242" s="289"/>
      <c r="K242" s="556" t="s">
        <v>969</v>
      </c>
      <c r="L242" s="421" t="s">
        <v>957</v>
      </c>
      <c r="M242" s="255" t="s">
        <v>685</v>
      </c>
      <c r="N242" s="255" t="s">
        <v>686</v>
      </c>
      <c r="O242" s="164" t="s">
        <v>914</v>
      </c>
      <c r="P242" s="164" t="s">
        <v>915</v>
      </c>
      <c r="Q242" s="255" t="s">
        <v>916</v>
      </c>
      <c r="R242" s="133"/>
      <c r="S242" s="133"/>
      <c r="T242" s="133"/>
      <c r="U242" s="133"/>
      <c r="V242" s="133"/>
      <c r="W242" s="133"/>
      <c r="X242" s="133"/>
      <c r="Y242" s="133"/>
      <c r="Z242" s="133"/>
      <c r="AJ242" s="285"/>
      <c r="AK242" s="285"/>
      <c r="AL242" s="285"/>
      <c r="AM242" s="285"/>
      <c r="AN242" s="285"/>
    </row>
    <row r="243" spans="1:40" x14ac:dyDescent="0.35">
      <c r="A243" s="289"/>
      <c r="B243" s="348" t="s">
        <v>699</v>
      </c>
      <c r="C243" s="149">
        <f>'Inputs and eligible population'!F$121</f>
        <v>1</v>
      </c>
      <c r="D243" s="128">
        <f>('Financial impact (cash)'!D13*$C243*'Inputs and eligible population'!$F$122)/60</f>
        <v>0</v>
      </c>
      <c r="E243" s="128">
        <f>('Financial impact (cash)'!E13*$C243*'Inputs and eligible population'!$F$122)/60</f>
        <v>0</v>
      </c>
      <c r="F243" s="128">
        <f>('Financial impact (cash)'!F13*$C243*'Inputs and eligible population'!$F$122)/60</f>
        <v>0</v>
      </c>
      <c r="G243" s="128">
        <f>('Financial impact (cash)'!G13*$C243*'Inputs and eligible population'!$F$122)/60</f>
        <v>0</v>
      </c>
      <c r="H243" s="128">
        <f>('Financial impact (cash)'!H13*$C243*'Inputs and eligible population'!$F$122)/60</f>
        <v>0</v>
      </c>
      <c r="I243" s="128">
        <f>('Financial impact (cash)'!I13*$C243*'Inputs and eligible population'!$F$122)/60</f>
        <v>0</v>
      </c>
      <c r="J243" s="289"/>
      <c r="K243" s="572">
        <f>'Inputs and eligible population'!$AA$122</f>
        <v>42.84</v>
      </c>
      <c r="L243" s="291">
        <f>(D243*$K243)/1000</f>
        <v>0</v>
      </c>
      <c r="M243" s="291">
        <f t="shared" ref="M243:M261" si="158">(E243*$K243)/1000</f>
        <v>0</v>
      </c>
      <c r="N243" s="291">
        <f t="shared" ref="N243:N261" si="159">(F243*$K243)/1000</f>
        <v>0</v>
      </c>
      <c r="O243" s="291">
        <f t="shared" ref="O243:O261" si="160">(G243*$K243)/1000</f>
        <v>0</v>
      </c>
      <c r="P243" s="291">
        <f t="shared" ref="P243:P261" si="161">(H243*$K243)/1000</f>
        <v>0</v>
      </c>
      <c r="Q243" s="291">
        <f t="shared" ref="Q243:Q260" si="162">(I243*$K243)/1000</f>
        <v>0</v>
      </c>
      <c r="R243" s="133"/>
      <c r="S243" s="133"/>
      <c r="T243" s="133"/>
      <c r="U243" s="133"/>
      <c r="V243" s="133"/>
      <c r="W243" s="133"/>
      <c r="X243" s="133"/>
      <c r="Y243" s="133"/>
      <c r="Z243" s="133"/>
      <c r="AJ243" s="285"/>
      <c r="AK243" s="285"/>
      <c r="AL243" s="285"/>
      <c r="AM243" s="285"/>
      <c r="AN243" s="285"/>
    </row>
    <row r="244" spans="1:40" x14ac:dyDescent="0.35">
      <c r="A244" s="289"/>
      <c r="B244" s="348" t="s">
        <v>701</v>
      </c>
      <c r="C244" s="149">
        <f>'Inputs and eligible population'!G$121</f>
        <v>1</v>
      </c>
      <c r="D244" s="128">
        <f>('Financial impact (cash)'!D14*$C244*'Inputs and eligible population'!$G$122)/60</f>
        <v>0</v>
      </c>
      <c r="E244" s="128">
        <f>('Financial impact (cash)'!E14*$C244*'Inputs and eligible population'!$G$122)/60</f>
        <v>0</v>
      </c>
      <c r="F244" s="128">
        <f>('Financial impact (cash)'!F14*$C244*'Inputs and eligible population'!$G$122)/60</f>
        <v>0</v>
      </c>
      <c r="G244" s="128">
        <f>('Financial impact (cash)'!G14*$C244*'Inputs and eligible population'!$G$122)/60</f>
        <v>0</v>
      </c>
      <c r="H244" s="128">
        <f>('Financial impact (cash)'!H14*$C244*'Inputs and eligible population'!$G$122)/60</f>
        <v>0</v>
      </c>
      <c r="I244" s="128">
        <f>('Financial impact (cash)'!I14*$C244*'Inputs and eligible population'!$G$122)/60</f>
        <v>0</v>
      </c>
      <c r="J244" s="289"/>
      <c r="K244" s="572">
        <f>'Inputs and eligible population'!$AA$122</f>
        <v>42.84</v>
      </c>
      <c r="L244" s="291">
        <f t="shared" ref="L244:L261" si="163">(D244*$K244)/1000</f>
        <v>0</v>
      </c>
      <c r="M244" s="291">
        <f t="shared" si="158"/>
        <v>0</v>
      </c>
      <c r="N244" s="291">
        <f t="shared" si="159"/>
        <v>0</v>
      </c>
      <c r="O244" s="291">
        <f t="shared" si="160"/>
        <v>0</v>
      </c>
      <c r="P244" s="291">
        <f t="shared" si="161"/>
        <v>0</v>
      </c>
      <c r="Q244" s="291">
        <f t="shared" si="162"/>
        <v>0</v>
      </c>
      <c r="R244" s="133"/>
      <c r="S244" s="133"/>
      <c r="T244" s="133"/>
      <c r="U244" s="133"/>
      <c r="V244" s="133"/>
      <c r="W244" s="133"/>
      <c r="X244" s="133"/>
      <c r="Y244" s="133"/>
      <c r="Z244" s="133"/>
      <c r="AJ244" s="285"/>
      <c r="AK244" s="285"/>
      <c r="AL244" s="285"/>
      <c r="AM244" s="285"/>
      <c r="AN244" s="285"/>
    </row>
    <row r="245" spans="1:40" x14ac:dyDescent="0.35">
      <c r="A245" s="289"/>
      <c r="B245" s="348" t="s">
        <v>703</v>
      </c>
      <c r="C245" s="149">
        <f>'Inputs and eligible population'!H$121</f>
        <v>1</v>
      </c>
      <c r="D245" s="128">
        <f>('Financial impact (cash)'!D15*$C245*'Inputs and eligible population'!$H$122)/60</f>
        <v>0</v>
      </c>
      <c r="E245" s="128">
        <f>('Financial impact (cash)'!E15*$C245*'Inputs and eligible population'!$H$122)/60</f>
        <v>0</v>
      </c>
      <c r="F245" s="128">
        <f>('Financial impact (cash)'!F15*$C245*'Inputs and eligible population'!$H$122)/60</f>
        <v>0</v>
      </c>
      <c r="G245" s="128">
        <f>('Financial impact (cash)'!G15*$C245*'Inputs and eligible population'!$H$122)/60</f>
        <v>0</v>
      </c>
      <c r="H245" s="128">
        <f>('Financial impact (cash)'!H15*$C245*'Inputs and eligible population'!$H$122)/60</f>
        <v>0</v>
      </c>
      <c r="I245" s="128">
        <f>('Financial impact (cash)'!I15*$C245*'Inputs and eligible population'!$H$122)/60</f>
        <v>0</v>
      </c>
      <c r="J245" s="289"/>
      <c r="K245" s="572">
        <f>'Inputs and eligible population'!$AA$122</f>
        <v>42.84</v>
      </c>
      <c r="L245" s="291">
        <f t="shared" ref="L245" si="164">(D245*$K245)/1000</f>
        <v>0</v>
      </c>
      <c r="M245" s="291">
        <f t="shared" ref="M245" si="165">(E245*$K245)/1000</f>
        <v>0</v>
      </c>
      <c r="N245" s="291">
        <f t="shared" ref="N245" si="166">(F245*$K245)/1000</f>
        <v>0</v>
      </c>
      <c r="O245" s="291">
        <f t="shared" ref="O245" si="167">(G245*$K245)/1000</f>
        <v>0</v>
      </c>
      <c r="P245" s="291">
        <f t="shared" ref="P245" si="168">(H245*$K245)/1000</f>
        <v>0</v>
      </c>
      <c r="Q245" s="291">
        <f t="shared" ref="Q245" si="169">(I245*$K245)/1000</f>
        <v>0</v>
      </c>
      <c r="R245" s="133"/>
      <c r="S245" s="133"/>
      <c r="T245" s="133"/>
      <c r="U245" s="133"/>
      <c r="V245" s="133"/>
      <c r="W245" s="133"/>
      <c r="X245" s="133"/>
      <c r="Y245" s="133"/>
      <c r="Z245" s="133"/>
      <c r="AJ245" s="285"/>
      <c r="AK245" s="285"/>
      <c r="AL245" s="285"/>
      <c r="AM245" s="285"/>
      <c r="AN245" s="285"/>
    </row>
    <row r="246" spans="1:40" x14ac:dyDescent="0.35">
      <c r="A246" s="289"/>
      <c r="B246" s="348" t="s">
        <v>705</v>
      </c>
      <c r="C246" s="149">
        <f>'Inputs and eligible population'!I$121</f>
        <v>1</v>
      </c>
      <c r="D246" s="128">
        <f>('Financial impact (cash)'!D16*$C246*'Inputs and eligible population'!$I$122)/60</f>
        <v>0</v>
      </c>
      <c r="E246" s="128">
        <f>('Financial impact (cash)'!E16*$C246*'Inputs and eligible population'!$I$122)/60</f>
        <v>0</v>
      </c>
      <c r="F246" s="128">
        <f>('Financial impact (cash)'!F16*$C246*'Inputs and eligible population'!$I$122)/60</f>
        <v>0</v>
      </c>
      <c r="G246" s="128">
        <f>('Financial impact (cash)'!G16*$C246*'Inputs and eligible population'!$I$122)/60</f>
        <v>0</v>
      </c>
      <c r="H246" s="128">
        <f>('Financial impact (cash)'!H16*$C246*'Inputs and eligible population'!$I$122)/60</f>
        <v>0</v>
      </c>
      <c r="I246" s="128">
        <f>('Financial impact (cash)'!I16*$C246*'Inputs and eligible population'!$I$122)/60</f>
        <v>0</v>
      </c>
      <c r="J246" s="289"/>
      <c r="K246" s="572">
        <f>'Inputs and eligible population'!$AA$122</f>
        <v>42.84</v>
      </c>
      <c r="L246" s="291">
        <f t="shared" si="163"/>
        <v>0</v>
      </c>
      <c r="M246" s="291">
        <f t="shared" si="158"/>
        <v>0</v>
      </c>
      <c r="N246" s="291">
        <f t="shared" si="159"/>
        <v>0</v>
      </c>
      <c r="O246" s="291">
        <f t="shared" si="160"/>
        <v>0</v>
      </c>
      <c r="P246" s="291">
        <f t="shared" si="161"/>
        <v>0</v>
      </c>
      <c r="Q246" s="291">
        <f t="shared" si="162"/>
        <v>0</v>
      </c>
      <c r="R246" s="133"/>
      <c r="S246" s="133"/>
      <c r="T246" s="133"/>
      <c r="U246" s="133"/>
      <c r="V246" s="133"/>
      <c r="W246" s="133"/>
      <c r="X246" s="133"/>
      <c r="Y246" s="133"/>
      <c r="Z246" s="133"/>
      <c r="AJ246" s="285"/>
      <c r="AK246" s="285"/>
      <c r="AL246" s="285"/>
      <c r="AM246" s="285"/>
      <c r="AN246" s="285"/>
    </row>
    <row r="247" spans="1:40" x14ac:dyDescent="0.35">
      <c r="A247" s="289"/>
      <c r="B247" s="348" t="s">
        <v>749</v>
      </c>
      <c r="C247" s="149">
        <f>'Inputs and eligible population'!J$121</f>
        <v>1</v>
      </c>
      <c r="D247" s="128">
        <f>('Financial impact (cash)'!D17*$C247*'Inputs and eligible population'!$J$122)/60</f>
        <v>0</v>
      </c>
      <c r="E247" s="128">
        <f>('Financial impact (cash)'!E17*$C247*'Inputs and eligible population'!$J$122)/60</f>
        <v>0</v>
      </c>
      <c r="F247" s="128">
        <f>('Financial impact (cash)'!F17*$C247*'Inputs and eligible population'!$J$122)/60</f>
        <v>0</v>
      </c>
      <c r="G247" s="128">
        <f>('Financial impact (cash)'!G17*$C247*'Inputs and eligible population'!$J$122)/60</f>
        <v>0</v>
      </c>
      <c r="H247" s="128">
        <f>('Financial impact (cash)'!H17*$C247*'Inputs and eligible population'!$J$122)/60</f>
        <v>0</v>
      </c>
      <c r="I247" s="128">
        <f>('Financial impact (cash)'!I17*$C247*'Inputs and eligible population'!$J$122)/60</f>
        <v>0</v>
      </c>
      <c r="J247" s="289"/>
      <c r="K247" s="572">
        <f>'Inputs and eligible population'!$AA$122</f>
        <v>42.84</v>
      </c>
      <c r="L247" s="291">
        <f t="shared" si="163"/>
        <v>0</v>
      </c>
      <c r="M247" s="291">
        <f t="shared" si="158"/>
        <v>0</v>
      </c>
      <c r="N247" s="291">
        <f t="shared" si="159"/>
        <v>0</v>
      </c>
      <c r="O247" s="291">
        <f t="shared" si="160"/>
        <v>0</v>
      </c>
      <c r="P247" s="291">
        <f t="shared" si="161"/>
        <v>0</v>
      </c>
      <c r="Q247" s="291">
        <f t="shared" si="162"/>
        <v>0</v>
      </c>
      <c r="R247" s="133"/>
      <c r="S247" s="133"/>
      <c r="T247" s="133"/>
      <c r="U247" s="133"/>
      <c r="V247" s="133"/>
      <c r="W247" s="133"/>
      <c r="X247" s="133"/>
      <c r="Y247" s="133"/>
      <c r="Z247" s="133"/>
      <c r="AJ247" s="285"/>
      <c r="AK247" s="285"/>
      <c r="AL247" s="285"/>
      <c r="AM247" s="285"/>
      <c r="AN247" s="285"/>
    </row>
    <row r="248" spans="1:40" x14ac:dyDescent="0.35">
      <c r="A248" s="289"/>
      <c r="B248" s="348" t="s">
        <v>711</v>
      </c>
      <c r="C248" s="149">
        <f>'Inputs and eligible population'!K$121</f>
        <v>1</v>
      </c>
      <c r="D248" s="128">
        <f>('Financial impact (cash)'!D18*$C248*'Inputs and eligible population'!$K$122)/60</f>
        <v>0</v>
      </c>
      <c r="E248" s="128">
        <f>('Financial impact (cash)'!E18*$C248*'Inputs and eligible population'!$K$122)/60</f>
        <v>0</v>
      </c>
      <c r="F248" s="128">
        <f>('Financial impact (cash)'!F18*$C248*'Inputs and eligible population'!$K$122)/60</f>
        <v>0</v>
      </c>
      <c r="G248" s="128">
        <f>('Financial impact (cash)'!G18*$C248*'Inputs and eligible population'!$K$122)/60</f>
        <v>0</v>
      </c>
      <c r="H248" s="128">
        <f>('Financial impact (cash)'!H18*$C248*'Inputs and eligible population'!$K$122)/60</f>
        <v>0</v>
      </c>
      <c r="I248" s="128">
        <f>('Financial impact (cash)'!I18*$C248*'Inputs and eligible population'!$K$122)/60</f>
        <v>0</v>
      </c>
      <c r="J248" s="289"/>
      <c r="K248" s="572">
        <f>'Inputs and eligible population'!$AA$122</f>
        <v>42.84</v>
      </c>
      <c r="L248" s="291">
        <f t="shared" si="163"/>
        <v>0</v>
      </c>
      <c r="M248" s="291">
        <f t="shared" si="158"/>
        <v>0</v>
      </c>
      <c r="N248" s="291">
        <f t="shared" si="159"/>
        <v>0</v>
      </c>
      <c r="O248" s="291">
        <f t="shared" si="160"/>
        <v>0</v>
      </c>
      <c r="P248" s="291">
        <f t="shared" si="161"/>
        <v>0</v>
      </c>
      <c r="Q248" s="291">
        <f t="shared" si="162"/>
        <v>0</v>
      </c>
      <c r="R248" s="133"/>
      <c r="S248" s="133"/>
      <c r="T248" s="133"/>
      <c r="U248" s="133"/>
      <c r="V248" s="133"/>
      <c r="W248" s="133"/>
      <c r="X248" s="133"/>
      <c r="Y248" s="133"/>
      <c r="Z248" s="133"/>
      <c r="AJ248" s="285"/>
      <c r="AK248" s="285"/>
      <c r="AL248" s="285"/>
      <c r="AM248" s="285"/>
      <c r="AN248" s="285"/>
    </row>
    <row r="249" spans="1:40" x14ac:dyDescent="0.35">
      <c r="A249" s="289"/>
      <c r="B249" s="348" t="s">
        <v>1101</v>
      </c>
      <c r="C249" s="149">
        <f>'Inputs and eligible population'!L$121</f>
        <v>1</v>
      </c>
      <c r="D249" s="128">
        <f>('Financial impact (cash)'!D19*$C249*'Inputs and eligible population'!$L$122)/60</f>
        <v>0</v>
      </c>
      <c r="E249" s="128">
        <f>('Financial impact (cash)'!E19*$C249*'Inputs and eligible population'!$L$122)/60</f>
        <v>0</v>
      </c>
      <c r="F249" s="128">
        <f>('Financial impact (cash)'!F19*$C249*'Inputs and eligible population'!$L$122)/60</f>
        <v>0</v>
      </c>
      <c r="G249" s="128">
        <f>('Financial impact (cash)'!G19*$C249*'Inputs and eligible population'!$L$122)/60</f>
        <v>0</v>
      </c>
      <c r="H249" s="128">
        <f>('Financial impact (cash)'!H19*$C249*'Inputs and eligible population'!$L$122)/60</f>
        <v>0</v>
      </c>
      <c r="I249" s="128">
        <f>('Financial impact (cash)'!I19*$C249*'Inputs and eligible population'!$L$122)/60</f>
        <v>0</v>
      </c>
      <c r="J249" s="289"/>
      <c r="K249" s="572">
        <f>'Inputs and eligible population'!$AA$122</f>
        <v>42.84</v>
      </c>
      <c r="L249" s="291">
        <f t="shared" ref="L249" si="170">(D249*$K249)/1000</f>
        <v>0</v>
      </c>
      <c r="M249" s="291">
        <f t="shared" ref="M249" si="171">(E249*$K249)/1000</f>
        <v>0</v>
      </c>
      <c r="N249" s="291">
        <f t="shared" ref="N249" si="172">(F249*$K249)/1000</f>
        <v>0</v>
      </c>
      <c r="O249" s="291">
        <f t="shared" ref="O249" si="173">(G249*$K249)/1000</f>
        <v>0</v>
      </c>
      <c r="P249" s="291">
        <f t="shared" ref="P249" si="174">(H249*$K249)/1000</f>
        <v>0</v>
      </c>
      <c r="Q249" s="291">
        <f t="shared" ref="Q249" si="175">(I249*$K249)/1000</f>
        <v>0</v>
      </c>
      <c r="R249" s="133"/>
      <c r="S249" s="133"/>
      <c r="T249" s="133"/>
      <c r="U249" s="133"/>
      <c r="V249" s="133"/>
      <c r="W249" s="133"/>
      <c r="X249" s="133"/>
      <c r="Y249" s="133"/>
      <c r="Z249" s="133"/>
      <c r="AJ249" s="285"/>
      <c r="AK249" s="285"/>
      <c r="AL249" s="285"/>
      <c r="AM249" s="285"/>
      <c r="AN249" s="285"/>
    </row>
    <row r="250" spans="1:40" x14ac:dyDescent="0.35">
      <c r="A250" s="289"/>
      <c r="B250" s="348" t="s">
        <v>714</v>
      </c>
      <c r="C250" s="149">
        <f>'Inputs and eligible population'!M$121</f>
        <v>1</v>
      </c>
      <c r="D250" s="128">
        <f>('Financial impact (cash)'!D20*$C250*'Inputs and eligible population'!$M$122)/60</f>
        <v>0</v>
      </c>
      <c r="E250" s="128">
        <f>('Financial impact (cash)'!E20*$C250*'Inputs and eligible population'!$M$122)/60</f>
        <v>0</v>
      </c>
      <c r="F250" s="128">
        <f>('Financial impact (cash)'!F20*$C250*'Inputs and eligible population'!$M$122)/60</f>
        <v>0</v>
      </c>
      <c r="G250" s="128">
        <f>('Financial impact (cash)'!G20*$C250*'Inputs and eligible population'!$M$122)/60</f>
        <v>0</v>
      </c>
      <c r="H250" s="128">
        <f>('Financial impact (cash)'!H20*$C250*'Inputs and eligible population'!$M$122)/60</f>
        <v>0</v>
      </c>
      <c r="I250" s="128">
        <f>('Financial impact (cash)'!I20*$C250*'Inputs and eligible population'!$M$122)/60</f>
        <v>0</v>
      </c>
      <c r="J250" s="289"/>
      <c r="K250" s="572">
        <f>'Inputs and eligible population'!$AA$122</f>
        <v>42.84</v>
      </c>
      <c r="L250" s="291">
        <f t="shared" si="163"/>
        <v>0</v>
      </c>
      <c r="M250" s="291">
        <f t="shared" si="158"/>
        <v>0</v>
      </c>
      <c r="N250" s="291">
        <f t="shared" si="159"/>
        <v>0</v>
      </c>
      <c r="O250" s="291">
        <f t="shared" si="160"/>
        <v>0</v>
      </c>
      <c r="P250" s="291">
        <f t="shared" si="161"/>
        <v>0</v>
      </c>
      <c r="Q250" s="291">
        <f t="shared" si="162"/>
        <v>0</v>
      </c>
      <c r="R250" s="133"/>
      <c r="S250" s="133"/>
      <c r="T250" s="133"/>
      <c r="U250" s="133"/>
      <c r="V250" s="133"/>
      <c r="W250" s="133"/>
      <c r="X250" s="133"/>
      <c r="Y250" s="133"/>
      <c r="Z250" s="133"/>
      <c r="AJ250" s="285"/>
      <c r="AK250" s="285"/>
      <c r="AL250" s="285"/>
      <c r="AM250" s="285"/>
      <c r="AN250" s="285"/>
    </row>
    <row r="251" spans="1:40" x14ac:dyDescent="0.35">
      <c r="A251" s="289"/>
      <c r="B251" s="348" t="s">
        <v>717</v>
      </c>
      <c r="C251" s="149">
        <f>'Inputs and eligible population'!N$121</f>
        <v>1</v>
      </c>
      <c r="D251" s="128">
        <f>('Financial impact (cash)'!D21*$C251*'Inputs and eligible population'!$N$122)/60</f>
        <v>0</v>
      </c>
      <c r="E251" s="128">
        <f>('Financial impact (cash)'!E21*$C251*'Inputs and eligible population'!$N$122)/60</f>
        <v>0</v>
      </c>
      <c r="F251" s="128">
        <f>('Financial impact (cash)'!F21*$C251*'Inputs and eligible population'!$N$122)/60</f>
        <v>0</v>
      </c>
      <c r="G251" s="128">
        <f>('Financial impact (cash)'!G21*$C251*'Inputs and eligible population'!$N$122)/60</f>
        <v>0</v>
      </c>
      <c r="H251" s="128">
        <f>('Financial impact (cash)'!H21*$C251*'Inputs and eligible population'!$N$122)/60</f>
        <v>0</v>
      </c>
      <c r="I251" s="128">
        <f>('Financial impact (cash)'!I21*$C251*'Inputs and eligible population'!$N$122)/60</f>
        <v>0</v>
      </c>
      <c r="J251" s="289"/>
      <c r="K251" s="572">
        <f>'Inputs and eligible population'!$AA$122</f>
        <v>42.84</v>
      </c>
      <c r="L251" s="291">
        <f t="shared" si="163"/>
        <v>0</v>
      </c>
      <c r="M251" s="291">
        <f t="shared" si="158"/>
        <v>0</v>
      </c>
      <c r="N251" s="291">
        <f t="shared" si="159"/>
        <v>0</v>
      </c>
      <c r="O251" s="291">
        <f t="shared" si="160"/>
        <v>0</v>
      </c>
      <c r="P251" s="291">
        <f t="shared" si="161"/>
        <v>0</v>
      </c>
      <c r="Q251" s="291">
        <f t="shared" si="162"/>
        <v>0</v>
      </c>
      <c r="R251" s="133"/>
      <c r="S251" s="133"/>
      <c r="T251" s="133"/>
      <c r="U251" s="133"/>
      <c r="V251" s="133"/>
      <c r="W251" s="133"/>
      <c r="X251" s="133"/>
      <c r="Y251" s="133"/>
      <c r="Z251" s="133"/>
      <c r="AJ251" s="285"/>
      <c r="AK251" s="285"/>
      <c r="AL251" s="285"/>
      <c r="AM251" s="285"/>
      <c r="AN251" s="285"/>
    </row>
    <row r="252" spans="1:40" x14ac:dyDescent="0.35">
      <c r="A252" s="289"/>
      <c r="B252" s="348" t="s">
        <v>719</v>
      </c>
      <c r="C252" s="149">
        <f>'Inputs and eligible population'!O$121</f>
        <v>1</v>
      </c>
      <c r="D252" s="128">
        <f>('Financial impact (cash)'!D22*$C252*'Inputs and eligible population'!$O$122)/60</f>
        <v>0</v>
      </c>
      <c r="E252" s="128">
        <f>('Financial impact (cash)'!E22*$C252*'Inputs and eligible population'!$O$122)/60</f>
        <v>0</v>
      </c>
      <c r="F252" s="128">
        <f>('Financial impact (cash)'!F22*$C252*'Inputs and eligible population'!$O$122)/60</f>
        <v>0</v>
      </c>
      <c r="G252" s="128">
        <f>('Financial impact (cash)'!G22*$C252*'Inputs and eligible population'!$O$122)/60</f>
        <v>0</v>
      </c>
      <c r="H252" s="128">
        <f>('Financial impact (cash)'!H22*$C252*'Inputs and eligible population'!$O$122)/60</f>
        <v>0</v>
      </c>
      <c r="I252" s="128">
        <f>('Financial impact (cash)'!I22*$C252*'Inputs and eligible population'!$O$122)/60</f>
        <v>0</v>
      </c>
      <c r="J252" s="289"/>
      <c r="K252" s="572">
        <f>'Inputs and eligible population'!$AA$122</f>
        <v>42.84</v>
      </c>
      <c r="L252" s="291">
        <f t="shared" si="163"/>
        <v>0</v>
      </c>
      <c r="M252" s="291">
        <f t="shared" si="158"/>
        <v>0</v>
      </c>
      <c r="N252" s="291">
        <f t="shared" si="159"/>
        <v>0</v>
      </c>
      <c r="O252" s="291">
        <f t="shared" si="160"/>
        <v>0</v>
      </c>
      <c r="P252" s="291">
        <f t="shared" si="161"/>
        <v>0</v>
      </c>
      <c r="Q252" s="291">
        <f t="shared" si="162"/>
        <v>0</v>
      </c>
      <c r="R252" s="133"/>
      <c r="S252" s="133"/>
      <c r="T252" s="133"/>
      <c r="U252" s="133"/>
      <c r="V252" s="133"/>
      <c r="W252" s="133"/>
      <c r="X252" s="133"/>
      <c r="Y252" s="133"/>
      <c r="Z252" s="133"/>
      <c r="AJ252" s="285"/>
      <c r="AK252" s="285"/>
      <c r="AL252" s="285"/>
      <c r="AM252" s="285"/>
      <c r="AN252" s="285"/>
    </row>
    <row r="253" spans="1:40" x14ac:dyDescent="0.35">
      <c r="A253" s="289"/>
      <c r="B253" s="348" t="s">
        <v>721</v>
      </c>
      <c r="C253" s="149">
        <f>'Inputs and eligible population'!P$121</f>
        <v>1</v>
      </c>
      <c r="D253" s="128">
        <f>('Financial impact (cash)'!D23*$C253*'Inputs and eligible population'!$P$122)/60</f>
        <v>0</v>
      </c>
      <c r="E253" s="128">
        <f>('Financial impact (cash)'!E23*$C253*'Inputs and eligible population'!$P$122)/60</f>
        <v>0</v>
      </c>
      <c r="F253" s="128">
        <f>('Financial impact (cash)'!F23*$C253*'Inputs and eligible population'!$P$122)/60</f>
        <v>0</v>
      </c>
      <c r="G253" s="128">
        <f>('Financial impact (cash)'!G23*$C253*'Inputs and eligible population'!$P$122)/60</f>
        <v>0</v>
      </c>
      <c r="H253" s="128">
        <f>('Financial impact (cash)'!H23*$C253*'Inputs and eligible population'!$P$122)/60</f>
        <v>0</v>
      </c>
      <c r="I253" s="128">
        <f>('Financial impact (cash)'!I23*$C253*'Inputs and eligible population'!$P$122)/60</f>
        <v>0</v>
      </c>
      <c r="J253" s="289"/>
      <c r="K253" s="572">
        <f>'Inputs and eligible population'!$AA$122</f>
        <v>42.84</v>
      </c>
      <c r="L253" s="291">
        <f t="shared" si="163"/>
        <v>0</v>
      </c>
      <c r="M253" s="291">
        <f t="shared" si="158"/>
        <v>0</v>
      </c>
      <c r="N253" s="291">
        <f t="shared" si="159"/>
        <v>0</v>
      </c>
      <c r="O253" s="291">
        <f t="shared" si="160"/>
        <v>0</v>
      </c>
      <c r="P253" s="291">
        <f t="shared" si="161"/>
        <v>0</v>
      </c>
      <c r="Q253" s="291">
        <f t="shared" si="162"/>
        <v>0</v>
      </c>
      <c r="R253" s="133"/>
      <c r="S253" s="133"/>
      <c r="T253" s="133"/>
      <c r="U253" s="133"/>
      <c r="V253" s="133"/>
      <c r="W253" s="133"/>
      <c r="X253" s="133"/>
      <c r="Y253" s="133"/>
      <c r="Z253" s="133"/>
      <c r="AJ253" s="285"/>
      <c r="AK253" s="285"/>
      <c r="AL253" s="285"/>
      <c r="AM253" s="285"/>
      <c r="AN253" s="285"/>
    </row>
    <row r="254" spans="1:40" x14ac:dyDescent="0.35">
      <c r="A254" s="289"/>
      <c r="B254" s="348" t="s">
        <v>723</v>
      </c>
      <c r="C254" s="149">
        <f>'Inputs and eligible population'!Q$121</f>
        <v>1</v>
      </c>
      <c r="D254" s="128">
        <f>('Financial impact (cash)'!D24*$C254*'Inputs and eligible population'!$Q$122)/60</f>
        <v>0</v>
      </c>
      <c r="E254" s="128">
        <f>('Financial impact (cash)'!E24*$C254*'Inputs and eligible population'!$Q$122)/60</f>
        <v>0</v>
      </c>
      <c r="F254" s="128">
        <f>('Financial impact (cash)'!F24*$C254*'Inputs and eligible population'!$Q$122)/60</f>
        <v>0</v>
      </c>
      <c r="G254" s="128">
        <f>('Financial impact (cash)'!G24*$C254*'Inputs and eligible population'!$Q$122)/60</f>
        <v>0</v>
      </c>
      <c r="H254" s="128">
        <f>('Financial impact (cash)'!H24*$C254*'Inputs and eligible population'!$Q$122)/60</f>
        <v>0</v>
      </c>
      <c r="I254" s="128">
        <f>('Financial impact (cash)'!I24*$C254*'Inputs and eligible population'!$Q$122)/60</f>
        <v>0</v>
      </c>
      <c r="J254" s="289"/>
      <c r="K254" s="572">
        <f>'Inputs and eligible population'!$AA$122</f>
        <v>42.84</v>
      </c>
      <c r="L254" s="291">
        <f t="shared" si="163"/>
        <v>0</v>
      </c>
      <c r="M254" s="291">
        <f t="shared" si="158"/>
        <v>0</v>
      </c>
      <c r="N254" s="291">
        <f t="shared" si="159"/>
        <v>0</v>
      </c>
      <c r="O254" s="291">
        <f t="shared" si="160"/>
        <v>0</v>
      </c>
      <c r="P254" s="291">
        <f t="shared" si="161"/>
        <v>0</v>
      </c>
      <c r="Q254" s="291">
        <f t="shared" si="162"/>
        <v>0</v>
      </c>
      <c r="R254" s="133"/>
      <c r="S254" s="133"/>
      <c r="T254" s="133"/>
      <c r="U254" s="133"/>
      <c r="V254" s="133"/>
      <c r="W254" s="133"/>
      <c r="X254" s="133"/>
      <c r="Y254" s="133"/>
      <c r="Z254" s="133"/>
      <c r="AJ254" s="285"/>
      <c r="AK254" s="285"/>
      <c r="AL254" s="285"/>
      <c r="AM254" s="285"/>
      <c r="AN254" s="285"/>
    </row>
    <row r="255" spans="1:40" x14ac:dyDescent="0.35">
      <c r="A255" s="289"/>
      <c r="B255" s="348" t="s">
        <v>725</v>
      </c>
      <c r="C255" s="149">
        <f>'Inputs and eligible population'!R$121</f>
        <v>1</v>
      </c>
      <c r="D255" s="128">
        <f>('Financial impact (cash)'!D25*$C255*'Inputs and eligible population'!$R$122)/60</f>
        <v>0</v>
      </c>
      <c r="E255" s="128">
        <f>('Financial impact (cash)'!E25*$C255*'Inputs and eligible population'!$R$122)/60</f>
        <v>0</v>
      </c>
      <c r="F255" s="128">
        <f>('Financial impact (cash)'!F25*$C255*'Inputs and eligible population'!$R$122)/60</f>
        <v>0</v>
      </c>
      <c r="G255" s="128">
        <f>('Financial impact (cash)'!G25*$C255*'Inputs and eligible population'!$R$122)/60</f>
        <v>0</v>
      </c>
      <c r="H255" s="128">
        <f>('Financial impact (cash)'!H25*$C255*'Inputs and eligible population'!$R$122)/60</f>
        <v>0</v>
      </c>
      <c r="I255" s="128">
        <f>('Financial impact (cash)'!I25*$C255*'Inputs and eligible population'!$R$122)/60</f>
        <v>0</v>
      </c>
      <c r="J255" s="289"/>
      <c r="K255" s="572">
        <f>'Inputs and eligible population'!$AA$122</f>
        <v>42.84</v>
      </c>
      <c r="L255" s="291">
        <f t="shared" si="163"/>
        <v>0</v>
      </c>
      <c r="M255" s="291">
        <f t="shared" si="158"/>
        <v>0</v>
      </c>
      <c r="N255" s="291">
        <f t="shared" si="159"/>
        <v>0</v>
      </c>
      <c r="O255" s="291">
        <f t="shared" si="160"/>
        <v>0</v>
      </c>
      <c r="P255" s="291">
        <f t="shared" si="161"/>
        <v>0</v>
      </c>
      <c r="Q255" s="291">
        <f t="shared" si="162"/>
        <v>0</v>
      </c>
      <c r="R255" s="133"/>
      <c r="S255" s="133"/>
      <c r="T255" s="133"/>
      <c r="U255" s="133"/>
      <c r="V255" s="133"/>
      <c r="W255" s="133"/>
      <c r="X255" s="133"/>
      <c r="Y255" s="133"/>
      <c r="Z255" s="133"/>
      <c r="AJ255" s="285"/>
      <c r="AK255" s="285"/>
      <c r="AL255" s="285"/>
      <c r="AM255" s="285"/>
      <c r="AN255" s="285"/>
    </row>
    <row r="256" spans="1:40" x14ac:dyDescent="0.35">
      <c r="A256" s="289"/>
      <c r="B256" s="348" t="s">
        <v>727</v>
      </c>
      <c r="C256" s="149">
        <f>'Inputs and eligible population'!S$121</f>
        <v>1</v>
      </c>
      <c r="D256" s="128">
        <f>('Financial impact (cash)'!D26*$C256*'Inputs and eligible population'!$S$122)/60</f>
        <v>0</v>
      </c>
      <c r="E256" s="128">
        <f>('Financial impact (cash)'!E26*$C256*'Inputs and eligible population'!$S$122)/60</f>
        <v>0</v>
      </c>
      <c r="F256" s="128">
        <f>('Financial impact (cash)'!F26*$C256*'Inputs and eligible population'!$S$122)/60</f>
        <v>0</v>
      </c>
      <c r="G256" s="128">
        <f>('Financial impact (cash)'!G26*$C256*'Inputs and eligible population'!$S$122)/60</f>
        <v>0</v>
      </c>
      <c r="H256" s="128">
        <f>('Financial impact (cash)'!H26*$C256*'Inputs and eligible population'!$S$122)/60</f>
        <v>0</v>
      </c>
      <c r="I256" s="128">
        <f>('Financial impact (cash)'!I26*$C256*'Inputs and eligible population'!$S$122)/60</f>
        <v>0</v>
      </c>
      <c r="J256" s="289"/>
      <c r="K256" s="572">
        <f>'Inputs and eligible population'!$AA$122</f>
        <v>42.84</v>
      </c>
      <c r="L256" s="291">
        <f t="shared" si="163"/>
        <v>0</v>
      </c>
      <c r="M256" s="291">
        <f t="shared" si="158"/>
        <v>0</v>
      </c>
      <c r="N256" s="291">
        <f t="shared" si="159"/>
        <v>0</v>
      </c>
      <c r="O256" s="291">
        <f t="shared" si="160"/>
        <v>0</v>
      </c>
      <c r="P256" s="291">
        <f t="shared" si="161"/>
        <v>0</v>
      </c>
      <c r="Q256" s="291">
        <f t="shared" si="162"/>
        <v>0</v>
      </c>
      <c r="R256" s="133"/>
      <c r="S256" s="133"/>
      <c r="T256" s="133"/>
      <c r="U256" s="133"/>
      <c r="V256" s="133"/>
      <c r="W256" s="133"/>
      <c r="X256" s="133"/>
      <c r="Y256" s="133"/>
      <c r="Z256" s="133"/>
      <c r="AJ256" s="285"/>
      <c r="AK256" s="285"/>
      <c r="AL256" s="285"/>
      <c r="AM256" s="285"/>
      <c r="AN256" s="285"/>
    </row>
    <row r="257" spans="1:40" x14ac:dyDescent="0.35">
      <c r="A257" s="289"/>
      <c r="B257" s="348" t="s">
        <v>729</v>
      </c>
      <c r="C257" s="149">
        <f>'Inputs and eligible population'!T$121</f>
        <v>1</v>
      </c>
      <c r="D257" s="128">
        <f>('Financial impact (cash)'!D27*$C257*'Inputs and eligible population'!$T$122)/60</f>
        <v>0</v>
      </c>
      <c r="E257" s="128">
        <f>('Financial impact (cash)'!E27*$C257*'Inputs and eligible population'!$T$122)/60</f>
        <v>0</v>
      </c>
      <c r="F257" s="128">
        <f>('Financial impact (cash)'!F27*$C257*'Inputs and eligible population'!$T$122)/60</f>
        <v>0</v>
      </c>
      <c r="G257" s="128">
        <f>('Financial impact (cash)'!G27*$C257*'Inputs and eligible population'!$T$122)/60</f>
        <v>0</v>
      </c>
      <c r="H257" s="128">
        <f>('Financial impact (cash)'!H27*$C257*'Inputs and eligible population'!$T$122)/60</f>
        <v>0</v>
      </c>
      <c r="I257" s="128">
        <f>('Financial impact (cash)'!I27*$C257*'Inputs and eligible population'!$T$122)/60</f>
        <v>0</v>
      </c>
      <c r="J257" s="289"/>
      <c r="K257" s="572">
        <f>'Inputs and eligible population'!$AA$122</f>
        <v>42.84</v>
      </c>
      <c r="L257" s="291">
        <f t="shared" si="163"/>
        <v>0</v>
      </c>
      <c r="M257" s="291">
        <f t="shared" si="158"/>
        <v>0</v>
      </c>
      <c r="N257" s="291">
        <f t="shared" si="159"/>
        <v>0</v>
      </c>
      <c r="O257" s="291">
        <f t="shared" si="160"/>
        <v>0</v>
      </c>
      <c r="P257" s="291">
        <f t="shared" si="161"/>
        <v>0</v>
      </c>
      <c r="Q257" s="291">
        <f t="shared" si="162"/>
        <v>0</v>
      </c>
      <c r="R257" s="133"/>
      <c r="S257" s="133"/>
      <c r="T257" s="133"/>
      <c r="U257" s="133"/>
      <c r="V257" s="133"/>
      <c r="W257" s="133"/>
      <c r="X257" s="133"/>
      <c r="Y257" s="133"/>
      <c r="Z257" s="133"/>
      <c r="AJ257" s="285"/>
      <c r="AK257" s="285"/>
      <c r="AL257" s="285"/>
      <c r="AM257" s="285"/>
      <c r="AN257" s="285"/>
    </row>
    <row r="258" spans="1:40" x14ac:dyDescent="0.35">
      <c r="A258" s="289"/>
      <c r="B258" s="348" t="s">
        <v>731</v>
      </c>
      <c r="C258" s="149">
        <f>'Inputs and eligible population'!U$121</f>
        <v>1</v>
      </c>
      <c r="D258" s="128">
        <f>('Financial impact (cash)'!D28*$C258*'Inputs and eligible population'!$U$122)/60</f>
        <v>0</v>
      </c>
      <c r="E258" s="128">
        <f>('Financial impact (cash)'!E28*$C258*'Inputs and eligible population'!$U$122)/60</f>
        <v>0</v>
      </c>
      <c r="F258" s="128">
        <f>('Financial impact (cash)'!F28*$C258*'Inputs and eligible population'!$U$122)/60</f>
        <v>0</v>
      </c>
      <c r="G258" s="128">
        <f>('Financial impact (cash)'!G28*$C258*'Inputs and eligible population'!$U$122)/60</f>
        <v>0</v>
      </c>
      <c r="H258" s="128">
        <f>('Financial impact (cash)'!H28*$C258*'Inputs and eligible population'!$U$122)/60</f>
        <v>0</v>
      </c>
      <c r="I258" s="128">
        <f>('Financial impact (cash)'!I28*$C258*'Inputs and eligible population'!$U$122)/60</f>
        <v>0</v>
      </c>
      <c r="J258" s="289"/>
      <c r="K258" s="572">
        <f>'Inputs and eligible population'!$AA$122</f>
        <v>42.84</v>
      </c>
      <c r="L258" s="291">
        <f t="shared" si="163"/>
        <v>0</v>
      </c>
      <c r="M258" s="291">
        <f t="shared" si="158"/>
        <v>0</v>
      </c>
      <c r="N258" s="291">
        <f t="shared" si="159"/>
        <v>0</v>
      </c>
      <c r="O258" s="291">
        <f t="shared" si="160"/>
        <v>0</v>
      </c>
      <c r="P258" s="291">
        <f t="shared" si="161"/>
        <v>0</v>
      </c>
      <c r="Q258" s="291">
        <f t="shared" si="162"/>
        <v>0</v>
      </c>
      <c r="R258" s="133"/>
      <c r="S258" s="133"/>
      <c r="T258" s="133"/>
      <c r="U258" s="133"/>
      <c r="V258" s="133"/>
      <c r="W258" s="133"/>
      <c r="X258" s="133"/>
      <c r="Y258" s="133"/>
      <c r="Z258" s="133"/>
      <c r="AJ258" s="285"/>
      <c r="AK258" s="285"/>
      <c r="AL258" s="285"/>
      <c r="AM258" s="285"/>
      <c r="AN258" s="285"/>
    </row>
    <row r="259" spans="1:40" x14ac:dyDescent="0.35">
      <c r="A259" s="289"/>
      <c r="B259" s="348" t="s">
        <v>733</v>
      </c>
      <c r="C259" s="149">
        <f>'Inputs and eligible population'!V$121</f>
        <v>1</v>
      </c>
      <c r="D259" s="128">
        <f>('Financial impact (cash)'!D29*$C259*'Inputs and eligible population'!$V$122)/60</f>
        <v>0</v>
      </c>
      <c r="E259" s="128">
        <f>('Financial impact (cash)'!E29*$C259*'Inputs and eligible population'!$V$122)/60</f>
        <v>0</v>
      </c>
      <c r="F259" s="128">
        <f>('Financial impact (cash)'!F29*$C259*'Inputs and eligible population'!$V$122)/60</f>
        <v>0</v>
      </c>
      <c r="G259" s="128">
        <f>('Financial impact (cash)'!G29*$C259*'Inputs and eligible population'!$V$122)/60</f>
        <v>0</v>
      </c>
      <c r="H259" s="128">
        <f>('Financial impact (cash)'!H29*$C259*'Inputs and eligible population'!$V$122)/60</f>
        <v>0</v>
      </c>
      <c r="I259" s="128">
        <f>('Financial impact (cash)'!I29*$C259*'Inputs and eligible population'!$V$122)/60</f>
        <v>0</v>
      </c>
      <c r="J259" s="289"/>
      <c r="K259" s="572">
        <f>'Inputs and eligible population'!$AA$122</f>
        <v>42.84</v>
      </c>
      <c r="L259" s="291">
        <f t="shared" si="163"/>
        <v>0</v>
      </c>
      <c r="M259" s="291">
        <f t="shared" si="158"/>
        <v>0</v>
      </c>
      <c r="N259" s="291">
        <f t="shared" si="159"/>
        <v>0</v>
      </c>
      <c r="O259" s="291">
        <f t="shared" si="160"/>
        <v>0</v>
      </c>
      <c r="P259" s="291">
        <f t="shared" si="161"/>
        <v>0</v>
      </c>
      <c r="Q259" s="291">
        <f t="shared" si="162"/>
        <v>0</v>
      </c>
      <c r="R259" s="133"/>
      <c r="S259" s="133"/>
      <c r="T259" s="133"/>
      <c r="U259" s="133"/>
      <c r="V259" s="133"/>
      <c r="W259" s="133"/>
      <c r="X259" s="133"/>
      <c r="Y259" s="133"/>
      <c r="Z259" s="133"/>
      <c r="AJ259" s="285"/>
      <c r="AK259" s="285"/>
      <c r="AL259" s="285"/>
      <c r="AM259" s="285"/>
      <c r="AN259" s="285"/>
    </row>
    <row r="260" spans="1:40" x14ac:dyDescent="0.35">
      <c r="A260" s="289"/>
      <c r="B260" s="348" t="s">
        <v>735</v>
      </c>
      <c r="C260" s="149">
        <f>'Inputs and eligible population'!W$121</f>
        <v>1</v>
      </c>
      <c r="D260" s="128">
        <f>('Financial impact (cash)'!D30*$C260*'Inputs and eligible population'!$W$122)/60</f>
        <v>0</v>
      </c>
      <c r="E260" s="128">
        <f>('Financial impact (cash)'!E30*$C260*'Inputs and eligible population'!$W$122)/60</f>
        <v>0</v>
      </c>
      <c r="F260" s="128">
        <f>('Financial impact (cash)'!F30*$C260*'Inputs and eligible population'!$W$122)/60</f>
        <v>0</v>
      </c>
      <c r="G260" s="128">
        <f>('Financial impact (cash)'!G30*$C260*'Inputs and eligible population'!$W$122)/60</f>
        <v>0</v>
      </c>
      <c r="H260" s="128">
        <f>('Financial impact (cash)'!H30*$C260*'Inputs and eligible population'!$W$122)/60</f>
        <v>0</v>
      </c>
      <c r="I260" s="128">
        <f>('Financial impact (cash)'!I30*$C260*'Inputs and eligible population'!$W$122)/60</f>
        <v>0</v>
      </c>
      <c r="J260" s="289"/>
      <c r="K260" s="572">
        <f>'Inputs and eligible population'!$AA$122</f>
        <v>42.84</v>
      </c>
      <c r="L260" s="291">
        <f t="shared" si="163"/>
        <v>0</v>
      </c>
      <c r="M260" s="291">
        <f t="shared" si="158"/>
        <v>0</v>
      </c>
      <c r="N260" s="291">
        <f t="shared" si="159"/>
        <v>0</v>
      </c>
      <c r="O260" s="291">
        <f t="shared" si="160"/>
        <v>0</v>
      </c>
      <c r="P260" s="291">
        <f t="shared" si="161"/>
        <v>0</v>
      </c>
      <c r="Q260" s="291">
        <f t="shared" si="162"/>
        <v>0</v>
      </c>
      <c r="R260" s="133"/>
      <c r="S260" s="133"/>
      <c r="T260" s="133"/>
      <c r="U260" s="133"/>
      <c r="V260" s="133"/>
      <c r="W260" s="133"/>
      <c r="X260" s="133"/>
      <c r="Y260" s="133"/>
      <c r="Z260" s="133"/>
      <c r="AJ260" s="285"/>
      <c r="AK260" s="285"/>
      <c r="AL260" s="285"/>
      <c r="AM260" s="285"/>
      <c r="AN260" s="285"/>
    </row>
    <row r="261" spans="1:40" x14ac:dyDescent="0.35">
      <c r="A261" s="289"/>
      <c r="B261" s="348" t="s">
        <v>750</v>
      </c>
      <c r="C261" s="149">
        <f>'Inputs and eligible population'!X$121</f>
        <v>1</v>
      </c>
      <c r="D261" s="128">
        <f>('Financial impact (cash)'!D31*$C261*'Inputs and eligible population'!$X$122)/60</f>
        <v>0</v>
      </c>
      <c r="E261" s="128">
        <f>('Financial impact (cash)'!E31*$C261*'Inputs and eligible population'!$X$122)/60</f>
        <v>0</v>
      </c>
      <c r="F261" s="128">
        <f>('Financial impact (cash)'!F31*$C261*'Inputs and eligible population'!$X$122)/60</f>
        <v>0</v>
      </c>
      <c r="G261" s="128">
        <f>('Financial impact (cash)'!G31*$C261*'Inputs and eligible population'!$X$122)/60</f>
        <v>0</v>
      </c>
      <c r="H261" s="128">
        <f>('Financial impact (cash)'!H31*$C261*'Inputs and eligible population'!$X$122)/60</f>
        <v>0</v>
      </c>
      <c r="I261" s="128">
        <f>('Financial impact (cash)'!I31*$C261*'Inputs and eligible population'!$X$122)/60</f>
        <v>0</v>
      </c>
      <c r="J261" s="289"/>
      <c r="K261" s="572">
        <f>'Inputs and eligible population'!$AA$122</f>
        <v>42.84</v>
      </c>
      <c r="L261" s="291">
        <f t="shared" si="163"/>
        <v>0</v>
      </c>
      <c r="M261" s="291">
        <f t="shared" si="158"/>
        <v>0</v>
      </c>
      <c r="N261" s="291">
        <f t="shared" si="159"/>
        <v>0</v>
      </c>
      <c r="O261" s="291">
        <f t="shared" si="160"/>
        <v>0</v>
      </c>
      <c r="P261" s="291">
        <f t="shared" si="161"/>
        <v>0</v>
      </c>
      <c r="Q261" s="291">
        <f>(I261*$K261)/1000</f>
        <v>0</v>
      </c>
      <c r="R261" s="133"/>
      <c r="S261" s="133"/>
      <c r="T261" s="133"/>
      <c r="U261" s="133"/>
      <c r="V261" s="133"/>
      <c r="W261" s="133"/>
      <c r="X261" s="133"/>
      <c r="Y261" s="133"/>
      <c r="Z261" s="133"/>
      <c r="AJ261" s="285"/>
      <c r="AK261" s="285"/>
      <c r="AL261" s="285"/>
      <c r="AM261" s="285"/>
      <c r="AN261" s="285"/>
    </row>
    <row r="262" spans="1:40" x14ac:dyDescent="0.35">
      <c r="A262" s="289"/>
      <c r="B262" s="282"/>
      <c r="C262" s="205"/>
      <c r="D262" s="185">
        <f t="shared" ref="D262:I262" si="176">SUM(D243:D261)</f>
        <v>0</v>
      </c>
      <c r="E262" s="185">
        <f t="shared" si="176"/>
        <v>0</v>
      </c>
      <c r="F262" s="185">
        <f t="shared" si="176"/>
        <v>0</v>
      </c>
      <c r="G262" s="185">
        <f t="shared" si="176"/>
        <v>0</v>
      </c>
      <c r="H262" s="185">
        <f t="shared" si="176"/>
        <v>0</v>
      </c>
      <c r="I262" s="185">
        <f t="shared" si="176"/>
        <v>0</v>
      </c>
      <c r="J262" s="289"/>
      <c r="K262" s="289"/>
      <c r="L262" s="292">
        <f>SUM(L243:L261)</f>
        <v>0</v>
      </c>
      <c r="M262" s="292">
        <f t="shared" ref="M262:P262" si="177">SUM(M243:M261)</f>
        <v>0</v>
      </c>
      <c r="N262" s="292">
        <f t="shared" si="177"/>
        <v>0</v>
      </c>
      <c r="O262" s="292">
        <f t="shared" si="177"/>
        <v>0</v>
      </c>
      <c r="P262" s="292">
        <f t="shared" si="177"/>
        <v>0</v>
      </c>
      <c r="Q262" s="292">
        <f>SUM(Q243:Q261)</f>
        <v>0</v>
      </c>
      <c r="R262" s="133"/>
      <c r="S262" s="133"/>
      <c r="T262" s="133"/>
      <c r="U262" s="133"/>
      <c r="V262" s="133"/>
      <c r="W262" s="133"/>
      <c r="X262" s="133"/>
      <c r="Y262" s="133"/>
      <c r="Z262" s="133"/>
      <c r="AJ262" s="285"/>
      <c r="AK262" s="285"/>
      <c r="AL262" s="285"/>
      <c r="AM262" s="285"/>
      <c r="AN262" s="285"/>
    </row>
    <row r="263" spans="1:40" x14ac:dyDescent="0.35">
      <c r="A263" s="289"/>
      <c r="B263" s="307"/>
      <c r="C263" s="256"/>
      <c r="D263" s="284" t="s">
        <v>1131</v>
      </c>
      <c r="E263" s="185">
        <f>E262-$D$262</f>
        <v>0</v>
      </c>
      <c r="F263" s="185">
        <f>F262-$D$262</f>
        <v>0</v>
      </c>
      <c r="G263" s="185">
        <f>G262-$D$262</f>
        <v>0</v>
      </c>
      <c r="H263" s="185">
        <f>H262-$D$262</f>
        <v>0</v>
      </c>
      <c r="I263" s="185">
        <f>I262-$D$262</f>
        <v>0</v>
      </c>
      <c r="J263" s="289"/>
      <c r="K263" s="289"/>
      <c r="L263" s="545"/>
      <c r="M263" s="292">
        <f t="shared" ref="M263:P263" si="178">M262-$L$262</f>
        <v>0</v>
      </c>
      <c r="N263" s="292">
        <f t="shared" si="178"/>
        <v>0</v>
      </c>
      <c r="O263" s="292">
        <f t="shared" si="178"/>
        <v>0</v>
      </c>
      <c r="P263" s="292">
        <f t="shared" si="178"/>
        <v>0</v>
      </c>
      <c r="Q263" s="292">
        <f>Q262-$L$262</f>
        <v>0</v>
      </c>
      <c r="V263" s="133"/>
    </row>
    <row r="264" spans="1:40" x14ac:dyDescent="0.35">
      <c r="A264" s="289"/>
      <c r="B264" s="289"/>
      <c r="C264" s="221"/>
      <c r="D264" s="289"/>
      <c r="E264" s="289"/>
      <c r="F264" s="289"/>
      <c r="G264" s="289"/>
      <c r="H264" s="289"/>
      <c r="I264" s="221"/>
      <c r="J264" s="221"/>
      <c r="K264" s="221"/>
      <c r="L264" s="221"/>
      <c r="M264" s="221"/>
      <c r="N264" s="221"/>
      <c r="O264" s="221"/>
      <c r="P264" s="221"/>
      <c r="Q264" s="221"/>
      <c r="V264" s="133"/>
    </row>
    <row r="265" spans="1:40" x14ac:dyDescent="0.35">
      <c r="A265" s="290"/>
      <c r="B265" s="327" t="s">
        <v>790</v>
      </c>
      <c r="C265" s="313"/>
      <c r="D265" s="314"/>
      <c r="E265" s="315"/>
      <c r="F265" s="316"/>
      <c r="G265" s="316"/>
      <c r="H265" s="316"/>
      <c r="I265" s="431"/>
      <c r="J265" s="439"/>
      <c r="K265" s="290"/>
      <c r="L265" s="290"/>
      <c r="M265" s="290"/>
      <c r="N265" s="290"/>
      <c r="O265" s="290"/>
      <c r="P265" s="290"/>
      <c r="Q265" s="290"/>
      <c r="R265" s="133"/>
      <c r="S265" s="133"/>
      <c r="T265" s="133"/>
      <c r="U265" s="133"/>
      <c r="V265" s="133"/>
      <c r="W265" s="133"/>
      <c r="X265" s="133"/>
      <c r="Y265" s="133"/>
      <c r="Z265" s="133"/>
      <c r="AJ265" s="285"/>
      <c r="AK265" s="285"/>
      <c r="AL265" s="285"/>
      <c r="AM265" s="285"/>
      <c r="AN265" s="285"/>
    </row>
    <row r="266" spans="1:40" x14ac:dyDescent="0.35">
      <c r="A266" s="290"/>
      <c r="B266" s="398" t="s">
        <v>1014</v>
      </c>
      <c r="C266" s="399"/>
      <c r="D266" s="399"/>
      <c r="E266" s="399"/>
      <c r="F266" s="399"/>
      <c r="G266" s="399"/>
      <c r="H266" s="399"/>
      <c r="I266" s="222"/>
      <c r="J266" s="437"/>
      <c r="K266" s="437"/>
      <c r="L266" s="438"/>
      <c r="M266" s="438"/>
      <c r="N266" s="438"/>
      <c r="O266" s="438"/>
      <c r="P266" s="438"/>
      <c r="Q266" s="438"/>
      <c r="R266" s="133"/>
      <c r="S266" s="133"/>
      <c r="T266" s="133"/>
      <c r="U266" s="133"/>
      <c r="V266" s="133"/>
      <c r="W266" s="133"/>
      <c r="X266" s="133"/>
      <c r="Y266" s="133"/>
      <c r="Z266" s="133"/>
      <c r="AJ266" s="285"/>
      <c r="AK266" s="285"/>
      <c r="AL266" s="285"/>
      <c r="AM266" s="285"/>
      <c r="AN266" s="285"/>
    </row>
    <row r="267" spans="1:40" ht="43.5" x14ac:dyDescent="0.35">
      <c r="A267" s="290"/>
      <c r="B267" s="278" t="s">
        <v>876</v>
      </c>
      <c r="C267" s="207"/>
      <c r="D267" s="421" t="s">
        <v>957</v>
      </c>
      <c r="E267" s="255" t="s">
        <v>685</v>
      </c>
      <c r="F267" s="255" t="s">
        <v>686</v>
      </c>
      <c r="G267" s="164" t="s">
        <v>914</v>
      </c>
      <c r="H267" s="164" t="s">
        <v>915</v>
      </c>
      <c r="I267" s="255" t="s">
        <v>916</v>
      </c>
      <c r="J267" s="290"/>
      <c r="K267" s="556" t="s">
        <v>1015</v>
      </c>
      <c r="L267" s="421" t="s">
        <v>957</v>
      </c>
      <c r="M267" s="255" t="s">
        <v>685</v>
      </c>
      <c r="N267" s="255" t="s">
        <v>686</v>
      </c>
      <c r="O267" s="164" t="s">
        <v>914</v>
      </c>
      <c r="P267" s="164" t="s">
        <v>915</v>
      </c>
      <c r="Q267" s="255" t="s">
        <v>916</v>
      </c>
      <c r="R267" s="133"/>
      <c r="S267" s="133"/>
      <c r="T267" s="133"/>
      <c r="U267" s="133"/>
      <c r="V267" s="133"/>
      <c r="W267" s="133"/>
      <c r="X267" s="133"/>
      <c r="Y267" s="133"/>
      <c r="Z267" s="133"/>
      <c r="AJ267" s="285"/>
      <c r="AK267" s="285"/>
      <c r="AL267" s="285"/>
      <c r="AM267" s="285"/>
      <c r="AN267" s="285"/>
    </row>
    <row r="268" spans="1:40" x14ac:dyDescent="0.35">
      <c r="A268" s="290"/>
      <c r="B268" s="249" t="s">
        <v>898</v>
      </c>
      <c r="C268" s="167"/>
      <c r="D268" s="128">
        <f>('Unit costs'!$D157*'Financial impact (cash)'!D$13)+('Unit costs'!$E157*'Financial impact (cash)'!D$14)+('Unit costs'!$F157*'Financial impact (cash)'!D$15)+('Unit costs'!$G157*'Financial impact (cash)'!D$16)+('Unit costs'!$H157*'Financial impact (cash)'!D$17)+('Unit costs'!$I157*'Financial impact (cash)'!D$18)+('Unit costs'!$J157*'Financial impact (cash)'!D$19)+('Unit costs'!$K157*'Financial impact (cash)'!D$20)+('Unit costs'!$L157*'Financial impact (cash)'!D$21)+('Unit costs'!$M157*'Financial impact (cash)'!D$22)+('Unit costs'!$N157*'Financial impact (cash)'!D$23)+('Unit costs'!$O157*'Financial impact (cash)'!D$24)+('Unit costs'!$P157*'Financial impact (cash)'!D$25)+('Unit costs'!$Q157*'Financial impact (cash)'!D$26)+('Unit costs'!$R157*'Financial impact (cash)'!D$27)+('Unit costs'!$S157*'Financial impact (cash)'!D$28)+('Unit costs'!$T157*'Financial impact (cash)'!D$29)+('Unit costs'!$U157*'Financial impact (cash)'!D$30)+('Unit costs'!$V157*'Financial impact (cash)'!D$31)</f>
        <v>0</v>
      </c>
      <c r="E268" s="128">
        <f>('Unit costs'!$D157*'Financial impact (cash)'!E$13)+('Unit costs'!$E157*'Financial impact (cash)'!E$14)+('Unit costs'!$F157*'Financial impact (cash)'!E$15)+('Unit costs'!$G157*'Financial impact (cash)'!E$16)+('Unit costs'!$H157*'Financial impact (cash)'!E$17)+('Unit costs'!$I157*'Financial impact (cash)'!E$18)+('Unit costs'!$J157*'Financial impact (cash)'!E$19)+('Unit costs'!$K157*'Financial impact (cash)'!E$20)+('Unit costs'!$L157*'Financial impact (cash)'!E$21)+('Unit costs'!$M157*'Financial impact (cash)'!E$22)+('Unit costs'!$N157*'Financial impact (cash)'!E$23)+('Unit costs'!$O157*'Financial impact (cash)'!E$24)+('Unit costs'!$P157*'Financial impact (cash)'!E$25)+('Unit costs'!$Q157*'Financial impact (cash)'!E$26)+('Unit costs'!$R157*'Financial impact (cash)'!E$27)+('Unit costs'!$S157*'Financial impact (cash)'!E$28)+('Unit costs'!$T157*'Financial impact (cash)'!E$29)+('Unit costs'!$U157*'Financial impact (cash)'!E$30)+('Unit costs'!$V157*'Financial impact (cash)'!E$31)</f>
        <v>0</v>
      </c>
      <c r="F268" s="128">
        <f>('Unit costs'!$D157*'Financial impact (cash)'!F$13)+('Unit costs'!$E157*'Financial impact (cash)'!F$14)+('Unit costs'!$F157*'Financial impact (cash)'!F$15)+('Unit costs'!$G157*'Financial impact (cash)'!F$16)+('Unit costs'!$H157*'Financial impact (cash)'!F$17)+('Unit costs'!$I157*'Financial impact (cash)'!F$18)+('Unit costs'!$J157*'Financial impact (cash)'!F$19)+('Unit costs'!$K157*'Financial impact (cash)'!F$20)+('Unit costs'!$L157*'Financial impact (cash)'!F$21)+('Unit costs'!$M157*'Financial impact (cash)'!F$22)+('Unit costs'!$N157*'Financial impact (cash)'!F$23)+('Unit costs'!$O157*'Financial impact (cash)'!F$24)+('Unit costs'!$P157*'Financial impact (cash)'!F$25)+('Unit costs'!$Q157*'Financial impact (cash)'!F$26)+('Unit costs'!$R157*'Financial impact (cash)'!F$27)+('Unit costs'!$S157*'Financial impact (cash)'!F$28)+('Unit costs'!$T157*'Financial impact (cash)'!F$29)+('Unit costs'!$U157*'Financial impact (cash)'!F$30)+('Unit costs'!$V157*'Financial impact (cash)'!F$31)</f>
        <v>0</v>
      </c>
      <c r="G268" s="128">
        <f>('Unit costs'!$D157*'Financial impact (cash)'!G$13)+('Unit costs'!$E157*'Financial impact (cash)'!G$14)+('Unit costs'!$F157*'Financial impact (cash)'!G$15)+('Unit costs'!$G157*'Financial impact (cash)'!G$16)+('Unit costs'!$H157*'Financial impact (cash)'!G$17)+('Unit costs'!$I157*'Financial impact (cash)'!G$18)+('Unit costs'!$J157*'Financial impact (cash)'!G$19)+('Unit costs'!$K157*'Financial impact (cash)'!G$20)+('Unit costs'!$L157*'Financial impact (cash)'!G$21)+('Unit costs'!$M157*'Financial impact (cash)'!G$22)+('Unit costs'!$N157*'Financial impact (cash)'!G$23)+('Unit costs'!$O157*'Financial impact (cash)'!G$24)+('Unit costs'!$P157*'Financial impact (cash)'!G$25)+('Unit costs'!$Q157*'Financial impact (cash)'!G$26)+('Unit costs'!$R157*'Financial impact (cash)'!G$27)+('Unit costs'!$S157*'Financial impact (cash)'!G$28)+('Unit costs'!$T157*'Financial impact (cash)'!G$29)+('Unit costs'!$U157*'Financial impact (cash)'!G$30)+('Unit costs'!$V157*'Financial impact (cash)'!G$31)</f>
        <v>0</v>
      </c>
      <c r="H268" s="128">
        <f>('Unit costs'!$D157*'Financial impact (cash)'!H$13)+('Unit costs'!$E157*'Financial impact (cash)'!H$14)+('Unit costs'!$F157*'Financial impact (cash)'!H$15)+('Unit costs'!$G157*'Financial impact (cash)'!H$16)+('Unit costs'!$H157*'Financial impact (cash)'!H$17)+('Unit costs'!$I157*'Financial impact (cash)'!H$18)+('Unit costs'!$J157*'Financial impact (cash)'!H$19)+('Unit costs'!$K157*'Financial impact (cash)'!H$20)+('Unit costs'!$L157*'Financial impact (cash)'!H$21)+('Unit costs'!$M157*'Financial impact (cash)'!H$22)+('Unit costs'!$N157*'Financial impact (cash)'!H$23)+('Unit costs'!$O157*'Financial impact (cash)'!H$24)+('Unit costs'!$P157*'Financial impact (cash)'!H$25)+('Unit costs'!$Q157*'Financial impact (cash)'!H$26)+('Unit costs'!$R157*'Financial impact (cash)'!H$27)+('Unit costs'!$S157*'Financial impact (cash)'!H$28)+('Unit costs'!$T157*'Financial impact (cash)'!H$29)+('Unit costs'!$U157*'Financial impact (cash)'!H$30)+('Unit costs'!$V157*'Financial impact (cash)'!H$31)</f>
        <v>0</v>
      </c>
      <c r="I268" s="128">
        <f>('Unit costs'!$D157*'Financial impact (cash)'!I$13)+('Unit costs'!$E157*'Financial impact (cash)'!I$14)+('Unit costs'!$F157*'Financial impact (cash)'!I$15)+('Unit costs'!$G157*'Financial impact (cash)'!I$16)+('Unit costs'!$H157*'Financial impact (cash)'!I$17)+('Unit costs'!$I157*'Financial impact (cash)'!I$18)+('Unit costs'!$J157*'Financial impact (cash)'!I$19)+('Unit costs'!$K157*'Financial impact (cash)'!I$20)+('Unit costs'!$L157*'Financial impact (cash)'!I$21)+('Unit costs'!$M157*'Financial impact (cash)'!I$22)+('Unit costs'!$N157*'Financial impact (cash)'!I$23)+('Unit costs'!$O157*'Financial impact (cash)'!I$24)+('Unit costs'!$P157*'Financial impact (cash)'!I$25)+('Unit costs'!$Q157*'Financial impact (cash)'!I$26)+('Unit costs'!$R157*'Financial impact (cash)'!I$27)+('Unit costs'!$S157*'Financial impact (cash)'!I$28)+('Unit costs'!$T157*'Financial impact (cash)'!I$29)+('Unit costs'!$U157*'Financial impact (cash)'!I$30)+('Unit costs'!$V157*'Financial impact (cash)'!I$31)</f>
        <v>0</v>
      </c>
      <c r="J268" s="290"/>
      <c r="K268" s="572">
        <f>'Unit costs'!C188</f>
        <v>444.84849858356938</v>
      </c>
      <c r="L268" s="291">
        <f t="shared" ref="L268:Q268" si="179">(D268*$K268)/1000</f>
        <v>0</v>
      </c>
      <c r="M268" s="291">
        <f t="shared" si="179"/>
        <v>0</v>
      </c>
      <c r="N268" s="291">
        <f t="shared" si="179"/>
        <v>0</v>
      </c>
      <c r="O268" s="291">
        <f t="shared" si="179"/>
        <v>0</v>
      </c>
      <c r="P268" s="291">
        <f t="shared" si="179"/>
        <v>0</v>
      </c>
      <c r="Q268" s="291">
        <f t="shared" si="179"/>
        <v>0</v>
      </c>
      <c r="R268" s="133"/>
      <c r="S268" s="133"/>
      <c r="T268" s="133"/>
      <c r="U268" s="133"/>
      <c r="V268" s="133"/>
      <c r="W268" s="133"/>
      <c r="X268" s="133"/>
      <c r="Y268" s="133"/>
      <c r="Z268" s="133"/>
      <c r="AJ268" s="285"/>
      <c r="AK268" s="285"/>
      <c r="AL268" s="285"/>
      <c r="AM268" s="285"/>
      <c r="AN268" s="285"/>
    </row>
    <row r="269" spans="1:40" x14ac:dyDescent="0.35">
      <c r="A269" s="290"/>
      <c r="B269" s="249" t="s">
        <v>899</v>
      </c>
      <c r="C269" s="167"/>
      <c r="D269" s="128">
        <f>('Unit costs'!$D158*'Financial impact (cash)'!D$13)+('Unit costs'!$E158*'Financial impact (cash)'!D$14)+('Unit costs'!$F158*'Financial impact (cash)'!D$15)+('Unit costs'!$G158*'Financial impact (cash)'!D$16)+('Unit costs'!$H158*'Financial impact (cash)'!D$17)+('Unit costs'!$I158*'Financial impact (cash)'!D$18)+('Unit costs'!$J158*'Financial impact (cash)'!D$19)+('Unit costs'!$K158*'Financial impact (cash)'!D$20)+('Unit costs'!$L158*'Financial impact (cash)'!D$21)+('Unit costs'!$M158*'Financial impact (cash)'!D$22)+('Unit costs'!$N158*'Financial impact (cash)'!D$23)+('Unit costs'!$O158*'Financial impact (cash)'!D$24)+('Unit costs'!$P158*'Financial impact (cash)'!D$25)+('Unit costs'!$Q158*'Financial impact (cash)'!D$26)+('Unit costs'!$R158*'Financial impact (cash)'!D$27)+('Unit costs'!$S158*'Financial impact (cash)'!D$28)+('Unit costs'!$T158*'Financial impact (cash)'!D$29)+('Unit costs'!$U158*'Financial impact (cash)'!D$30)+('Unit costs'!$V158*'Financial impact (cash)'!D$31)</f>
        <v>0</v>
      </c>
      <c r="E269" s="128">
        <f>('Unit costs'!$D158*'Financial impact (cash)'!E$13)+('Unit costs'!$E158*'Financial impact (cash)'!E$14)+('Unit costs'!$F158*'Financial impact (cash)'!E$15)+('Unit costs'!$G158*'Financial impact (cash)'!E$16)+('Unit costs'!$H158*'Financial impact (cash)'!E$17)+('Unit costs'!$I158*'Financial impact (cash)'!E$18)+('Unit costs'!$J158*'Financial impact (cash)'!E$19)+('Unit costs'!$K158*'Financial impact (cash)'!E$20)+('Unit costs'!$L158*'Financial impact (cash)'!E$21)+('Unit costs'!$M158*'Financial impact (cash)'!E$22)+('Unit costs'!$N158*'Financial impact (cash)'!E$23)+('Unit costs'!$O158*'Financial impact (cash)'!E$24)+('Unit costs'!$P158*'Financial impact (cash)'!E$25)+('Unit costs'!$Q158*'Financial impact (cash)'!E$26)+('Unit costs'!$R158*'Financial impact (cash)'!E$27)+('Unit costs'!$S158*'Financial impact (cash)'!E$28)+('Unit costs'!$T158*'Financial impact (cash)'!E$29)+('Unit costs'!$U158*'Financial impact (cash)'!E$30)+('Unit costs'!$V158*'Financial impact (cash)'!E$31)</f>
        <v>0</v>
      </c>
      <c r="F269" s="128">
        <f>('Unit costs'!$D158*'Financial impact (cash)'!F$13)+('Unit costs'!$E158*'Financial impact (cash)'!F$14)+('Unit costs'!$F158*'Financial impact (cash)'!F$15)+('Unit costs'!$G158*'Financial impact (cash)'!F$16)+('Unit costs'!$H158*'Financial impact (cash)'!F$17)+('Unit costs'!$I158*'Financial impact (cash)'!F$18)+('Unit costs'!$J158*'Financial impact (cash)'!F$19)+('Unit costs'!$K158*'Financial impact (cash)'!F$20)+('Unit costs'!$L158*'Financial impact (cash)'!F$21)+('Unit costs'!$M158*'Financial impact (cash)'!F$22)+('Unit costs'!$N158*'Financial impact (cash)'!F$23)+('Unit costs'!$O158*'Financial impact (cash)'!F$24)+('Unit costs'!$P158*'Financial impact (cash)'!F$25)+('Unit costs'!$Q158*'Financial impact (cash)'!F$26)+('Unit costs'!$R158*'Financial impact (cash)'!F$27)+('Unit costs'!$S158*'Financial impact (cash)'!F$28)+('Unit costs'!$T158*'Financial impact (cash)'!F$29)+('Unit costs'!$U158*'Financial impact (cash)'!F$30)+('Unit costs'!$V158*'Financial impact (cash)'!F$31)</f>
        <v>0</v>
      </c>
      <c r="G269" s="128">
        <f>('Unit costs'!$D158*'Financial impact (cash)'!G$13)+('Unit costs'!$E158*'Financial impact (cash)'!G$14)+('Unit costs'!$F158*'Financial impact (cash)'!G$15)+('Unit costs'!$G158*'Financial impact (cash)'!G$16)+('Unit costs'!$H158*'Financial impact (cash)'!G$17)+('Unit costs'!$I158*'Financial impact (cash)'!G$18)+('Unit costs'!$J158*'Financial impact (cash)'!G$19)+('Unit costs'!$K158*'Financial impact (cash)'!G$20)+('Unit costs'!$L158*'Financial impact (cash)'!G$21)+('Unit costs'!$M158*'Financial impact (cash)'!G$22)+('Unit costs'!$N158*'Financial impact (cash)'!G$23)+('Unit costs'!$O158*'Financial impact (cash)'!G$24)+('Unit costs'!$P158*'Financial impact (cash)'!G$25)+('Unit costs'!$Q158*'Financial impact (cash)'!G$26)+('Unit costs'!$R158*'Financial impact (cash)'!G$27)+('Unit costs'!$S158*'Financial impact (cash)'!G$28)+('Unit costs'!$T158*'Financial impact (cash)'!G$29)+('Unit costs'!$U158*'Financial impact (cash)'!G$30)+('Unit costs'!$V158*'Financial impact (cash)'!G$31)</f>
        <v>0</v>
      </c>
      <c r="H269" s="128">
        <f>('Unit costs'!$D158*'Financial impact (cash)'!H$13)+('Unit costs'!$E158*'Financial impact (cash)'!H$14)+('Unit costs'!$F158*'Financial impact (cash)'!H$15)+('Unit costs'!$G158*'Financial impact (cash)'!H$16)+('Unit costs'!$H158*'Financial impact (cash)'!H$17)+('Unit costs'!$I158*'Financial impact (cash)'!H$18)+('Unit costs'!$J158*'Financial impact (cash)'!H$19)+('Unit costs'!$K158*'Financial impact (cash)'!H$20)+('Unit costs'!$L158*'Financial impact (cash)'!H$21)+('Unit costs'!$M158*'Financial impact (cash)'!H$22)+('Unit costs'!$N158*'Financial impact (cash)'!H$23)+('Unit costs'!$O158*'Financial impact (cash)'!H$24)+('Unit costs'!$P158*'Financial impact (cash)'!H$25)+('Unit costs'!$Q158*'Financial impact (cash)'!H$26)+('Unit costs'!$R158*'Financial impact (cash)'!H$27)+('Unit costs'!$S158*'Financial impact (cash)'!H$28)+('Unit costs'!$T158*'Financial impact (cash)'!H$29)+('Unit costs'!$U158*'Financial impact (cash)'!H$30)+('Unit costs'!$V158*'Financial impact (cash)'!H$31)</f>
        <v>0</v>
      </c>
      <c r="I269" s="128">
        <f>('Unit costs'!$D158*'Financial impact (cash)'!I$13)+('Unit costs'!$E158*'Financial impact (cash)'!I$14)+('Unit costs'!$F158*'Financial impact (cash)'!I$15)+('Unit costs'!$G158*'Financial impact (cash)'!I$16)+('Unit costs'!$H158*'Financial impact (cash)'!I$17)+('Unit costs'!$I158*'Financial impact (cash)'!I$18)+('Unit costs'!$J158*'Financial impact (cash)'!I$19)+('Unit costs'!$K158*'Financial impact (cash)'!I$20)+('Unit costs'!$L158*'Financial impact (cash)'!I$21)+('Unit costs'!$M158*'Financial impact (cash)'!I$22)+('Unit costs'!$N158*'Financial impact (cash)'!I$23)+('Unit costs'!$O158*'Financial impact (cash)'!I$24)+('Unit costs'!$P158*'Financial impact (cash)'!I$25)+('Unit costs'!$Q158*'Financial impact (cash)'!I$26)+('Unit costs'!$R158*'Financial impact (cash)'!I$27)+('Unit costs'!$S158*'Financial impact (cash)'!I$28)+('Unit costs'!$T158*'Financial impact (cash)'!I$29)+('Unit costs'!$U158*'Financial impact (cash)'!I$30)+('Unit costs'!$V158*'Financial impact (cash)'!I$31)</f>
        <v>0</v>
      </c>
      <c r="J269" s="290"/>
      <c r="K269" s="572">
        <f>'Unit costs'!C189</f>
        <v>679.5266855524078</v>
      </c>
      <c r="L269" s="291">
        <f t="shared" ref="L269:L278" si="180">(D269*$K269)/1000</f>
        <v>0</v>
      </c>
      <c r="M269" s="291">
        <f t="shared" ref="M269:M278" si="181">(E269*$K269)/1000</f>
        <v>0</v>
      </c>
      <c r="N269" s="291">
        <f t="shared" ref="N269:N278" si="182">(F269*$K269)/1000</f>
        <v>0</v>
      </c>
      <c r="O269" s="291">
        <f t="shared" ref="O269:O278" si="183">(G269*$K269)/1000</f>
        <v>0</v>
      </c>
      <c r="P269" s="291">
        <f t="shared" ref="P269:P278" si="184">(H269*$K269)/1000</f>
        <v>0</v>
      </c>
      <c r="Q269" s="291">
        <f t="shared" ref="Q269:Q278" si="185">(I269*$K269)/1000</f>
        <v>0</v>
      </c>
      <c r="R269" s="133"/>
      <c r="S269" s="133"/>
      <c r="T269" s="133"/>
      <c r="U269" s="133"/>
      <c r="V269" s="133"/>
      <c r="W269" s="133"/>
      <c r="X269" s="133"/>
      <c r="Y269" s="133"/>
      <c r="Z269" s="133"/>
      <c r="AJ269" s="285"/>
      <c r="AK269" s="285"/>
      <c r="AL269" s="285"/>
      <c r="AM269" s="285"/>
      <c r="AN269" s="285"/>
    </row>
    <row r="270" spans="1:40" x14ac:dyDescent="0.35">
      <c r="A270" s="290"/>
      <c r="B270" s="249" t="s">
        <v>900</v>
      </c>
      <c r="C270" s="167"/>
      <c r="D270" s="128">
        <f>('Unit costs'!$D159*'Financial impact (cash)'!D$13)+('Unit costs'!$E159*'Financial impact (cash)'!D$14)+('Unit costs'!$F159*'Financial impact (cash)'!D$15)+('Unit costs'!$G159*'Financial impact (cash)'!D$16)+('Unit costs'!$H159*'Financial impact (cash)'!D$17)+('Unit costs'!$I159*'Financial impact (cash)'!D$18)+('Unit costs'!$J159*'Financial impact (cash)'!D$19)+('Unit costs'!$K159*'Financial impact (cash)'!D$20)+('Unit costs'!$L159*'Financial impact (cash)'!D$21)+('Unit costs'!$M159*'Financial impact (cash)'!D$22)+('Unit costs'!$N159*'Financial impact (cash)'!D$23)+('Unit costs'!$O159*'Financial impact (cash)'!D$24)+('Unit costs'!$P159*'Financial impact (cash)'!D$25)+('Unit costs'!$Q159*'Financial impact (cash)'!D$26)+('Unit costs'!$R159*'Financial impact (cash)'!D$27)+('Unit costs'!$S159*'Financial impact (cash)'!D$28)+('Unit costs'!$T159*'Financial impact (cash)'!D$29)+('Unit costs'!$U159*'Financial impact (cash)'!D$30)+('Unit costs'!$V159*'Financial impact (cash)'!D$31)</f>
        <v>0</v>
      </c>
      <c r="E270" s="128">
        <f>('Unit costs'!$D159*'Financial impact (cash)'!E$13)+('Unit costs'!$E159*'Financial impact (cash)'!E$14)+('Unit costs'!$F159*'Financial impact (cash)'!E$15)+('Unit costs'!$G159*'Financial impact (cash)'!E$16)+('Unit costs'!$H159*'Financial impact (cash)'!E$17)+('Unit costs'!$I159*'Financial impact (cash)'!E$18)+('Unit costs'!$J159*'Financial impact (cash)'!E$19)+('Unit costs'!$K159*'Financial impact (cash)'!E$20)+('Unit costs'!$L159*'Financial impact (cash)'!E$21)+('Unit costs'!$M159*'Financial impact (cash)'!E$22)+('Unit costs'!$N159*'Financial impact (cash)'!E$23)+('Unit costs'!$O159*'Financial impact (cash)'!E$24)+('Unit costs'!$P159*'Financial impact (cash)'!E$25)+('Unit costs'!$Q159*'Financial impact (cash)'!E$26)+('Unit costs'!$R159*'Financial impact (cash)'!E$27)+('Unit costs'!$S159*'Financial impact (cash)'!E$28)+('Unit costs'!$T159*'Financial impact (cash)'!E$29)+('Unit costs'!$U159*'Financial impact (cash)'!E$30)+('Unit costs'!$V159*'Financial impact (cash)'!E$31)</f>
        <v>0</v>
      </c>
      <c r="F270" s="128">
        <f>('Unit costs'!$D159*'Financial impact (cash)'!F$13)+('Unit costs'!$E159*'Financial impact (cash)'!F$14)+('Unit costs'!$F159*'Financial impact (cash)'!F$15)+('Unit costs'!$G159*'Financial impact (cash)'!F$16)+('Unit costs'!$H159*'Financial impact (cash)'!F$17)+('Unit costs'!$I159*'Financial impact (cash)'!F$18)+('Unit costs'!$J159*'Financial impact (cash)'!F$19)+('Unit costs'!$K159*'Financial impact (cash)'!F$20)+('Unit costs'!$L159*'Financial impact (cash)'!F$21)+('Unit costs'!$M159*'Financial impact (cash)'!F$22)+('Unit costs'!$N159*'Financial impact (cash)'!F$23)+('Unit costs'!$O159*'Financial impact (cash)'!F$24)+('Unit costs'!$P159*'Financial impact (cash)'!F$25)+('Unit costs'!$Q159*'Financial impact (cash)'!F$26)+('Unit costs'!$R159*'Financial impact (cash)'!F$27)+('Unit costs'!$S159*'Financial impact (cash)'!F$28)+('Unit costs'!$T159*'Financial impact (cash)'!F$29)+('Unit costs'!$U159*'Financial impact (cash)'!F$30)+('Unit costs'!$V159*'Financial impact (cash)'!F$31)</f>
        <v>0</v>
      </c>
      <c r="G270" s="128">
        <f>('Unit costs'!$D159*'Financial impact (cash)'!G$13)+('Unit costs'!$E159*'Financial impact (cash)'!G$14)+('Unit costs'!$F159*'Financial impact (cash)'!G$15)+('Unit costs'!$G159*'Financial impact (cash)'!G$16)+('Unit costs'!$H159*'Financial impact (cash)'!G$17)+('Unit costs'!$I159*'Financial impact (cash)'!G$18)+('Unit costs'!$J159*'Financial impact (cash)'!G$19)+('Unit costs'!$K159*'Financial impact (cash)'!G$20)+('Unit costs'!$L159*'Financial impact (cash)'!G$21)+('Unit costs'!$M159*'Financial impact (cash)'!G$22)+('Unit costs'!$N159*'Financial impact (cash)'!G$23)+('Unit costs'!$O159*'Financial impact (cash)'!G$24)+('Unit costs'!$P159*'Financial impact (cash)'!G$25)+('Unit costs'!$Q159*'Financial impact (cash)'!G$26)+('Unit costs'!$R159*'Financial impact (cash)'!G$27)+('Unit costs'!$S159*'Financial impact (cash)'!G$28)+('Unit costs'!$T159*'Financial impact (cash)'!G$29)+('Unit costs'!$U159*'Financial impact (cash)'!G$30)+('Unit costs'!$V159*'Financial impact (cash)'!G$31)</f>
        <v>0</v>
      </c>
      <c r="H270" s="128">
        <f>('Unit costs'!$D159*'Financial impact (cash)'!H$13)+('Unit costs'!$E159*'Financial impact (cash)'!H$14)+('Unit costs'!$F159*'Financial impact (cash)'!H$15)+('Unit costs'!$G159*'Financial impact (cash)'!H$16)+('Unit costs'!$H159*'Financial impact (cash)'!H$17)+('Unit costs'!$I159*'Financial impact (cash)'!H$18)+('Unit costs'!$J159*'Financial impact (cash)'!H$19)+('Unit costs'!$K159*'Financial impact (cash)'!H$20)+('Unit costs'!$L159*'Financial impact (cash)'!H$21)+('Unit costs'!$M159*'Financial impact (cash)'!H$22)+('Unit costs'!$N159*'Financial impact (cash)'!H$23)+('Unit costs'!$O159*'Financial impact (cash)'!H$24)+('Unit costs'!$P159*'Financial impact (cash)'!H$25)+('Unit costs'!$Q159*'Financial impact (cash)'!H$26)+('Unit costs'!$R159*'Financial impact (cash)'!H$27)+('Unit costs'!$S159*'Financial impact (cash)'!H$28)+('Unit costs'!$T159*'Financial impact (cash)'!H$29)+('Unit costs'!$U159*'Financial impact (cash)'!H$30)+('Unit costs'!$V159*'Financial impact (cash)'!H$31)</f>
        <v>0</v>
      </c>
      <c r="I270" s="128">
        <f>('Unit costs'!$D159*'Financial impact (cash)'!I$13)+('Unit costs'!$E159*'Financial impact (cash)'!I$14)+('Unit costs'!$F159*'Financial impact (cash)'!I$15)+('Unit costs'!$G159*'Financial impact (cash)'!I$16)+('Unit costs'!$H159*'Financial impact (cash)'!I$17)+('Unit costs'!$I159*'Financial impact (cash)'!I$18)+('Unit costs'!$J159*'Financial impact (cash)'!I$19)+('Unit costs'!$K159*'Financial impact (cash)'!I$20)+('Unit costs'!$L159*'Financial impact (cash)'!I$21)+('Unit costs'!$M159*'Financial impact (cash)'!I$22)+('Unit costs'!$N159*'Financial impact (cash)'!I$23)+('Unit costs'!$O159*'Financial impact (cash)'!I$24)+('Unit costs'!$P159*'Financial impact (cash)'!I$25)+('Unit costs'!$Q159*'Financial impact (cash)'!I$26)+('Unit costs'!$R159*'Financial impact (cash)'!I$27)+('Unit costs'!$S159*'Financial impact (cash)'!I$28)+('Unit costs'!$T159*'Financial impact (cash)'!I$29)+('Unit costs'!$U159*'Financial impact (cash)'!I$30)+('Unit costs'!$V159*'Financial impact (cash)'!I$31)</f>
        <v>0</v>
      </c>
      <c r="J270" s="290"/>
      <c r="K270" s="572">
        <f>'Unit costs'!C190</f>
        <v>78.778130311614731</v>
      </c>
      <c r="L270" s="291">
        <f t="shared" si="180"/>
        <v>0</v>
      </c>
      <c r="M270" s="291">
        <f t="shared" si="181"/>
        <v>0</v>
      </c>
      <c r="N270" s="291">
        <f t="shared" si="182"/>
        <v>0</v>
      </c>
      <c r="O270" s="291">
        <f t="shared" si="183"/>
        <v>0</v>
      </c>
      <c r="P270" s="291">
        <f t="shared" si="184"/>
        <v>0</v>
      </c>
      <c r="Q270" s="291">
        <f t="shared" si="185"/>
        <v>0</v>
      </c>
      <c r="R270" s="133"/>
      <c r="S270" s="133"/>
      <c r="T270" s="133"/>
      <c r="U270" s="133"/>
      <c r="V270" s="133"/>
      <c r="W270" s="133"/>
      <c r="X270" s="133"/>
      <c r="Y270" s="133"/>
      <c r="Z270" s="133"/>
      <c r="AJ270" s="285"/>
      <c r="AK270" s="285"/>
      <c r="AL270" s="285"/>
      <c r="AM270" s="285"/>
      <c r="AN270" s="285"/>
    </row>
    <row r="271" spans="1:40" x14ac:dyDescent="0.35">
      <c r="A271" s="290"/>
      <c r="B271" s="249" t="s">
        <v>901</v>
      </c>
      <c r="C271" s="167"/>
      <c r="D271" s="128">
        <f>('Unit costs'!$D160*'Financial impact (cash)'!D$13)+('Unit costs'!$E160*'Financial impact (cash)'!D$14)+('Unit costs'!$F160*'Financial impact (cash)'!D$15)+('Unit costs'!$G160*'Financial impact (cash)'!D$16)+('Unit costs'!$H160*'Financial impact (cash)'!D$17)+('Unit costs'!$I160*'Financial impact (cash)'!D$18)+('Unit costs'!$J160*'Financial impact (cash)'!D$19)+('Unit costs'!$K160*'Financial impact (cash)'!D$20)+('Unit costs'!$L160*'Financial impact (cash)'!D$21)+('Unit costs'!$M160*'Financial impact (cash)'!D$22)+('Unit costs'!$N160*'Financial impact (cash)'!D$23)+('Unit costs'!$O160*'Financial impact (cash)'!D$24)+('Unit costs'!$P160*'Financial impact (cash)'!D$25)+('Unit costs'!$Q160*'Financial impact (cash)'!D$26)+('Unit costs'!$R160*'Financial impact (cash)'!D$27)+('Unit costs'!$S160*'Financial impact (cash)'!D$28)+('Unit costs'!$T160*'Financial impact (cash)'!D$29)+('Unit costs'!$U160*'Financial impact (cash)'!D$30)+('Unit costs'!$V160*'Financial impact (cash)'!D$31)</f>
        <v>0</v>
      </c>
      <c r="E271" s="128">
        <f>('Unit costs'!$D160*'Financial impact (cash)'!E$13)+('Unit costs'!$E160*'Financial impact (cash)'!E$14)+('Unit costs'!$F160*'Financial impact (cash)'!E$15)+('Unit costs'!$G160*'Financial impact (cash)'!E$16)+('Unit costs'!$H160*'Financial impact (cash)'!E$17)+('Unit costs'!$I160*'Financial impact (cash)'!E$18)+('Unit costs'!$J160*'Financial impact (cash)'!E$19)+('Unit costs'!$K160*'Financial impact (cash)'!E$20)+('Unit costs'!$L160*'Financial impact (cash)'!E$21)+('Unit costs'!$M160*'Financial impact (cash)'!E$22)+('Unit costs'!$N160*'Financial impact (cash)'!E$23)+('Unit costs'!$O160*'Financial impact (cash)'!E$24)+('Unit costs'!$P160*'Financial impact (cash)'!E$25)+('Unit costs'!$Q160*'Financial impact (cash)'!E$26)+('Unit costs'!$R160*'Financial impact (cash)'!E$27)+('Unit costs'!$S160*'Financial impact (cash)'!E$28)+('Unit costs'!$T160*'Financial impact (cash)'!E$29)+('Unit costs'!$U160*'Financial impact (cash)'!E$30)+('Unit costs'!$V160*'Financial impact (cash)'!E$31)</f>
        <v>0</v>
      </c>
      <c r="F271" s="128">
        <f>('Unit costs'!$D160*'Financial impact (cash)'!F$13)+('Unit costs'!$E160*'Financial impact (cash)'!F$14)+('Unit costs'!$F160*'Financial impact (cash)'!F$15)+('Unit costs'!$G160*'Financial impact (cash)'!F$16)+('Unit costs'!$H160*'Financial impact (cash)'!F$17)+('Unit costs'!$I160*'Financial impact (cash)'!F$18)+('Unit costs'!$J160*'Financial impact (cash)'!F$19)+('Unit costs'!$K160*'Financial impact (cash)'!F$20)+('Unit costs'!$L160*'Financial impact (cash)'!F$21)+('Unit costs'!$M160*'Financial impact (cash)'!F$22)+('Unit costs'!$N160*'Financial impact (cash)'!F$23)+('Unit costs'!$O160*'Financial impact (cash)'!F$24)+('Unit costs'!$P160*'Financial impact (cash)'!F$25)+('Unit costs'!$Q160*'Financial impact (cash)'!F$26)+('Unit costs'!$R160*'Financial impact (cash)'!F$27)+('Unit costs'!$S160*'Financial impact (cash)'!F$28)+('Unit costs'!$T160*'Financial impact (cash)'!F$29)+('Unit costs'!$U160*'Financial impact (cash)'!F$30)+('Unit costs'!$V160*'Financial impact (cash)'!F$31)</f>
        <v>0</v>
      </c>
      <c r="G271" s="128">
        <f>('Unit costs'!$D160*'Financial impact (cash)'!G$13)+('Unit costs'!$E160*'Financial impact (cash)'!G$14)+('Unit costs'!$F160*'Financial impact (cash)'!G$15)+('Unit costs'!$G160*'Financial impact (cash)'!G$16)+('Unit costs'!$H160*'Financial impact (cash)'!G$17)+('Unit costs'!$I160*'Financial impact (cash)'!G$18)+('Unit costs'!$J160*'Financial impact (cash)'!G$19)+('Unit costs'!$K160*'Financial impact (cash)'!G$20)+('Unit costs'!$L160*'Financial impact (cash)'!G$21)+('Unit costs'!$M160*'Financial impact (cash)'!G$22)+('Unit costs'!$N160*'Financial impact (cash)'!G$23)+('Unit costs'!$O160*'Financial impact (cash)'!G$24)+('Unit costs'!$P160*'Financial impact (cash)'!G$25)+('Unit costs'!$Q160*'Financial impact (cash)'!G$26)+('Unit costs'!$R160*'Financial impact (cash)'!G$27)+('Unit costs'!$S160*'Financial impact (cash)'!G$28)+('Unit costs'!$T160*'Financial impact (cash)'!G$29)+('Unit costs'!$U160*'Financial impact (cash)'!G$30)+('Unit costs'!$V160*'Financial impact (cash)'!G$31)</f>
        <v>0</v>
      </c>
      <c r="H271" s="128">
        <f>('Unit costs'!$D160*'Financial impact (cash)'!H$13)+('Unit costs'!$E160*'Financial impact (cash)'!H$14)+('Unit costs'!$F160*'Financial impact (cash)'!H$15)+('Unit costs'!$G160*'Financial impact (cash)'!H$16)+('Unit costs'!$H160*'Financial impact (cash)'!H$17)+('Unit costs'!$I160*'Financial impact (cash)'!H$18)+('Unit costs'!$J160*'Financial impact (cash)'!H$19)+('Unit costs'!$K160*'Financial impact (cash)'!H$20)+('Unit costs'!$L160*'Financial impact (cash)'!H$21)+('Unit costs'!$M160*'Financial impact (cash)'!H$22)+('Unit costs'!$N160*'Financial impact (cash)'!H$23)+('Unit costs'!$O160*'Financial impact (cash)'!H$24)+('Unit costs'!$P160*'Financial impact (cash)'!H$25)+('Unit costs'!$Q160*'Financial impact (cash)'!H$26)+('Unit costs'!$R160*'Financial impact (cash)'!H$27)+('Unit costs'!$S160*'Financial impact (cash)'!H$28)+('Unit costs'!$T160*'Financial impact (cash)'!H$29)+('Unit costs'!$U160*'Financial impact (cash)'!H$30)+('Unit costs'!$V160*'Financial impact (cash)'!H$31)</f>
        <v>0</v>
      </c>
      <c r="I271" s="128">
        <f>('Unit costs'!$D160*'Financial impact (cash)'!I$13)+('Unit costs'!$E160*'Financial impact (cash)'!I$14)+('Unit costs'!$F160*'Financial impact (cash)'!I$15)+('Unit costs'!$G160*'Financial impact (cash)'!I$16)+('Unit costs'!$H160*'Financial impact (cash)'!I$17)+('Unit costs'!$I160*'Financial impact (cash)'!I$18)+('Unit costs'!$J160*'Financial impact (cash)'!I$19)+('Unit costs'!$K160*'Financial impact (cash)'!I$20)+('Unit costs'!$L160*'Financial impact (cash)'!I$21)+('Unit costs'!$M160*'Financial impact (cash)'!I$22)+('Unit costs'!$N160*'Financial impact (cash)'!I$23)+('Unit costs'!$O160*'Financial impact (cash)'!I$24)+('Unit costs'!$P160*'Financial impact (cash)'!I$25)+('Unit costs'!$Q160*'Financial impact (cash)'!I$26)+('Unit costs'!$R160*'Financial impact (cash)'!I$27)+('Unit costs'!$S160*'Financial impact (cash)'!I$28)+('Unit costs'!$T160*'Financial impact (cash)'!I$29)+('Unit costs'!$U160*'Financial impact (cash)'!I$30)+('Unit costs'!$V160*'Financial impact (cash)'!I$31)</f>
        <v>0</v>
      </c>
      <c r="J271" s="290"/>
      <c r="K271" s="572">
        <f>'Unit costs'!C191</f>
        <v>3057.2342209631724</v>
      </c>
      <c r="L271" s="291">
        <f t="shared" si="180"/>
        <v>0</v>
      </c>
      <c r="M271" s="291">
        <f t="shared" si="181"/>
        <v>0</v>
      </c>
      <c r="N271" s="291">
        <f t="shared" si="182"/>
        <v>0</v>
      </c>
      <c r="O271" s="291">
        <f t="shared" si="183"/>
        <v>0</v>
      </c>
      <c r="P271" s="291">
        <f t="shared" si="184"/>
        <v>0</v>
      </c>
      <c r="Q271" s="291">
        <f t="shared" si="185"/>
        <v>0</v>
      </c>
      <c r="R271" s="133"/>
      <c r="S271" s="133"/>
      <c r="T271" s="133"/>
      <c r="U271" s="133"/>
      <c r="V271" s="133"/>
      <c r="W271" s="133"/>
      <c r="X271" s="133"/>
      <c r="Y271" s="133"/>
      <c r="Z271" s="133"/>
      <c r="AJ271" s="285"/>
      <c r="AK271" s="285"/>
      <c r="AL271" s="285"/>
      <c r="AM271" s="285"/>
      <c r="AN271" s="285"/>
    </row>
    <row r="272" spans="1:40" x14ac:dyDescent="0.35">
      <c r="A272" s="290"/>
      <c r="B272" s="249" t="s">
        <v>902</v>
      </c>
      <c r="C272" s="167"/>
      <c r="D272" s="128">
        <f>('Unit costs'!$D161*'Financial impact (cash)'!D$13)+('Unit costs'!$E161*'Financial impact (cash)'!D$14)+('Unit costs'!$F161*'Financial impact (cash)'!D$15)+('Unit costs'!$G161*'Financial impact (cash)'!D$16)+('Unit costs'!$H161*'Financial impact (cash)'!D$17)+('Unit costs'!$I161*'Financial impact (cash)'!D$18)+('Unit costs'!$J161*'Financial impact (cash)'!D$19)+('Unit costs'!$K161*'Financial impact (cash)'!D$20)+('Unit costs'!$L161*'Financial impact (cash)'!D$21)+('Unit costs'!$M161*'Financial impact (cash)'!D$22)+('Unit costs'!$N161*'Financial impact (cash)'!D$23)+('Unit costs'!$O161*'Financial impact (cash)'!D$24)+('Unit costs'!$P161*'Financial impact (cash)'!D$25)+('Unit costs'!$Q161*'Financial impact (cash)'!D$26)+('Unit costs'!$R161*'Financial impact (cash)'!D$27)+('Unit costs'!$S161*'Financial impact (cash)'!D$28)+('Unit costs'!$T161*'Financial impact (cash)'!D$29)+('Unit costs'!$U161*'Financial impact (cash)'!D$30)+('Unit costs'!$V161*'Financial impact (cash)'!D$31)</f>
        <v>0</v>
      </c>
      <c r="E272" s="128">
        <f>('Unit costs'!$D161*'Financial impact (cash)'!E$13)+('Unit costs'!$E161*'Financial impact (cash)'!E$14)+('Unit costs'!$F161*'Financial impact (cash)'!E$15)+('Unit costs'!$G161*'Financial impact (cash)'!E$16)+('Unit costs'!$H161*'Financial impact (cash)'!E$17)+('Unit costs'!$I161*'Financial impact (cash)'!E$18)+('Unit costs'!$J161*'Financial impact (cash)'!E$19)+('Unit costs'!$K161*'Financial impact (cash)'!E$20)+('Unit costs'!$L161*'Financial impact (cash)'!E$21)+('Unit costs'!$M161*'Financial impact (cash)'!E$22)+('Unit costs'!$N161*'Financial impact (cash)'!E$23)+('Unit costs'!$O161*'Financial impact (cash)'!E$24)+('Unit costs'!$P161*'Financial impact (cash)'!E$25)+('Unit costs'!$Q161*'Financial impact (cash)'!E$26)+('Unit costs'!$R161*'Financial impact (cash)'!E$27)+('Unit costs'!$S161*'Financial impact (cash)'!E$28)+('Unit costs'!$T161*'Financial impact (cash)'!E$29)+('Unit costs'!$U161*'Financial impact (cash)'!E$30)+('Unit costs'!$V161*'Financial impact (cash)'!E$31)</f>
        <v>0</v>
      </c>
      <c r="F272" s="128">
        <f>('Unit costs'!$D161*'Financial impact (cash)'!F$13)+('Unit costs'!$E161*'Financial impact (cash)'!F$14)+('Unit costs'!$F161*'Financial impact (cash)'!F$15)+('Unit costs'!$G161*'Financial impact (cash)'!F$16)+('Unit costs'!$H161*'Financial impact (cash)'!F$17)+('Unit costs'!$I161*'Financial impact (cash)'!F$18)+('Unit costs'!$J161*'Financial impact (cash)'!F$19)+('Unit costs'!$K161*'Financial impact (cash)'!F$20)+('Unit costs'!$L161*'Financial impact (cash)'!F$21)+('Unit costs'!$M161*'Financial impact (cash)'!F$22)+('Unit costs'!$N161*'Financial impact (cash)'!F$23)+('Unit costs'!$O161*'Financial impact (cash)'!F$24)+('Unit costs'!$P161*'Financial impact (cash)'!F$25)+('Unit costs'!$Q161*'Financial impact (cash)'!F$26)+('Unit costs'!$R161*'Financial impact (cash)'!F$27)+('Unit costs'!$S161*'Financial impact (cash)'!F$28)+('Unit costs'!$T161*'Financial impact (cash)'!F$29)+('Unit costs'!$U161*'Financial impact (cash)'!F$30)+('Unit costs'!$V161*'Financial impact (cash)'!F$31)</f>
        <v>0</v>
      </c>
      <c r="G272" s="128">
        <f>('Unit costs'!$D161*'Financial impact (cash)'!G$13)+('Unit costs'!$E161*'Financial impact (cash)'!G$14)+('Unit costs'!$F161*'Financial impact (cash)'!G$15)+('Unit costs'!$G161*'Financial impact (cash)'!G$16)+('Unit costs'!$H161*'Financial impact (cash)'!G$17)+('Unit costs'!$I161*'Financial impact (cash)'!G$18)+('Unit costs'!$J161*'Financial impact (cash)'!G$19)+('Unit costs'!$K161*'Financial impact (cash)'!G$20)+('Unit costs'!$L161*'Financial impact (cash)'!G$21)+('Unit costs'!$M161*'Financial impact (cash)'!G$22)+('Unit costs'!$N161*'Financial impact (cash)'!G$23)+('Unit costs'!$O161*'Financial impact (cash)'!G$24)+('Unit costs'!$P161*'Financial impact (cash)'!G$25)+('Unit costs'!$Q161*'Financial impact (cash)'!G$26)+('Unit costs'!$R161*'Financial impact (cash)'!G$27)+('Unit costs'!$S161*'Financial impact (cash)'!G$28)+('Unit costs'!$T161*'Financial impact (cash)'!G$29)+('Unit costs'!$U161*'Financial impact (cash)'!G$30)+('Unit costs'!$V161*'Financial impact (cash)'!G$31)</f>
        <v>0</v>
      </c>
      <c r="H272" s="128">
        <f>('Unit costs'!$D161*'Financial impact (cash)'!H$13)+('Unit costs'!$E161*'Financial impact (cash)'!H$14)+('Unit costs'!$F161*'Financial impact (cash)'!H$15)+('Unit costs'!$G161*'Financial impact (cash)'!H$16)+('Unit costs'!$H161*'Financial impact (cash)'!H$17)+('Unit costs'!$I161*'Financial impact (cash)'!H$18)+('Unit costs'!$J161*'Financial impact (cash)'!H$19)+('Unit costs'!$K161*'Financial impact (cash)'!H$20)+('Unit costs'!$L161*'Financial impact (cash)'!H$21)+('Unit costs'!$M161*'Financial impact (cash)'!H$22)+('Unit costs'!$N161*'Financial impact (cash)'!H$23)+('Unit costs'!$O161*'Financial impact (cash)'!H$24)+('Unit costs'!$P161*'Financial impact (cash)'!H$25)+('Unit costs'!$Q161*'Financial impact (cash)'!H$26)+('Unit costs'!$R161*'Financial impact (cash)'!H$27)+('Unit costs'!$S161*'Financial impact (cash)'!H$28)+('Unit costs'!$T161*'Financial impact (cash)'!H$29)+('Unit costs'!$U161*'Financial impact (cash)'!H$30)+('Unit costs'!$V161*'Financial impact (cash)'!H$31)</f>
        <v>0</v>
      </c>
      <c r="I272" s="128">
        <f>('Unit costs'!$D161*'Financial impact (cash)'!I$13)+('Unit costs'!$E161*'Financial impact (cash)'!I$14)+('Unit costs'!$F161*'Financial impact (cash)'!I$15)+('Unit costs'!$G161*'Financial impact (cash)'!I$16)+('Unit costs'!$H161*'Financial impact (cash)'!I$17)+('Unit costs'!$I161*'Financial impact (cash)'!I$18)+('Unit costs'!$J161*'Financial impact (cash)'!I$19)+('Unit costs'!$K161*'Financial impact (cash)'!I$20)+('Unit costs'!$L161*'Financial impact (cash)'!I$21)+('Unit costs'!$M161*'Financial impact (cash)'!I$22)+('Unit costs'!$N161*'Financial impact (cash)'!I$23)+('Unit costs'!$O161*'Financial impact (cash)'!I$24)+('Unit costs'!$P161*'Financial impact (cash)'!I$25)+('Unit costs'!$Q161*'Financial impact (cash)'!I$26)+('Unit costs'!$R161*'Financial impact (cash)'!I$27)+('Unit costs'!$S161*'Financial impact (cash)'!I$28)+('Unit costs'!$T161*'Financial impact (cash)'!I$29)+('Unit costs'!$U161*'Financial impact (cash)'!I$30)+('Unit costs'!$V161*'Financial impact (cash)'!I$31)</f>
        <v>0</v>
      </c>
      <c r="J272" s="290"/>
      <c r="K272" s="572">
        <f>'Unit costs'!C192</f>
        <v>53.61960339943343</v>
      </c>
      <c r="L272" s="291">
        <f t="shared" si="180"/>
        <v>0</v>
      </c>
      <c r="M272" s="291">
        <f t="shared" si="181"/>
        <v>0</v>
      </c>
      <c r="N272" s="291">
        <f t="shared" si="182"/>
        <v>0</v>
      </c>
      <c r="O272" s="291">
        <f t="shared" si="183"/>
        <v>0</v>
      </c>
      <c r="P272" s="291">
        <f t="shared" si="184"/>
        <v>0</v>
      </c>
      <c r="Q272" s="291">
        <f t="shared" si="185"/>
        <v>0</v>
      </c>
      <c r="R272" s="133"/>
      <c r="S272" s="133"/>
      <c r="T272" s="133"/>
      <c r="U272" s="133"/>
      <c r="V272" s="133"/>
      <c r="W272" s="133"/>
      <c r="X272" s="133"/>
      <c r="Y272" s="133"/>
      <c r="Z272" s="133"/>
      <c r="AJ272" s="285"/>
      <c r="AK272" s="285"/>
      <c r="AL272" s="285"/>
      <c r="AM272" s="285"/>
      <c r="AN272" s="285"/>
    </row>
    <row r="273" spans="1:40" x14ac:dyDescent="0.35">
      <c r="A273" s="290"/>
      <c r="B273" s="249" t="s">
        <v>903</v>
      </c>
      <c r="C273" s="167"/>
      <c r="D273" s="128">
        <f>('Unit costs'!$D162*'Financial impact (cash)'!D$13)+('Unit costs'!$E162*'Financial impact (cash)'!D$14)+('Unit costs'!$F162*'Financial impact (cash)'!D$15)+('Unit costs'!$G162*'Financial impact (cash)'!D$16)+('Unit costs'!$H162*'Financial impact (cash)'!D$17)+('Unit costs'!$I162*'Financial impact (cash)'!D$18)+('Unit costs'!$J162*'Financial impact (cash)'!D$19)+('Unit costs'!$K162*'Financial impact (cash)'!D$20)+('Unit costs'!$L162*'Financial impact (cash)'!D$21)+('Unit costs'!$M162*'Financial impact (cash)'!D$22)+('Unit costs'!$N162*'Financial impact (cash)'!D$23)+('Unit costs'!$O162*'Financial impact (cash)'!D$24)+('Unit costs'!$P162*'Financial impact (cash)'!D$25)+('Unit costs'!$Q162*'Financial impact (cash)'!D$26)+('Unit costs'!$R162*'Financial impact (cash)'!D$27)+('Unit costs'!$S162*'Financial impact (cash)'!D$28)+('Unit costs'!$T162*'Financial impact (cash)'!D$29)+('Unit costs'!$U162*'Financial impact (cash)'!D$30)+('Unit costs'!$V162*'Financial impact (cash)'!D$31)</f>
        <v>0</v>
      </c>
      <c r="E273" s="128">
        <f>('Unit costs'!$D162*'Financial impact (cash)'!E$13)+('Unit costs'!$E162*'Financial impact (cash)'!E$14)+('Unit costs'!$F162*'Financial impact (cash)'!E$15)+('Unit costs'!$G162*'Financial impact (cash)'!E$16)+('Unit costs'!$H162*'Financial impact (cash)'!E$17)+('Unit costs'!$I162*'Financial impact (cash)'!E$18)+('Unit costs'!$J162*'Financial impact (cash)'!E$19)+('Unit costs'!$K162*'Financial impact (cash)'!E$20)+('Unit costs'!$L162*'Financial impact (cash)'!E$21)+('Unit costs'!$M162*'Financial impact (cash)'!E$22)+('Unit costs'!$N162*'Financial impact (cash)'!E$23)+('Unit costs'!$O162*'Financial impact (cash)'!E$24)+('Unit costs'!$P162*'Financial impact (cash)'!E$25)+('Unit costs'!$Q162*'Financial impact (cash)'!E$26)+('Unit costs'!$R162*'Financial impact (cash)'!E$27)+('Unit costs'!$S162*'Financial impact (cash)'!E$28)+('Unit costs'!$T162*'Financial impact (cash)'!E$29)+('Unit costs'!$U162*'Financial impact (cash)'!E$30)+('Unit costs'!$V162*'Financial impact (cash)'!E$31)</f>
        <v>0</v>
      </c>
      <c r="F273" s="128">
        <f>('Unit costs'!$D162*'Financial impact (cash)'!F$13)+('Unit costs'!$E162*'Financial impact (cash)'!F$14)+('Unit costs'!$F162*'Financial impact (cash)'!F$15)+('Unit costs'!$G162*'Financial impact (cash)'!F$16)+('Unit costs'!$H162*'Financial impact (cash)'!F$17)+('Unit costs'!$I162*'Financial impact (cash)'!F$18)+('Unit costs'!$J162*'Financial impact (cash)'!F$19)+('Unit costs'!$K162*'Financial impact (cash)'!F$20)+('Unit costs'!$L162*'Financial impact (cash)'!F$21)+('Unit costs'!$M162*'Financial impact (cash)'!F$22)+('Unit costs'!$N162*'Financial impact (cash)'!F$23)+('Unit costs'!$O162*'Financial impact (cash)'!F$24)+('Unit costs'!$P162*'Financial impact (cash)'!F$25)+('Unit costs'!$Q162*'Financial impact (cash)'!F$26)+('Unit costs'!$R162*'Financial impact (cash)'!F$27)+('Unit costs'!$S162*'Financial impact (cash)'!F$28)+('Unit costs'!$T162*'Financial impact (cash)'!F$29)+('Unit costs'!$U162*'Financial impact (cash)'!F$30)+('Unit costs'!$V162*'Financial impact (cash)'!F$31)</f>
        <v>0</v>
      </c>
      <c r="G273" s="128">
        <f>('Unit costs'!$D162*'Financial impact (cash)'!G$13)+('Unit costs'!$E162*'Financial impact (cash)'!G$14)+('Unit costs'!$F162*'Financial impact (cash)'!G$15)+('Unit costs'!$G162*'Financial impact (cash)'!G$16)+('Unit costs'!$H162*'Financial impact (cash)'!G$17)+('Unit costs'!$I162*'Financial impact (cash)'!G$18)+('Unit costs'!$J162*'Financial impact (cash)'!G$19)+('Unit costs'!$K162*'Financial impact (cash)'!G$20)+('Unit costs'!$L162*'Financial impact (cash)'!G$21)+('Unit costs'!$M162*'Financial impact (cash)'!G$22)+('Unit costs'!$N162*'Financial impact (cash)'!G$23)+('Unit costs'!$O162*'Financial impact (cash)'!G$24)+('Unit costs'!$P162*'Financial impact (cash)'!G$25)+('Unit costs'!$Q162*'Financial impact (cash)'!G$26)+('Unit costs'!$R162*'Financial impact (cash)'!G$27)+('Unit costs'!$S162*'Financial impact (cash)'!G$28)+('Unit costs'!$T162*'Financial impact (cash)'!G$29)+('Unit costs'!$U162*'Financial impact (cash)'!G$30)+('Unit costs'!$V162*'Financial impact (cash)'!G$31)</f>
        <v>0</v>
      </c>
      <c r="H273" s="128">
        <f>('Unit costs'!$D162*'Financial impact (cash)'!H$13)+('Unit costs'!$E162*'Financial impact (cash)'!H$14)+('Unit costs'!$F162*'Financial impact (cash)'!H$15)+('Unit costs'!$G162*'Financial impact (cash)'!H$16)+('Unit costs'!$H162*'Financial impact (cash)'!H$17)+('Unit costs'!$I162*'Financial impact (cash)'!H$18)+('Unit costs'!$J162*'Financial impact (cash)'!H$19)+('Unit costs'!$K162*'Financial impact (cash)'!H$20)+('Unit costs'!$L162*'Financial impact (cash)'!H$21)+('Unit costs'!$M162*'Financial impact (cash)'!H$22)+('Unit costs'!$N162*'Financial impact (cash)'!H$23)+('Unit costs'!$O162*'Financial impact (cash)'!H$24)+('Unit costs'!$P162*'Financial impact (cash)'!H$25)+('Unit costs'!$Q162*'Financial impact (cash)'!H$26)+('Unit costs'!$R162*'Financial impact (cash)'!H$27)+('Unit costs'!$S162*'Financial impact (cash)'!H$28)+('Unit costs'!$T162*'Financial impact (cash)'!H$29)+('Unit costs'!$U162*'Financial impact (cash)'!H$30)+('Unit costs'!$V162*'Financial impact (cash)'!H$31)</f>
        <v>0</v>
      </c>
      <c r="I273" s="128">
        <f>('Unit costs'!$D162*'Financial impact (cash)'!I$13)+('Unit costs'!$E162*'Financial impact (cash)'!I$14)+('Unit costs'!$F162*'Financial impact (cash)'!I$15)+('Unit costs'!$G162*'Financial impact (cash)'!I$16)+('Unit costs'!$H162*'Financial impact (cash)'!I$17)+('Unit costs'!$I162*'Financial impact (cash)'!I$18)+('Unit costs'!$J162*'Financial impact (cash)'!I$19)+('Unit costs'!$K162*'Financial impact (cash)'!I$20)+('Unit costs'!$L162*'Financial impact (cash)'!I$21)+('Unit costs'!$M162*'Financial impact (cash)'!I$22)+('Unit costs'!$N162*'Financial impact (cash)'!I$23)+('Unit costs'!$O162*'Financial impact (cash)'!I$24)+('Unit costs'!$P162*'Financial impact (cash)'!I$25)+('Unit costs'!$Q162*'Financial impact (cash)'!I$26)+('Unit costs'!$R162*'Financial impact (cash)'!I$27)+('Unit costs'!$S162*'Financial impact (cash)'!I$28)+('Unit costs'!$T162*'Financial impact (cash)'!I$29)+('Unit costs'!$U162*'Financial impact (cash)'!I$30)+('Unit costs'!$V162*'Financial impact (cash)'!I$31)</f>
        <v>0</v>
      </c>
      <c r="J273" s="290"/>
      <c r="K273" s="572">
        <f>'Unit costs'!C193</f>
        <v>217.12045325779036</v>
      </c>
      <c r="L273" s="291">
        <f t="shared" si="180"/>
        <v>0</v>
      </c>
      <c r="M273" s="291">
        <f t="shared" si="181"/>
        <v>0</v>
      </c>
      <c r="N273" s="291">
        <f t="shared" si="182"/>
        <v>0</v>
      </c>
      <c r="O273" s="291">
        <f t="shared" si="183"/>
        <v>0</v>
      </c>
      <c r="P273" s="291">
        <f t="shared" si="184"/>
        <v>0</v>
      </c>
      <c r="Q273" s="291">
        <f t="shared" si="185"/>
        <v>0</v>
      </c>
      <c r="R273" s="133"/>
      <c r="S273" s="133"/>
      <c r="T273" s="133"/>
      <c r="U273" s="133"/>
      <c r="V273" s="133"/>
      <c r="W273" s="133"/>
      <c r="X273" s="133"/>
      <c r="Y273" s="133"/>
      <c r="Z273" s="133"/>
      <c r="AJ273" s="285"/>
      <c r="AK273" s="285"/>
      <c r="AL273" s="285"/>
      <c r="AM273" s="285"/>
      <c r="AN273" s="285"/>
    </row>
    <row r="274" spans="1:40" x14ac:dyDescent="0.35">
      <c r="A274" s="290"/>
      <c r="B274" s="249" t="s">
        <v>904</v>
      </c>
      <c r="C274" s="167"/>
      <c r="D274" s="128">
        <f>('Unit costs'!$D163*'Financial impact (cash)'!D$13)+('Unit costs'!$E163*'Financial impact (cash)'!D$14)+('Unit costs'!$F163*'Financial impact (cash)'!D$15)+('Unit costs'!$G163*'Financial impact (cash)'!D$16)+('Unit costs'!$H163*'Financial impact (cash)'!D$17)+('Unit costs'!$I163*'Financial impact (cash)'!D$18)+('Unit costs'!$J163*'Financial impact (cash)'!D$19)+('Unit costs'!$K163*'Financial impact (cash)'!D$20)+('Unit costs'!$L163*'Financial impact (cash)'!D$21)+('Unit costs'!$M163*'Financial impact (cash)'!D$22)+('Unit costs'!$N163*'Financial impact (cash)'!D$23)+('Unit costs'!$O163*'Financial impact (cash)'!D$24)+('Unit costs'!$P163*'Financial impact (cash)'!D$25)+('Unit costs'!$Q163*'Financial impact (cash)'!D$26)+('Unit costs'!$R163*'Financial impact (cash)'!D$27)+('Unit costs'!$S163*'Financial impact (cash)'!D$28)+('Unit costs'!$T163*'Financial impact (cash)'!D$29)+('Unit costs'!$U163*'Financial impact (cash)'!D$30)+('Unit costs'!$V163*'Financial impact (cash)'!D$31)</f>
        <v>0</v>
      </c>
      <c r="E274" s="128">
        <f>('Unit costs'!$D163*'Financial impact (cash)'!E$13)+('Unit costs'!$E163*'Financial impact (cash)'!E$14)+('Unit costs'!$F163*'Financial impact (cash)'!E$15)+('Unit costs'!$G163*'Financial impact (cash)'!E$16)+('Unit costs'!$H163*'Financial impact (cash)'!E$17)+('Unit costs'!$I163*'Financial impact (cash)'!E$18)+('Unit costs'!$J163*'Financial impact (cash)'!E$19)+('Unit costs'!$K163*'Financial impact (cash)'!E$20)+('Unit costs'!$L163*'Financial impact (cash)'!E$21)+('Unit costs'!$M163*'Financial impact (cash)'!E$22)+('Unit costs'!$N163*'Financial impact (cash)'!E$23)+('Unit costs'!$O163*'Financial impact (cash)'!E$24)+('Unit costs'!$P163*'Financial impact (cash)'!E$25)+('Unit costs'!$Q163*'Financial impact (cash)'!E$26)+('Unit costs'!$R163*'Financial impact (cash)'!E$27)+('Unit costs'!$S163*'Financial impact (cash)'!E$28)+('Unit costs'!$T163*'Financial impact (cash)'!E$29)+('Unit costs'!$U163*'Financial impact (cash)'!E$30)+('Unit costs'!$V163*'Financial impact (cash)'!E$31)</f>
        <v>0</v>
      </c>
      <c r="F274" s="128">
        <f>('Unit costs'!$D163*'Financial impact (cash)'!F$13)+('Unit costs'!$E163*'Financial impact (cash)'!F$14)+('Unit costs'!$F163*'Financial impact (cash)'!F$15)+('Unit costs'!$G163*'Financial impact (cash)'!F$16)+('Unit costs'!$H163*'Financial impact (cash)'!F$17)+('Unit costs'!$I163*'Financial impact (cash)'!F$18)+('Unit costs'!$J163*'Financial impact (cash)'!F$19)+('Unit costs'!$K163*'Financial impact (cash)'!F$20)+('Unit costs'!$L163*'Financial impact (cash)'!F$21)+('Unit costs'!$M163*'Financial impact (cash)'!F$22)+('Unit costs'!$N163*'Financial impact (cash)'!F$23)+('Unit costs'!$O163*'Financial impact (cash)'!F$24)+('Unit costs'!$P163*'Financial impact (cash)'!F$25)+('Unit costs'!$Q163*'Financial impact (cash)'!F$26)+('Unit costs'!$R163*'Financial impact (cash)'!F$27)+('Unit costs'!$S163*'Financial impact (cash)'!F$28)+('Unit costs'!$T163*'Financial impact (cash)'!F$29)+('Unit costs'!$U163*'Financial impact (cash)'!F$30)+('Unit costs'!$V163*'Financial impact (cash)'!F$31)</f>
        <v>0</v>
      </c>
      <c r="G274" s="128">
        <f>('Unit costs'!$D163*'Financial impact (cash)'!G$13)+('Unit costs'!$E163*'Financial impact (cash)'!G$14)+('Unit costs'!$F163*'Financial impact (cash)'!G$15)+('Unit costs'!$G163*'Financial impact (cash)'!G$16)+('Unit costs'!$H163*'Financial impact (cash)'!G$17)+('Unit costs'!$I163*'Financial impact (cash)'!G$18)+('Unit costs'!$J163*'Financial impact (cash)'!G$19)+('Unit costs'!$K163*'Financial impact (cash)'!G$20)+('Unit costs'!$L163*'Financial impact (cash)'!G$21)+('Unit costs'!$M163*'Financial impact (cash)'!G$22)+('Unit costs'!$N163*'Financial impact (cash)'!G$23)+('Unit costs'!$O163*'Financial impact (cash)'!G$24)+('Unit costs'!$P163*'Financial impact (cash)'!G$25)+('Unit costs'!$Q163*'Financial impact (cash)'!G$26)+('Unit costs'!$R163*'Financial impact (cash)'!G$27)+('Unit costs'!$S163*'Financial impact (cash)'!G$28)+('Unit costs'!$T163*'Financial impact (cash)'!G$29)+('Unit costs'!$U163*'Financial impact (cash)'!G$30)+('Unit costs'!$V163*'Financial impact (cash)'!G$31)</f>
        <v>0</v>
      </c>
      <c r="H274" s="128">
        <f>('Unit costs'!$D163*'Financial impact (cash)'!H$13)+('Unit costs'!$E163*'Financial impact (cash)'!H$14)+('Unit costs'!$F163*'Financial impact (cash)'!H$15)+('Unit costs'!$G163*'Financial impact (cash)'!H$16)+('Unit costs'!$H163*'Financial impact (cash)'!H$17)+('Unit costs'!$I163*'Financial impact (cash)'!H$18)+('Unit costs'!$J163*'Financial impact (cash)'!H$19)+('Unit costs'!$K163*'Financial impact (cash)'!H$20)+('Unit costs'!$L163*'Financial impact (cash)'!H$21)+('Unit costs'!$M163*'Financial impact (cash)'!H$22)+('Unit costs'!$N163*'Financial impact (cash)'!H$23)+('Unit costs'!$O163*'Financial impact (cash)'!H$24)+('Unit costs'!$P163*'Financial impact (cash)'!H$25)+('Unit costs'!$Q163*'Financial impact (cash)'!H$26)+('Unit costs'!$R163*'Financial impact (cash)'!H$27)+('Unit costs'!$S163*'Financial impact (cash)'!H$28)+('Unit costs'!$T163*'Financial impact (cash)'!H$29)+('Unit costs'!$U163*'Financial impact (cash)'!H$30)+('Unit costs'!$V163*'Financial impact (cash)'!H$31)</f>
        <v>0</v>
      </c>
      <c r="I274" s="128">
        <f>('Unit costs'!$D163*'Financial impact (cash)'!I$13)+('Unit costs'!$E163*'Financial impact (cash)'!I$14)+('Unit costs'!$F163*'Financial impact (cash)'!I$15)+('Unit costs'!$G163*'Financial impact (cash)'!I$16)+('Unit costs'!$H163*'Financial impact (cash)'!I$17)+('Unit costs'!$I163*'Financial impact (cash)'!I$18)+('Unit costs'!$J163*'Financial impact (cash)'!I$19)+('Unit costs'!$K163*'Financial impact (cash)'!I$20)+('Unit costs'!$L163*'Financial impact (cash)'!I$21)+('Unit costs'!$M163*'Financial impact (cash)'!I$22)+('Unit costs'!$N163*'Financial impact (cash)'!I$23)+('Unit costs'!$O163*'Financial impact (cash)'!I$24)+('Unit costs'!$P163*'Financial impact (cash)'!I$25)+('Unit costs'!$Q163*'Financial impact (cash)'!I$26)+('Unit costs'!$R163*'Financial impact (cash)'!I$27)+('Unit costs'!$S163*'Financial impact (cash)'!I$28)+('Unit costs'!$T163*'Financial impact (cash)'!I$29)+('Unit costs'!$U163*'Financial impact (cash)'!I$30)+('Unit costs'!$V163*'Financial impact (cash)'!I$31)</f>
        <v>0</v>
      </c>
      <c r="J274" s="290"/>
      <c r="K274" s="572">
        <f>'Unit costs'!C194</f>
        <v>38.674334277620396</v>
      </c>
      <c r="L274" s="291">
        <f t="shared" si="180"/>
        <v>0</v>
      </c>
      <c r="M274" s="291">
        <f t="shared" si="181"/>
        <v>0</v>
      </c>
      <c r="N274" s="291">
        <f t="shared" si="182"/>
        <v>0</v>
      </c>
      <c r="O274" s="291">
        <f t="shared" si="183"/>
        <v>0</v>
      </c>
      <c r="P274" s="291">
        <f t="shared" si="184"/>
        <v>0</v>
      </c>
      <c r="Q274" s="291">
        <f t="shared" si="185"/>
        <v>0</v>
      </c>
      <c r="R274" s="133"/>
      <c r="S274" s="133"/>
      <c r="T274" s="133"/>
      <c r="U274" s="133"/>
      <c r="V274" s="133"/>
      <c r="W274" s="133"/>
      <c r="X274" s="133"/>
      <c r="Y274" s="133"/>
      <c r="Z274" s="133"/>
      <c r="AJ274" s="285"/>
      <c r="AK274" s="285"/>
      <c r="AL274" s="285"/>
      <c r="AM274" s="285"/>
      <c r="AN274" s="285"/>
    </row>
    <row r="275" spans="1:40" x14ac:dyDescent="0.35">
      <c r="A275" s="290"/>
      <c r="B275" s="249" t="s">
        <v>905</v>
      </c>
      <c r="C275" s="167"/>
      <c r="D275" s="128">
        <f>('Unit costs'!$D164*'Financial impact (cash)'!D$13)+('Unit costs'!$E164*'Financial impact (cash)'!D$14)+('Unit costs'!$F164*'Financial impact (cash)'!D$15)+('Unit costs'!$G164*'Financial impact (cash)'!D$16)+('Unit costs'!$H164*'Financial impact (cash)'!D$17)+('Unit costs'!$I164*'Financial impact (cash)'!D$18)+('Unit costs'!$J164*'Financial impact (cash)'!D$19)+('Unit costs'!$K164*'Financial impact (cash)'!D$20)+('Unit costs'!$L164*'Financial impact (cash)'!D$21)+('Unit costs'!$M164*'Financial impact (cash)'!D$22)+('Unit costs'!$N164*'Financial impact (cash)'!D$23)+('Unit costs'!$O164*'Financial impact (cash)'!D$24)+('Unit costs'!$P164*'Financial impact (cash)'!D$25)+('Unit costs'!$Q164*'Financial impact (cash)'!D$26)+('Unit costs'!$R164*'Financial impact (cash)'!D$27)+('Unit costs'!$S164*'Financial impact (cash)'!D$28)+('Unit costs'!$T164*'Financial impact (cash)'!D$29)+('Unit costs'!$U164*'Financial impact (cash)'!D$30)+('Unit costs'!$V164*'Financial impact (cash)'!D$31)</f>
        <v>0</v>
      </c>
      <c r="E275" s="128">
        <f>('Unit costs'!$D164*'Financial impact (cash)'!E$13)+('Unit costs'!$E164*'Financial impact (cash)'!E$14)+('Unit costs'!$F164*'Financial impact (cash)'!E$15)+('Unit costs'!$G164*'Financial impact (cash)'!E$16)+('Unit costs'!$H164*'Financial impact (cash)'!E$17)+('Unit costs'!$I164*'Financial impact (cash)'!E$18)+('Unit costs'!$J164*'Financial impact (cash)'!E$19)+('Unit costs'!$K164*'Financial impact (cash)'!E$20)+('Unit costs'!$L164*'Financial impact (cash)'!E$21)+('Unit costs'!$M164*'Financial impact (cash)'!E$22)+('Unit costs'!$N164*'Financial impact (cash)'!E$23)+('Unit costs'!$O164*'Financial impact (cash)'!E$24)+('Unit costs'!$P164*'Financial impact (cash)'!E$25)+('Unit costs'!$Q164*'Financial impact (cash)'!E$26)+('Unit costs'!$R164*'Financial impact (cash)'!E$27)+('Unit costs'!$S164*'Financial impact (cash)'!E$28)+('Unit costs'!$T164*'Financial impact (cash)'!E$29)+('Unit costs'!$U164*'Financial impact (cash)'!E$30)+('Unit costs'!$V164*'Financial impact (cash)'!E$31)</f>
        <v>0</v>
      </c>
      <c r="F275" s="128">
        <f>('Unit costs'!$D164*'Financial impact (cash)'!F$13)+('Unit costs'!$E164*'Financial impact (cash)'!F$14)+('Unit costs'!$F164*'Financial impact (cash)'!F$15)+('Unit costs'!$G164*'Financial impact (cash)'!F$16)+('Unit costs'!$H164*'Financial impact (cash)'!F$17)+('Unit costs'!$I164*'Financial impact (cash)'!F$18)+('Unit costs'!$J164*'Financial impact (cash)'!F$19)+('Unit costs'!$K164*'Financial impact (cash)'!F$20)+('Unit costs'!$L164*'Financial impact (cash)'!F$21)+('Unit costs'!$M164*'Financial impact (cash)'!F$22)+('Unit costs'!$N164*'Financial impact (cash)'!F$23)+('Unit costs'!$O164*'Financial impact (cash)'!F$24)+('Unit costs'!$P164*'Financial impact (cash)'!F$25)+('Unit costs'!$Q164*'Financial impact (cash)'!F$26)+('Unit costs'!$R164*'Financial impact (cash)'!F$27)+('Unit costs'!$S164*'Financial impact (cash)'!F$28)+('Unit costs'!$T164*'Financial impact (cash)'!F$29)+('Unit costs'!$U164*'Financial impact (cash)'!F$30)+('Unit costs'!$V164*'Financial impact (cash)'!F$31)</f>
        <v>0</v>
      </c>
      <c r="G275" s="128">
        <f>('Unit costs'!$D164*'Financial impact (cash)'!G$13)+('Unit costs'!$E164*'Financial impact (cash)'!G$14)+('Unit costs'!$F164*'Financial impact (cash)'!G$15)+('Unit costs'!$G164*'Financial impact (cash)'!G$16)+('Unit costs'!$H164*'Financial impact (cash)'!G$17)+('Unit costs'!$I164*'Financial impact (cash)'!G$18)+('Unit costs'!$J164*'Financial impact (cash)'!G$19)+('Unit costs'!$K164*'Financial impact (cash)'!G$20)+('Unit costs'!$L164*'Financial impact (cash)'!G$21)+('Unit costs'!$M164*'Financial impact (cash)'!G$22)+('Unit costs'!$N164*'Financial impact (cash)'!G$23)+('Unit costs'!$O164*'Financial impact (cash)'!G$24)+('Unit costs'!$P164*'Financial impact (cash)'!G$25)+('Unit costs'!$Q164*'Financial impact (cash)'!G$26)+('Unit costs'!$R164*'Financial impact (cash)'!G$27)+('Unit costs'!$S164*'Financial impact (cash)'!G$28)+('Unit costs'!$T164*'Financial impact (cash)'!G$29)+('Unit costs'!$U164*'Financial impact (cash)'!G$30)+('Unit costs'!$V164*'Financial impact (cash)'!G$31)</f>
        <v>0</v>
      </c>
      <c r="H275" s="128">
        <f>('Unit costs'!$D164*'Financial impact (cash)'!H$13)+('Unit costs'!$E164*'Financial impact (cash)'!H$14)+('Unit costs'!$F164*'Financial impact (cash)'!H$15)+('Unit costs'!$G164*'Financial impact (cash)'!H$16)+('Unit costs'!$H164*'Financial impact (cash)'!H$17)+('Unit costs'!$I164*'Financial impact (cash)'!H$18)+('Unit costs'!$J164*'Financial impact (cash)'!H$19)+('Unit costs'!$K164*'Financial impact (cash)'!H$20)+('Unit costs'!$L164*'Financial impact (cash)'!H$21)+('Unit costs'!$M164*'Financial impact (cash)'!H$22)+('Unit costs'!$N164*'Financial impact (cash)'!H$23)+('Unit costs'!$O164*'Financial impact (cash)'!H$24)+('Unit costs'!$P164*'Financial impact (cash)'!H$25)+('Unit costs'!$Q164*'Financial impact (cash)'!H$26)+('Unit costs'!$R164*'Financial impact (cash)'!H$27)+('Unit costs'!$S164*'Financial impact (cash)'!H$28)+('Unit costs'!$T164*'Financial impact (cash)'!H$29)+('Unit costs'!$U164*'Financial impact (cash)'!H$30)+('Unit costs'!$V164*'Financial impact (cash)'!H$31)</f>
        <v>0</v>
      </c>
      <c r="I275" s="128">
        <f>('Unit costs'!$D164*'Financial impact (cash)'!I$13)+('Unit costs'!$E164*'Financial impact (cash)'!I$14)+('Unit costs'!$F164*'Financial impact (cash)'!I$15)+('Unit costs'!$G164*'Financial impact (cash)'!I$16)+('Unit costs'!$H164*'Financial impact (cash)'!I$17)+('Unit costs'!$I164*'Financial impact (cash)'!I$18)+('Unit costs'!$J164*'Financial impact (cash)'!I$19)+('Unit costs'!$K164*'Financial impact (cash)'!I$20)+('Unit costs'!$L164*'Financial impact (cash)'!I$21)+('Unit costs'!$M164*'Financial impact (cash)'!I$22)+('Unit costs'!$N164*'Financial impact (cash)'!I$23)+('Unit costs'!$O164*'Financial impact (cash)'!I$24)+('Unit costs'!$P164*'Financial impact (cash)'!I$25)+('Unit costs'!$Q164*'Financial impact (cash)'!I$26)+('Unit costs'!$R164*'Financial impact (cash)'!I$27)+('Unit costs'!$S164*'Financial impact (cash)'!I$28)+('Unit costs'!$T164*'Financial impact (cash)'!I$29)+('Unit costs'!$U164*'Financial impact (cash)'!I$30)+('Unit costs'!$V164*'Financial impact (cash)'!I$31)</f>
        <v>0</v>
      </c>
      <c r="J275" s="290"/>
      <c r="K275" s="572">
        <f>'Unit costs'!C195</f>
        <v>38.674334277620396</v>
      </c>
      <c r="L275" s="291">
        <f t="shared" si="180"/>
        <v>0</v>
      </c>
      <c r="M275" s="291">
        <f t="shared" si="181"/>
        <v>0</v>
      </c>
      <c r="N275" s="291">
        <f t="shared" si="182"/>
        <v>0</v>
      </c>
      <c r="O275" s="291">
        <f t="shared" si="183"/>
        <v>0</v>
      </c>
      <c r="P275" s="291">
        <f t="shared" si="184"/>
        <v>0</v>
      </c>
      <c r="Q275" s="291">
        <f t="shared" si="185"/>
        <v>0</v>
      </c>
      <c r="R275" s="133"/>
      <c r="S275" s="133"/>
      <c r="T275" s="133"/>
      <c r="U275" s="133"/>
      <c r="V275" s="133"/>
      <c r="W275" s="133"/>
      <c r="X275" s="133"/>
      <c r="Y275" s="133"/>
      <c r="Z275" s="133"/>
      <c r="AJ275" s="285"/>
      <c r="AK275" s="285"/>
      <c r="AL275" s="285"/>
      <c r="AM275" s="285"/>
      <c r="AN275" s="285"/>
    </row>
    <row r="276" spans="1:40" x14ac:dyDescent="0.35">
      <c r="A276" s="290"/>
      <c r="B276" s="249" t="s">
        <v>906</v>
      </c>
      <c r="C276" s="167"/>
      <c r="D276" s="128">
        <f>('Unit costs'!$D165*'Financial impact (cash)'!D$13)+('Unit costs'!$E165*'Financial impact (cash)'!D$14)+('Unit costs'!$F165*'Financial impact (cash)'!D$15)+('Unit costs'!$G165*'Financial impact (cash)'!D$16)+('Unit costs'!$H165*'Financial impact (cash)'!D$17)+('Unit costs'!$I165*'Financial impact (cash)'!D$18)+('Unit costs'!$J165*'Financial impact (cash)'!D$19)+('Unit costs'!$K165*'Financial impact (cash)'!D$20)+('Unit costs'!$L165*'Financial impact (cash)'!D$21)+('Unit costs'!$M165*'Financial impact (cash)'!D$22)+('Unit costs'!$N165*'Financial impact (cash)'!D$23)+('Unit costs'!$O165*'Financial impact (cash)'!D$24)+('Unit costs'!$P165*'Financial impact (cash)'!D$25)+('Unit costs'!$Q165*'Financial impact (cash)'!D$26)+('Unit costs'!$R165*'Financial impact (cash)'!D$27)+('Unit costs'!$S165*'Financial impact (cash)'!D$28)+('Unit costs'!$T165*'Financial impact (cash)'!D$29)+('Unit costs'!$U165*'Financial impact (cash)'!D$30)+('Unit costs'!$V165*'Financial impact (cash)'!D$31)</f>
        <v>0</v>
      </c>
      <c r="E276" s="128">
        <f>('Unit costs'!$D165*'Financial impact (cash)'!E$13)+('Unit costs'!$E165*'Financial impact (cash)'!E$14)+('Unit costs'!$F165*'Financial impact (cash)'!E$15)+('Unit costs'!$G165*'Financial impact (cash)'!E$16)+('Unit costs'!$H165*'Financial impact (cash)'!E$17)+('Unit costs'!$I165*'Financial impact (cash)'!E$18)+('Unit costs'!$J165*'Financial impact (cash)'!E$19)+('Unit costs'!$K165*'Financial impact (cash)'!E$20)+('Unit costs'!$L165*'Financial impact (cash)'!E$21)+('Unit costs'!$M165*'Financial impact (cash)'!E$22)+('Unit costs'!$N165*'Financial impact (cash)'!E$23)+('Unit costs'!$O165*'Financial impact (cash)'!E$24)+('Unit costs'!$P165*'Financial impact (cash)'!E$25)+('Unit costs'!$Q165*'Financial impact (cash)'!E$26)+('Unit costs'!$R165*'Financial impact (cash)'!E$27)+('Unit costs'!$S165*'Financial impact (cash)'!E$28)+('Unit costs'!$T165*'Financial impact (cash)'!E$29)+('Unit costs'!$U165*'Financial impact (cash)'!E$30)+('Unit costs'!$V165*'Financial impact (cash)'!E$31)</f>
        <v>0</v>
      </c>
      <c r="F276" s="128">
        <f>('Unit costs'!$D165*'Financial impact (cash)'!F$13)+('Unit costs'!$E165*'Financial impact (cash)'!F$14)+('Unit costs'!$F165*'Financial impact (cash)'!F$15)+('Unit costs'!$G165*'Financial impact (cash)'!F$16)+('Unit costs'!$H165*'Financial impact (cash)'!F$17)+('Unit costs'!$I165*'Financial impact (cash)'!F$18)+('Unit costs'!$J165*'Financial impact (cash)'!F$19)+('Unit costs'!$K165*'Financial impact (cash)'!F$20)+('Unit costs'!$L165*'Financial impact (cash)'!F$21)+('Unit costs'!$M165*'Financial impact (cash)'!F$22)+('Unit costs'!$N165*'Financial impact (cash)'!F$23)+('Unit costs'!$O165*'Financial impact (cash)'!F$24)+('Unit costs'!$P165*'Financial impact (cash)'!F$25)+('Unit costs'!$Q165*'Financial impact (cash)'!F$26)+('Unit costs'!$R165*'Financial impact (cash)'!F$27)+('Unit costs'!$S165*'Financial impact (cash)'!F$28)+('Unit costs'!$T165*'Financial impact (cash)'!F$29)+('Unit costs'!$U165*'Financial impact (cash)'!F$30)+('Unit costs'!$V165*'Financial impact (cash)'!F$31)</f>
        <v>0</v>
      </c>
      <c r="G276" s="128">
        <f>('Unit costs'!$D165*'Financial impact (cash)'!G$13)+('Unit costs'!$E165*'Financial impact (cash)'!G$14)+('Unit costs'!$F165*'Financial impact (cash)'!G$15)+('Unit costs'!$G165*'Financial impact (cash)'!G$16)+('Unit costs'!$H165*'Financial impact (cash)'!G$17)+('Unit costs'!$I165*'Financial impact (cash)'!G$18)+('Unit costs'!$J165*'Financial impact (cash)'!G$19)+('Unit costs'!$K165*'Financial impact (cash)'!G$20)+('Unit costs'!$L165*'Financial impact (cash)'!G$21)+('Unit costs'!$M165*'Financial impact (cash)'!G$22)+('Unit costs'!$N165*'Financial impact (cash)'!G$23)+('Unit costs'!$O165*'Financial impact (cash)'!G$24)+('Unit costs'!$P165*'Financial impact (cash)'!G$25)+('Unit costs'!$Q165*'Financial impact (cash)'!G$26)+('Unit costs'!$R165*'Financial impact (cash)'!G$27)+('Unit costs'!$S165*'Financial impact (cash)'!G$28)+('Unit costs'!$T165*'Financial impact (cash)'!G$29)+('Unit costs'!$U165*'Financial impact (cash)'!G$30)+('Unit costs'!$V165*'Financial impact (cash)'!G$31)</f>
        <v>0</v>
      </c>
      <c r="H276" s="128">
        <f>('Unit costs'!$D165*'Financial impact (cash)'!H$13)+('Unit costs'!$E165*'Financial impact (cash)'!H$14)+('Unit costs'!$F165*'Financial impact (cash)'!H$15)+('Unit costs'!$G165*'Financial impact (cash)'!H$16)+('Unit costs'!$H165*'Financial impact (cash)'!H$17)+('Unit costs'!$I165*'Financial impact (cash)'!H$18)+('Unit costs'!$J165*'Financial impact (cash)'!H$19)+('Unit costs'!$K165*'Financial impact (cash)'!H$20)+('Unit costs'!$L165*'Financial impact (cash)'!H$21)+('Unit costs'!$M165*'Financial impact (cash)'!H$22)+('Unit costs'!$N165*'Financial impact (cash)'!H$23)+('Unit costs'!$O165*'Financial impact (cash)'!H$24)+('Unit costs'!$P165*'Financial impact (cash)'!H$25)+('Unit costs'!$Q165*'Financial impact (cash)'!H$26)+('Unit costs'!$R165*'Financial impact (cash)'!H$27)+('Unit costs'!$S165*'Financial impact (cash)'!H$28)+('Unit costs'!$T165*'Financial impact (cash)'!H$29)+('Unit costs'!$U165*'Financial impact (cash)'!H$30)+('Unit costs'!$V165*'Financial impact (cash)'!H$31)</f>
        <v>0</v>
      </c>
      <c r="I276" s="128">
        <f>('Unit costs'!$D165*'Financial impact (cash)'!I$13)+('Unit costs'!$E165*'Financial impact (cash)'!I$14)+('Unit costs'!$F165*'Financial impact (cash)'!I$15)+('Unit costs'!$G165*'Financial impact (cash)'!I$16)+('Unit costs'!$H165*'Financial impact (cash)'!I$17)+('Unit costs'!$I165*'Financial impact (cash)'!I$18)+('Unit costs'!$J165*'Financial impact (cash)'!I$19)+('Unit costs'!$K165*'Financial impact (cash)'!I$20)+('Unit costs'!$L165*'Financial impact (cash)'!I$21)+('Unit costs'!$M165*'Financial impact (cash)'!I$22)+('Unit costs'!$N165*'Financial impact (cash)'!I$23)+('Unit costs'!$O165*'Financial impact (cash)'!I$24)+('Unit costs'!$P165*'Financial impact (cash)'!I$25)+('Unit costs'!$Q165*'Financial impact (cash)'!I$26)+('Unit costs'!$R165*'Financial impact (cash)'!I$27)+('Unit costs'!$S165*'Financial impact (cash)'!I$28)+('Unit costs'!$T165*'Financial impact (cash)'!I$29)+('Unit costs'!$U165*'Financial impact (cash)'!I$30)+('Unit costs'!$V165*'Financial impact (cash)'!I$31)</f>
        <v>0</v>
      </c>
      <c r="J276" s="290"/>
      <c r="K276" s="572">
        <f>'Unit costs'!C196</f>
        <v>13070.485665722379</v>
      </c>
      <c r="L276" s="291">
        <f t="shared" si="180"/>
        <v>0</v>
      </c>
      <c r="M276" s="291">
        <f t="shared" si="181"/>
        <v>0</v>
      </c>
      <c r="N276" s="291">
        <f t="shared" si="182"/>
        <v>0</v>
      </c>
      <c r="O276" s="291">
        <f t="shared" si="183"/>
        <v>0</v>
      </c>
      <c r="P276" s="291">
        <f t="shared" si="184"/>
        <v>0</v>
      </c>
      <c r="Q276" s="291">
        <f t="shared" si="185"/>
        <v>0</v>
      </c>
      <c r="R276" s="133"/>
      <c r="S276" s="133"/>
      <c r="T276" s="133"/>
      <c r="U276" s="133"/>
      <c r="V276" s="133"/>
      <c r="W276" s="133"/>
      <c r="X276" s="133"/>
      <c r="Y276" s="133"/>
      <c r="Z276" s="133"/>
      <c r="AJ276" s="285"/>
      <c r="AK276" s="285"/>
      <c r="AL276" s="285"/>
      <c r="AM276" s="285"/>
      <c r="AN276" s="285"/>
    </row>
    <row r="277" spans="1:40" x14ac:dyDescent="0.35">
      <c r="A277" s="290"/>
      <c r="B277" s="249" t="s">
        <v>907</v>
      </c>
      <c r="C277" s="167"/>
      <c r="D277" s="128">
        <f>('Unit costs'!$D166*'Financial impact (cash)'!D$13)+('Unit costs'!$E166*'Financial impact (cash)'!D$14)+('Unit costs'!$F166*'Financial impact (cash)'!D$15)+('Unit costs'!$G166*'Financial impact (cash)'!D$16)+('Unit costs'!$H166*'Financial impact (cash)'!D$17)+('Unit costs'!$I166*'Financial impact (cash)'!D$18)+('Unit costs'!$J166*'Financial impact (cash)'!D$19)+('Unit costs'!$K166*'Financial impact (cash)'!D$20)+('Unit costs'!$L166*'Financial impact (cash)'!D$21)+('Unit costs'!$M166*'Financial impact (cash)'!D$22)+('Unit costs'!$N166*'Financial impact (cash)'!D$23)+('Unit costs'!$O166*'Financial impact (cash)'!D$24)+('Unit costs'!$P166*'Financial impact (cash)'!D$25)+('Unit costs'!$Q166*'Financial impact (cash)'!D$26)+('Unit costs'!$R166*'Financial impact (cash)'!D$27)+('Unit costs'!$S166*'Financial impact (cash)'!D$28)+('Unit costs'!$T166*'Financial impact (cash)'!D$29)+('Unit costs'!$U166*'Financial impact (cash)'!D$30)+('Unit costs'!$V166*'Financial impact (cash)'!D$31)</f>
        <v>0</v>
      </c>
      <c r="E277" s="128">
        <f>('Unit costs'!$D166*'Financial impact (cash)'!E$13)+('Unit costs'!$E166*'Financial impact (cash)'!E$14)+('Unit costs'!$F166*'Financial impact (cash)'!E$15)+('Unit costs'!$G166*'Financial impact (cash)'!E$16)+('Unit costs'!$H166*'Financial impact (cash)'!E$17)+('Unit costs'!$I166*'Financial impact (cash)'!E$18)+('Unit costs'!$J166*'Financial impact (cash)'!E$19)+('Unit costs'!$K166*'Financial impact (cash)'!E$20)+('Unit costs'!$L166*'Financial impact (cash)'!E$21)+('Unit costs'!$M166*'Financial impact (cash)'!E$22)+('Unit costs'!$N166*'Financial impact (cash)'!E$23)+('Unit costs'!$O166*'Financial impact (cash)'!E$24)+('Unit costs'!$P166*'Financial impact (cash)'!E$25)+('Unit costs'!$Q166*'Financial impact (cash)'!E$26)+('Unit costs'!$R166*'Financial impact (cash)'!E$27)+('Unit costs'!$S166*'Financial impact (cash)'!E$28)+('Unit costs'!$T166*'Financial impact (cash)'!E$29)+('Unit costs'!$U166*'Financial impact (cash)'!E$30)+('Unit costs'!$V166*'Financial impact (cash)'!E$31)</f>
        <v>0</v>
      </c>
      <c r="F277" s="128">
        <f>('Unit costs'!$D166*'Financial impact (cash)'!F$13)+('Unit costs'!$E166*'Financial impact (cash)'!F$14)+('Unit costs'!$F166*'Financial impact (cash)'!F$15)+('Unit costs'!$G166*'Financial impact (cash)'!F$16)+('Unit costs'!$H166*'Financial impact (cash)'!F$17)+('Unit costs'!$I166*'Financial impact (cash)'!F$18)+('Unit costs'!$J166*'Financial impact (cash)'!F$19)+('Unit costs'!$K166*'Financial impact (cash)'!F$20)+('Unit costs'!$L166*'Financial impact (cash)'!F$21)+('Unit costs'!$M166*'Financial impact (cash)'!F$22)+('Unit costs'!$N166*'Financial impact (cash)'!F$23)+('Unit costs'!$O166*'Financial impact (cash)'!F$24)+('Unit costs'!$P166*'Financial impact (cash)'!F$25)+('Unit costs'!$Q166*'Financial impact (cash)'!F$26)+('Unit costs'!$R166*'Financial impact (cash)'!F$27)+('Unit costs'!$S166*'Financial impact (cash)'!F$28)+('Unit costs'!$T166*'Financial impact (cash)'!F$29)+('Unit costs'!$U166*'Financial impact (cash)'!F$30)+('Unit costs'!$V166*'Financial impact (cash)'!F$31)</f>
        <v>0</v>
      </c>
      <c r="G277" s="128">
        <f>('Unit costs'!$D166*'Financial impact (cash)'!G$13)+('Unit costs'!$E166*'Financial impact (cash)'!G$14)+('Unit costs'!$F166*'Financial impact (cash)'!G$15)+('Unit costs'!$G166*'Financial impact (cash)'!G$16)+('Unit costs'!$H166*'Financial impact (cash)'!G$17)+('Unit costs'!$I166*'Financial impact (cash)'!G$18)+('Unit costs'!$J166*'Financial impact (cash)'!G$19)+('Unit costs'!$K166*'Financial impact (cash)'!G$20)+('Unit costs'!$L166*'Financial impact (cash)'!G$21)+('Unit costs'!$M166*'Financial impact (cash)'!G$22)+('Unit costs'!$N166*'Financial impact (cash)'!G$23)+('Unit costs'!$O166*'Financial impact (cash)'!G$24)+('Unit costs'!$P166*'Financial impact (cash)'!G$25)+('Unit costs'!$Q166*'Financial impact (cash)'!G$26)+('Unit costs'!$R166*'Financial impact (cash)'!G$27)+('Unit costs'!$S166*'Financial impact (cash)'!G$28)+('Unit costs'!$T166*'Financial impact (cash)'!G$29)+('Unit costs'!$U166*'Financial impact (cash)'!G$30)+('Unit costs'!$V166*'Financial impact (cash)'!G$31)</f>
        <v>0</v>
      </c>
      <c r="H277" s="128">
        <f>('Unit costs'!$D166*'Financial impact (cash)'!H$13)+('Unit costs'!$E166*'Financial impact (cash)'!H$14)+('Unit costs'!$F166*'Financial impact (cash)'!H$15)+('Unit costs'!$G166*'Financial impact (cash)'!H$16)+('Unit costs'!$H166*'Financial impact (cash)'!H$17)+('Unit costs'!$I166*'Financial impact (cash)'!H$18)+('Unit costs'!$J166*'Financial impact (cash)'!H$19)+('Unit costs'!$K166*'Financial impact (cash)'!H$20)+('Unit costs'!$L166*'Financial impact (cash)'!H$21)+('Unit costs'!$M166*'Financial impact (cash)'!H$22)+('Unit costs'!$N166*'Financial impact (cash)'!H$23)+('Unit costs'!$O166*'Financial impact (cash)'!H$24)+('Unit costs'!$P166*'Financial impact (cash)'!H$25)+('Unit costs'!$Q166*'Financial impact (cash)'!H$26)+('Unit costs'!$R166*'Financial impact (cash)'!H$27)+('Unit costs'!$S166*'Financial impact (cash)'!H$28)+('Unit costs'!$T166*'Financial impact (cash)'!H$29)+('Unit costs'!$U166*'Financial impact (cash)'!H$30)+('Unit costs'!$V166*'Financial impact (cash)'!H$31)</f>
        <v>0</v>
      </c>
      <c r="I277" s="128">
        <f>('Unit costs'!$D166*'Financial impact (cash)'!I$13)+('Unit costs'!$E166*'Financial impact (cash)'!I$14)+('Unit costs'!$F166*'Financial impact (cash)'!I$15)+('Unit costs'!$G166*'Financial impact (cash)'!I$16)+('Unit costs'!$H166*'Financial impact (cash)'!I$17)+('Unit costs'!$I166*'Financial impact (cash)'!I$18)+('Unit costs'!$J166*'Financial impact (cash)'!I$19)+('Unit costs'!$K166*'Financial impact (cash)'!I$20)+('Unit costs'!$L166*'Financial impact (cash)'!I$21)+('Unit costs'!$M166*'Financial impact (cash)'!I$22)+('Unit costs'!$N166*'Financial impact (cash)'!I$23)+('Unit costs'!$O166*'Financial impact (cash)'!I$24)+('Unit costs'!$P166*'Financial impact (cash)'!I$25)+('Unit costs'!$Q166*'Financial impact (cash)'!I$26)+('Unit costs'!$R166*'Financial impact (cash)'!I$27)+('Unit costs'!$S166*'Financial impact (cash)'!I$28)+('Unit costs'!$T166*'Financial impact (cash)'!I$29)+('Unit costs'!$U166*'Financial impact (cash)'!I$30)+('Unit costs'!$V166*'Financial impact (cash)'!I$31)</f>
        <v>0</v>
      </c>
      <c r="J277" s="290"/>
      <c r="K277" s="572">
        <f>'Unit costs'!C197</f>
        <v>38.674334277620396</v>
      </c>
      <c r="L277" s="291">
        <f t="shared" si="180"/>
        <v>0</v>
      </c>
      <c r="M277" s="291">
        <f t="shared" si="181"/>
        <v>0</v>
      </c>
      <c r="N277" s="291">
        <f t="shared" si="182"/>
        <v>0</v>
      </c>
      <c r="O277" s="291">
        <f t="shared" si="183"/>
        <v>0</v>
      </c>
      <c r="P277" s="291">
        <f t="shared" si="184"/>
        <v>0</v>
      </c>
      <c r="Q277" s="291">
        <f t="shared" si="185"/>
        <v>0</v>
      </c>
      <c r="R277" s="133"/>
      <c r="S277" s="133"/>
      <c r="T277" s="133"/>
      <c r="U277" s="133"/>
      <c r="V277" s="133"/>
      <c r="W277" s="133"/>
      <c r="X277" s="133"/>
      <c r="Y277" s="133"/>
      <c r="Z277" s="133"/>
      <c r="AJ277" s="285"/>
      <c r="AK277" s="285"/>
      <c r="AL277" s="285"/>
      <c r="AM277" s="285"/>
      <c r="AN277" s="285"/>
    </row>
    <row r="278" spans="1:40" x14ac:dyDescent="0.35">
      <c r="A278" s="290"/>
      <c r="B278" s="249" t="s">
        <v>908</v>
      </c>
      <c r="C278" s="167"/>
      <c r="D278" s="128">
        <f>('Unit costs'!$D167*'Financial impact (cash)'!D$13)+('Unit costs'!$E167*'Financial impact (cash)'!D$14)+('Unit costs'!$F167*'Financial impact (cash)'!D$15)+('Unit costs'!$G167*'Financial impact (cash)'!D$16)+('Unit costs'!$H167*'Financial impact (cash)'!D$17)+('Unit costs'!$I167*'Financial impact (cash)'!D$18)+('Unit costs'!$J167*'Financial impact (cash)'!D$19)+('Unit costs'!$K167*'Financial impact (cash)'!D$20)+('Unit costs'!$L167*'Financial impact (cash)'!D$21)+('Unit costs'!$M167*'Financial impact (cash)'!D$22)+('Unit costs'!$N167*'Financial impact (cash)'!D$23)+('Unit costs'!$O167*'Financial impact (cash)'!D$24)+('Unit costs'!$P167*'Financial impact (cash)'!D$25)+('Unit costs'!$Q167*'Financial impact (cash)'!D$26)+('Unit costs'!$R167*'Financial impact (cash)'!D$27)+('Unit costs'!$S167*'Financial impact (cash)'!D$28)+('Unit costs'!$T167*'Financial impact (cash)'!D$29)+('Unit costs'!$U167*'Financial impact (cash)'!D$30)+('Unit costs'!$V167*'Financial impact (cash)'!D$31)</f>
        <v>0</v>
      </c>
      <c r="E278" s="128">
        <f>('Unit costs'!$D167*'Financial impact (cash)'!E$13)+('Unit costs'!$E167*'Financial impact (cash)'!E$14)+('Unit costs'!$F167*'Financial impact (cash)'!E$15)+('Unit costs'!$G167*'Financial impact (cash)'!E$16)+('Unit costs'!$H167*'Financial impact (cash)'!E$17)+('Unit costs'!$I167*'Financial impact (cash)'!E$18)+('Unit costs'!$J167*'Financial impact (cash)'!E$19)+('Unit costs'!$K167*'Financial impact (cash)'!E$20)+('Unit costs'!$L167*'Financial impact (cash)'!E$21)+('Unit costs'!$M167*'Financial impact (cash)'!E$22)+('Unit costs'!$N167*'Financial impact (cash)'!E$23)+('Unit costs'!$O167*'Financial impact (cash)'!E$24)+('Unit costs'!$P167*'Financial impact (cash)'!E$25)+('Unit costs'!$Q167*'Financial impact (cash)'!E$26)+('Unit costs'!$R167*'Financial impact (cash)'!E$27)+('Unit costs'!$S167*'Financial impact (cash)'!E$28)+('Unit costs'!$T167*'Financial impact (cash)'!E$29)+('Unit costs'!$U167*'Financial impact (cash)'!E$30)+('Unit costs'!$V167*'Financial impact (cash)'!E$31)</f>
        <v>0</v>
      </c>
      <c r="F278" s="128">
        <f>('Unit costs'!$D167*'Financial impact (cash)'!F$13)+('Unit costs'!$E167*'Financial impact (cash)'!F$14)+('Unit costs'!$F167*'Financial impact (cash)'!F$15)+('Unit costs'!$G167*'Financial impact (cash)'!F$16)+('Unit costs'!$H167*'Financial impact (cash)'!F$17)+('Unit costs'!$I167*'Financial impact (cash)'!F$18)+('Unit costs'!$J167*'Financial impact (cash)'!F$19)+('Unit costs'!$K167*'Financial impact (cash)'!F$20)+('Unit costs'!$L167*'Financial impact (cash)'!F$21)+('Unit costs'!$M167*'Financial impact (cash)'!F$22)+('Unit costs'!$N167*'Financial impact (cash)'!F$23)+('Unit costs'!$O167*'Financial impact (cash)'!F$24)+('Unit costs'!$P167*'Financial impact (cash)'!F$25)+('Unit costs'!$Q167*'Financial impact (cash)'!F$26)+('Unit costs'!$R167*'Financial impact (cash)'!F$27)+('Unit costs'!$S167*'Financial impact (cash)'!F$28)+('Unit costs'!$T167*'Financial impact (cash)'!F$29)+('Unit costs'!$U167*'Financial impact (cash)'!F$30)+('Unit costs'!$V167*'Financial impact (cash)'!F$31)</f>
        <v>0</v>
      </c>
      <c r="G278" s="128">
        <f>('Unit costs'!$D167*'Financial impact (cash)'!G$13)+('Unit costs'!$E167*'Financial impact (cash)'!G$14)+('Unit costs'!$F167*'Financial impact (cash)'!G$15)+('Unit costs'!$G167*'Financial impact (cash)'!G$16)+('Unit costs'!$H167*'Financial impact (cash)'!G$17)+('Unit costs'!$I167*'Financial impact (cash)'!G$18)+('Unit costs'!$J167*'Financial impact (cash)'!G$19)+('Unit costs'!$K167*'Financial impact (cash)'!G$20)+('Unit costs'!$L167*'Financial impact (cash)'!G$21)+('Unit costs'!$M167*'Financial impact (cash)'!G$22)+('Unit costs'!$N167*'Financial impact (cash)'!G$23)+('Unit costs'!$O167*'Financial impact (cash)'!G$24)+('Unit costs'!$P167*'Financial impact (cash)'!G$25)+('Unit costs'!$Q167*'Financial impact (cash)'!G$26)+('Unit costs'!$R167*'Financial impact (cash)'!G$27)+('Unit costs'!$S167*'Financial impact (cash)'!G$28)+('Unit costs'!$T167*'Financial impact (cash)'!G$29)+('Unit costs'!$U167*'Financial impact (cash)'!G$30)+('Unit costs'!$V167*'Financial impact (cash)'!G$31)</f>
        <v>0</v>
      </c>
      <c r="H278" s="128">
        <f>('Unit costs'!$D167*'Financial impact (cash)'!H$13)+('Unit costs'!$E167*'Financial impact (cash)'!H$14)+('Unit costs'!$F167*'Financial impact (cash)'!H$15)+('Unit costs'!$G167*'Financial impact (cash)'!H$16)+('Unit costs'!$H167*'Financial impact (cash)'!H$17)+('Unit costs'!$I167*'Financial impact (cash)'!H$18)+('Unit costs'!$J167*'Financial impact (cash)'!H$19)+('Unit costs'!$K167*'Financial impact (cash)'!H$20)+('Unit costs'!$L167*'Financial impact (cash)'!H$21)+('Unit costs'!$M167*'Financial impact (cash)'!H$22)+('Unit costs'!$N167*'Financial impact (cash)'!H$23)+('Unit costs'!$O167*'Financial impact (cash)'!H$24)+('Unit costs'!$P167*'Financial impact (cash)'!H$25)+('Unit costs'!$Q167*'Financial impact (cash)'!H$26)+('Unit costs'!$R167*'Financial impact (cash)'!H$27)+('Unit costs'!$S167*'Financial impact (cash)'!H$28)+('Unit costs'!$T167*'Financial impact (cash)'!H$29)+('Unit costs'!$U167*'Financial impact (cash)'!H$30)+('Unit costs'!$V167*'Financial impact (cash)'!H$31)</f>
        <v>0</v>
      </c>
      <c r="I278" s="128">
        <f>('Unit costs'!$D167*'Financial impact (cash)'!I$13)+('Unit costs'!$E167*'Financial impact (cash)'!I$14)+('Unit costs'!$F167*'Financial impact (cash)'!I$15)+('Unit costs'!$G167*'Financial impact (cash)'!I$16)+('Unit costs'!$H167*'Financial impact (cash)'!I$17)+('Unit costs'!$I167*'Financial impact (cash)'!I$18)+('Unit costs'!$J167*'Financial impact (cash)'!I$19)+('Unit costs'!$K167*'Financial impact (cash)'!I$20)+('Unit costs'!$L167*'Financial impact (cash)'!I$21)+('Unit costs'!$M167*'Financial impact (cash)'!I$22)+('Unit costs'!$N167*'Financial impact (cash)'!I$23)+('Unit costs'!$O167*'Financial impact (cash)'!I$24)+('Unit costs'!$P167*'Financial impact (cash)'!I$25)+('Unit costs'!$Q167*'Financial impact (cash)'!I$26)+('Unit costs'!$R167*'Financial impact (cash)'!I$27)+('Unit costs'!$S167*'Financial impact (cash)'!I$28)+('Unit costs'!$T167*'Financial impact (cash)'!I$29)+('Unit costs'!$U167*'Financial impact (cash)'!I$30)+('Unit costs'!$V167*'Financial impact (cash)'!I$31)</f>
        <v>0</v>
      </c>
      <c r="J278" s="290"/>
      <c r="K278" s="572">
        <f>'Unit costs'!C198</f>
        <v>727.75376770538242</v>
      </c>
      <c r="L278" s="291">
        <f t="shared" si="180"/>
        <v>0</v>
      </c>
      <c r="M278" s="291">
        <f t="shared" si="181"/>
        <v>0</v>
      </c>
      <c r="N278" s="291">
        <f t="shared" si="182"/>
        <v>0</v>
      </c>
      <c r="O278" s="291">
        <f t="shared" si="183"/>
        <v>0</v>
      </c>
      <c r="P278" s="291">
        <f t="shared" si="184"/>
        <v>0</v>
      </c>
      <c r="Q278" s="291">
        <f t="shared" si="185"/>
        <v>0</v>
      </c>
      <c r="R278" s="133"/>
      <c r="S278" s="133"/>
      <c r="T278" s="133"/>
      <c r="U278" s="133"/>
      <c r="V278" s="133"/>
      <c r="W278" s="133"/>
      <c r="X278" s="133"/>
      <c r="Y278" s="133"/>
      <c r="Z278" s="133"/>
      <c r="AJ278" s="285"/>
      <c r="AK278" s="285"/>
      <c r="AL278" s="285"/>
      <c r="AM278" s="285"/>
      <c r="AN278" s="285"/>
    </row>
    <row r="279" spans="1:40" x14ac:dyDescent="0.35">
      <c r="A279" s="290"/>
      <c r="B279" s="279"/>
      <c r="C279" s="207"/>
      <c r="D279" s="185">
        <f t="shared" ref="D279:I279" si="186">SUM(D268:D278)</f>
        <v>0</v>
      </c>
      <c r="E279" s="185">
        <f t="shared" si="186"/>
        <v>0</v>
      </c>
      <c r="F279" s="185">
        <f t="shared" si="186"/>
        <v>0</v>
      </c>
      <c r="G279" s="185">
        <f t="shared" si="186"/>
        <v>0</v>
      </c>
      <c r="H279" s="185">
        <f t="shared" si="186"/>
        <v>0</v>
      </c>
      <c r="I279" s="185">
        <f t="shared" si="186"/>
        <v>0</v>
      </c>
      <c r="J279" s="290"/>
      <c r="K279" s="290"/>
      <c r="L279" s="292">
        <f t="shared" ref="L279:Q279" si="187">SUM(L268:L278)</f>
        <v>0</v>
      </c>
      <c r="M279" s="292">
        <f t="shared" si="187"/>
        <v>0</v>
      </c>
      <c r="N279" s="292">
        <f t="shared" si="187"/>
        <v>0</v>
      </c>
      <c r="O279" s="292">
        <f t="shared" si="187"/>
        <v>0</v>
      </c>
      <c r="P279" s="292">
        <f t="shared" si="187"/>
        <v>0</v>
      </c>
      <c r="Q279" s="292">
        <f t="shared" si="187"/>
        <v>0</v>
      </c>
      <c r="R279" s="133"/>
      <c r="S279" s="133"/>
      <c r="T279" s="133"/>
      <c r="U279" s="133"/>
      <c r="V279" s="133"/>
      <c r="W279" s="133"/>
      <c r="X279" s="133"/>
      <c r="Y279" s="133"/>
      <c r="Z279" s="133"/>
      <c r="AJ279" s="285"/>
      <c r="AK279" s="285"/>
      <c r="AL279" s="285"/>
      <c r="AM279" s="285"/>
      <c r="AN279" s="285"/>
    </row>
    <row r="280" spans="1:40" x14ac:dyDescent="0.35">
      <c r="A280" s="290"/>
      <c r="B280" s="307"/>
      <c r="C280" s="207"/>
      <c r="D280" s="284" t="s">
        <v>1016</v>
      </c>
      <c r="E280" s="185">
        <f>E279-$D$279</f>
        <v>0</v>
      </c>
      <c r="F280" s="185">
        <f>F279-$D$279</f>
        <v>0</v>
      </c>
      <c r="G280" s="185">
        <f>G279-$D$279</f>
        <v>0</v>
      </c>
      <c r="H280" s="185">
        <f>H279-$D$279</f>
        <v>0</v>
      </c>
      <c r="I280" s="185">
        <f>I279-$D$279</f>
        <v>0</v>
      </c>
      <c r="J280" s="290"/>
      <c r="K280" s="290"/>
      <c r="L280" s="546"/>
      <c r="M280" s="292">
        <f>M279-$L$279</f>
        <v>0</v>
      </c>
      <c r="N280" s="292">
        <f>N279-$L$279</f>
        <v>0</v>
      </c>
      <c r="O280" s="292">
        <f>O279-$L$279</f>
        <v>0</v>
      </c>
      <c r="P280" s="292">
        <f>P279-$L$279</f>
        <v>0</v>
      </c>
      <c r="Q280" s="292">
        <f>Q279-$L$279</f>
        <v>0</v>
      </c>
    </row>
    <row r="281" spans="1:40" x14ac:dyDescent="0.35">
      <c r="A281" s="290"/>
      <c r="B281" s="290"/>
      <c r="C281" s="290"/>
      <c r="D281" s="290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290"/>
      <c r="P281" s="290"/>
      <c r="Q281" s="290"/>
    </row>
    <row r="282" spans="1:40" x14ac:dyDescent="0.35">
      <c r="B282"/>
    </row>
    <row r="283" spans="1:40" x14ac:dyDescent="0.35">
      <c r="B283"/>
    </row>
    <row r="284" spans="1:40" x14ac:dyDescent="0.35">
      <c r="B284"/>
    </row>
    <row r="285" spans="1:40" x14ac:dyDescent="0.35">
      <c r="B285"/>
    </row>
    <row r="286" spans="1:40" x14ac:dyDescent="0.35">
      <c r="B286"/>
    </row>
  </sheetData>
  <sheetProtection algorithmName="SHA-512" hashValue="BlvlM674rMPbGXgAhamm6bLgk14cAbdWdC+uaJeePRHTKDeC6qAb9j5PI4qenIfDqUtGxBdBpSeqVGQSpPYcIQ==" saltValue="8ZMCdYJptmejIyYoZBsu6w==" spinCount="100000" sheet="1" objects="1" scenarios="1"/>
  <protectedRanges>
    <protectedRange sqref="B268:B278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82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286"/>
  <sheetViews>
    <sheetView showGridLines="0" zoomScale="80" zoomScaleNormal="80" zoomScaleSheetLayoutView="30" workbookViewId="0">
      <selection activeCell="R28" sqref="R28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3" width="14.26953125" customWidth="1"/>
    <col min="4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553" t="str">
        <f>'Inputs and eligible population'!B1</f>
        <v>Cladribine for treating active relapsing forms of multiple sclerosis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 x14ac:dyDescent="0.35">
      <c r="B2" s="212" t="s">
        <v>1017</v>
      </c>
      <c r="C2" s="127" t="s">
        <v>809</v>
      </c>
      <c r="D2" s="127" t="s">
        <v>809</v>
      </c>
      <c r="E2" s="127" t="s">
        <v>809</v>
      </c>
      <c r="F2" s="127" t="s">
        <v>809</v>
      </c>
      <c r="G2" s="127" t="s">
        <v>809</v>
      </c>
      <c r="H2" s="127" t="s">
        <v>809</v>
      </c>
      <c r="I2" s="127" t="s">
        <v>809</v>
      </c>
      <c r="J2" s="127" t="s">
        <v>809</v>
      </c>
      <c r="K2" s="127"/>
      <c r="L2" s="127" t="s">
        <v>809</v>
      </c>
      <c r="M2" s="127" t="s">
        <v>809</v>
      </c>
      <c r="N2" s="127" t="s">
        <v>809</v>
      </c>
      <c r="O2" s="127" t="s">
        <v>809</v>
      </c>
      <c r="P2" s="127" t="s">
        <v>809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 x14ac:dyDescent="0.35">
      <c r="B3" s="130" t="s">
        <v>809</v>
      </c>
      <c r="C3" s="133" t="s">
        <v>809</v>
      </c>
      <c r="D3" s="133" t="s">
        <v>809</v>
      </c>
      <c r="E3" s="133" t="s">
        <v>809</v>
      </c>
      <c r="F3" s="133" t="s">
        <v>809</v>
      </c>
      <c r="G3" s="133" t="s">
        <v>809</v>
      </c>
      <c r="H3" s="133" t="s">
        <v>809</v>
      </c>
      <c r="I3" s="133" t="s">
        <v>809</v>
      </c>
      <c r="J3" s="133" t="s">
        <v>809</v>
      </c>
      <c r="K3" s="133"/>
      <c r="L3" s="133" t="s">
        <v>809</v>
      </c>
      <c r="M3" s="133" t="s">
        <v>809</v>
      </c>
      <c r="N3" s="133" t="s">
        <v>809</v>
      </c>
      <c r="O3" s="133" t="s">
        <v>809</v>
      </c>
      <c r="P3" s="133" t="s">
        <v>809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5" customHeight="1" x14ac:dyDescent="0.35">
      <c r="B4" t="s">
        <v>964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 x14ac:dyDescent="0.3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5" x14ac:dyDescent="0.35">
      <c r="B6" s="257" t="s">
        <v>917</v>
      </c>
      <c r="C6" s="207"/>
      <c r="D6" s="421" t="s">
        <v>957</v>
      </c>
      <c r="E6" s="255" t="s">
        <v>685</v>
      </c>
      <c r="F6" s="255" t="s">
        <v>686</v>
      </c>
      <c r="G6" s="164" t="s">
        <v>914</v>
      </c>
      <c r="H6" s="164" t="s">
        <v>915</v>
      </c>
      <c r="I6" s="255" t="s">
        <v>916</v>
      </c>
      <c r="L6" s="421" t="s">
        <v>957</v>
      </c>
      <c r="M6" s="255" t="s">
        <v>685</v>
      </c>
      <c r="N6" s="255" t="s">
        <v>686</v>
      </c>
      <c r="O6" s="164" t="s">
        <v>914</v>
      </c>
      <c r="P6" s="164" t="s">
        <v>915</v>
      </c>
      <c r="Q6" s="255" t="s">
        <v>916</v>
      </c>
      <c r="R6" s="133"/>
      <c r="S6" s="127"/>
      <c r="T6" s="127"/>
      <c r="U6" s="127"/>
      <c r="V6" s="127"/>
      <c r="W6" s="127"/>
      <c r="X6" s="127"/>
      <c r="Y6" s="133"/>
      <c r="Z6" s="133"/>
      <c r="AJ6" s="285"/>
      <c r="AK6" s="285"/>
      <c r="AL6" s="285"/>
      <c r="AM6" s="285"/>
      <c r="AN6" s="285"/>
    </row>
    <row r="7" spans="1:40" ht="14.5" customHeight="1" x14ac:dyDescent="0.35">
      <c r="B7" s="224" t="s">
        <v>917</v>
      </c>
      <c r="C7" s="167"/>
      <c r="D7" s="378">
        <f>'Inputs and eligible population'!F42</f>
        <v>43823.922631945847</v>
      </c>
      <c r="E7" s="378">
        <f>'Inputs and eligible population'!G42</f>
        <v>44246.464456277179</v>
      </c>
      <c r="F7" s="378">
        <f>'Inputs and eligible population'!H42</f>
        <v>44673.080347524185</v>
      </c>
      <c r="G7" s="378">
        <f>'Inputs and eligible population'!I42</f>
        <v>45103.809587055635</v>
      </c>
      <c r="H7" s="378">
        <f>'Inputs and eligible population'!J42</f>
        <v>45538.691834983736</v>
      </c>
      <c r="I7" s="378">
        <f>'Inputs and eligible population'!K42</f>
        <v>45977.767133815832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5"/>
      <c r="AK7" s="285"/>
      <c r="AL7" s="285"/>
      <c r="AM7" s="285"/>
      <c r="AN7" s="285"/>
    </row>
    <row r="8" spans="1:40" ht="14.5" customHeight="1" x14ac:dyDescent="0.3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5"/>
      <c r="AK8" s="285"/>
      <c r="AL8" s="285"/>
      <c r="AM8" s="285"/>
      <c r="AN8" s="285"/>
    </row>
    <row r="9" spans="1:40" ht="14.5" customHeight="1" x14ac:dyDescent="0.35">
      <c r="B9" s="278" t="s">
        <v>965</v>
      </c>
      <c r="C9" s="440"/>
      <c r="D9" s="440"/>
      <c r="E9" s="441"/>
      <c r="F9" s="440"/>
      <c r="G9" s="442"/>
      <c r="H9" s="443"/>
      <c r="I9" s="443"/>
      <c r="J9" s="578"/>
      <c r="K9" s="577"/>
      <c r="L9" s="695" t="s">
        <v>921</v>
      </c>
      <c r="M9" s="695" t="s">
        <v>921</v>
      </c>
      <c r="N9" s="695" t="s">
        <v>921</v>
      </c>
      <c r="O9" s="695" t="s">
        <v>921</v>
      </c>
      <c r="P9" s="695" t="s">
        <v>921</v>
      </c>
      <c r="Q9" s="695" t="s">
        <v>921</v>
      </c>
      <c r="R9" s="133"/>
      <c r="S9" s="127"/>
      <c r="T9" s="127"/>
      <c r="U9" s="127"/>
      <c r="V9" s="127"/>
      <c r="W9" s="127"/>
      <c r="X9" s="127"/>
      <c r="Y9" s="133"/>
      <c r="Z9" s="133"/>
      <c r="AJ9" s="285"/>
      <c r="AK9" s="285"/>
      <c r="AL9" s="285"/>
      <c r="AM9" s="285"/>
      <c r="AN9" s="285"/>
    </row>
    <row r="10" spans="1:40" ht="14.5" hidden="1" customHeight="1" x14ac:dyDescent="0.35">
      <c r="A10" s="287"/>
      <c r="B10" s="447" t="str">
        <f>B30</f>
        <v>First attendances - number of appointments</v>
      </c>
      <c r="C10" s="383"/>
      <c r="D10" s="423">
        <f t="shared" ref="D10:I10" si="0">D35</f>
        <v>0</v>
      </c>
      <c r="E10" s="423">
        <f t="shared" si="0"/>
        <v>0</v>
      </c>
      <c r="F10" s="423">
        <f t="shared" si="0"/>
        <v>0</v>
      </c>
      <c r="G10" s="423">
        <f t="shared" si="0"/>
        <v>0</v>
      </c>
      <c r="H10" s="423">
        <f t="shared" si="0"/>
        <v>0</v>
      </c>
      <c r="I10" s="423">
        <f t="shared" si="0"/>
        <v>0</v>
      </c>
      <c r="L10" s="291">
        <f t="shared" ref="L10:Q10" si="1">L35</f>
        <v>0</v>
      </c>
      <c r="M10" s="291">
        <f t="shared" si="1"/>
        <v>0</v>
      </c>
      <c r="N10" s="291">
        <f t="shared" si="1"/>
        <v>0</v>
      </c>
      <c r="O10" s="291">
        <f t="shared" si="1"/>
        <v>0</v>
      </c>
      <c r="P10" s="291">
        <f t="shared" si="1"/>
        <v>0</v>
      </c>
      <c r="Q10" s="291">
        <f t="shared" si="1"/>
        <v>0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85"/>
      <c r="AK10" s="285"/>
      <c r="AL10" s="285"/>
      <c r="AM10" s="285"/>
      <c r="AN10" s="285"/>
    </row>
    <row r="11" spans="1:40" ht="14.5" customHeight="1" x14ac:dyDescent="0.35">
      <c r="A11" s="287"/>
      <c r="B11" s="447" t="str">
        <f>B38</f>
        <v>Follow up attendances - number of appointments</v>
      </c>
      <c r="C11" s="383"/>
      <c r="D11" s="423">
        <f t="shared" ref="D11:I11" si="2">D59</f>
        <v>0</v>
      </c>
      <c r="E11" s="423">
        <f t="shared" si="2"/>
        <v>0</v>
      </c>
      <c r="F11" s="423">
        <f t="shared" si="2"/>
        <v>0</v>
      </c>
      <c r="G11" s="423">
        <f t="shared" si="2"/>
        <v>0</v>
      </c>
      <c r="H11" s="423">
        <f t="shared" si="2"/>
        <v>0</v>
      </c>
      <c r="I11" s="423">
        <f t="shared" si="2"/>
        <v>0</v>
      </c>
      <c r="L11" s="291">
        <f t="shared" ref="L11:Q11" si="3">L59</f>
        <v>0</v>
      </c>
      <c r="M11" s="291">
        <f t="shared" si="3"/>
        <v>0</v>
      </c>
      <c r="N11" s="291">
        <f t="shared" si="3"/>
        <v>0</v>
      </c>
      <c r="O11" s="291">
        <f t="shared" si="3"/>
        <v>0</v>
      </c>
      <c r="P11" s="291">
        <f t="shared" si="3"/>
        <v>0</v>
      </c>
      <c r="Q11" s="291">
        <f t="shared" si="3"/>
        <v>0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5"/>
      <c r="AK11" s="285"/>
      <c r="AL11" s="285"/>
      <c r="AM11" s="285"/>
      <c r="AN11" s="285"/>
    </row>
    <row r="12" spans="1:40" ht="14.5" customHeight="1" x14ac:dyDescent="0.35">
      <c r="A12" s="294"/>
      <c r="B12" s="444" t="str">
        <f>B70</f>
        <v>Number of administrations</v>
      </c>
      <c r="C12" s="417"/>
      <c r="D12" s="416">
        <f t="shared" ref="D12:I12" si="4">D74</f>
        <v>0</v>
      </c>
      <c r="E12" s="416">
        <f t="shared" si="4"/>
        <v>0</v>
      </c>
      <c r="F12" s="416">
        <f t="shared" si="4"/>
        <v>0</v>
      </c>
      <c r="G12" s="416">
        <f t="shared" si="4"/>
        <v>0</v>
      </c>
      <c r="H12" s="416">
        <f t="shared" si="4"/>
        <v>0</v>
      </c>
      <c r="I12" s="416">
        <f t="shared" si="4"/>
        <v>0</v>
      </c>
      <c r="L12" s="291">
        <f t="shared" ref="L12:Q12" si="5">L74</f>
        <v>0</v>
      </c>
      <c r="M12" s="291">
        <f t="shared" si="5"/>
        <v>0</v>
      </c>
      <c r="N12" s="291">
        <f t="shared" si="5"/>
        <v>0</v>
      </c>
      <c r="O12" s="291">
        <f t="shared" si="5"/>
        <v>0</v>
      </c>
      <c r="P12" s="291">
        <f t="shared" si="5"/>
        <v>0</v>
      </c>
      <c r="Q12" s="291">
        <f t="shared" si="5"/>
        <v>0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85"/>
      <c r="AK12" s="285"/>
      <c r="AL12" s="285"/>
      <c r="AM12" s="285"/>
      <c r="AN12" s="285"/>
    </row>
    <row r="13" spans="1:40" ht="14.5" customHeight="1" x14ac:dyDescent="0.35">
      <c r="A13" s="286"/>
      <c r="B13" s="445" t="str">
        <f>B102</f>
        <v>Administrations - duration of administrations (hours)</v>
      </c>
      <c r="C13" s="452"/>
      <c r="D13" s="418">
        <f t="shared" ref="D13:I13" si="6">D123</f>
        <v>0</v>
      </c>
      <c r="E13" s="418">
        <f t="shared" si="6"/>
        <v>0</v>
      </c>
      <c r="F13" s="418">
        <f t="shared" si="6"/>
        <v>0</v>
      </c>
      <c r="G13" s="418">
        <f t="shared" si="6"/>
        <v>0</v>
      </c>
      <c r="H13" s="418">
        <f t="shared" si="6"/>
        <v>0</v>
      </c>
      <c r="I13" s="418">
        <f t="shared" si="6"/>
        <v>0</v>
      </c>
      <c r="L13" s="205"/>
      <c r="M13" s="205"/>
      <c r="N13" s="205"/>
      <c r="O13" s="205"/>
      <c r="P13" s="415"/>
      <c r="Q13" s="415"/>
      <c r="R13" s="133"/>
      <c r="S13" s="133"/>
      <c r="T13" s="133"/>
      <c r="U13" s="133"/>
      <c r="V13" s="133"/>
      <c r="W13" s="133"/>
      <c r="X13" s="133"/>
      <c r="Y13" s="133"/>
      <c r="Z13" s="133"/>
      <c r="AJ13" s="285"/>
      <c r="AK13" s="285"/>
      <c r="AL13" s="285"/>
      <c r="AM13" s="285"/>
      <c r="AN13" s="285"/>
    </row>
    <row r="14" spans="1:40" ht="14.5" customHeight="1" x14ac:dyDescent="0.35">
      <c r="A14" s="286"/>
      <c r="B14" s="445" t="str">
        <f>B126</f>
        <v>Preparation time before administration (hours)</v>
      </c>
      <c r="C14" s="452"/>
      <c r="D14" s="418">
        <f t="shared" ref="D14:I14" si="7">D147</f>
        <v>0</v>
      </c>
      <c r="E14" s="418">
        <f t="shared" si="7"/>
        <v>0</v>
      </c>
      <c r="F14" s="418">
        <f t="shared" si="7"/>
        <v>0</v>
      </c>
      <c r="G14" s="418">
        <f t="shared" si="7"/>
        <v>0</v>
      </c>
      <c r="H14" s="418">
        <f t="shared" si="7"/>
        <v>0</v>
      </c>
      <c r="I14" s="418">
        <f t="shared" si="7"/>
        <v>0</v>
      </c>
      <c r="L14" s="205"/>
      <c r="M14" s="205"/>
      <c r="N14" s="205"/>
      <c r="O14" s="205"/>
      <c r="P14" s="415"/>
      <c r="Q14" s="415"/>
      <c r="R14" s="133"/>
      <c r="S14" s="133"/>
      <c r="T14" s="133"/>
      <c r="U14" s="133"/>
      <c r="V14" s="133"/>
      <c r="W14" s="133"/>
      <c r="X14" s="133"/>
      <c r="Y14" s="133"/>
      <c r="Z14" s="133"/>
      <c r="AJ14" s="285"/>
      <c r="AK14" s="285"/>
      <c r="AL14" s="285"/>
      <c r="AM14" s="285"/>
      <c r="AN14" s="285"/>
    </row>
    <row r="15" spans="1:40" ht="14.5" customHeight="1" x14ac:dyDescent="0.35">
      <c r="A15" s="286"/>
      <c r="B15" s="445" t="str">
        <f>B150</f>
        <v>Post administration nursing time (hours)</v>
      </c>
      <c r="C15" s="452"/>
      <c r="D15" s="418">
        <f t="shared" ref="D15:I15" si="8">D171</f>
        <v>0</v>
      </c>
      <c r="E15" s="419">
        <f t="shared" si="8"/>
        <v>0</v>
      </c>
      <c r="F15" s="418">
        <f t="shared" si="8"/>
        <v>0</v>
      </c>
      <c r="G15" s="418">
        <f t="shared" si="8"/>
        <v>0</v>
      </c>
      <c r="H15" s="418">
        <f t="shared" si="8"/>
        <v>0</v>
      </c>
      <c r="I15" s="418">
        <f t="shared" si="8"/>
        <v>0</v>
      </c>
      <c r="L15" s="205"/>
      <c r="M15" s="205"/>
      <c r="N15" s="205"/>
      <c r="O15" s="205"/>
      <c r="P15" s="415"/>
      <c r="Q15" s="415"/>
      <c r="R15" s="133"/>
      <c r="S15" s="133"/>
      <c r="T15" s="133"/>
      <c r="U15" s="133"/>
      <c r="V15" s="133"/>
      <c r="W15" s="133"/>
      <c r="X15" s="133"/>
      <c r="Y15" s="133"/>
      <c r="Z15" s="133"/>
      <c r="AJ15" s="285"/>
      <c r="AK15" s="285"/>
      <c r="AL15" s="285"/>
      <c r="AM15" s="285"/>
      <c r="AN15" s="285"/>
    </row>
    <row r="16" spans="1:40" ht="14.5" hidden="1" customHeight="1" x14ac:dyDescent="0.35">
      <c r="A16" s="288"/>
      <c r="B16" s="446" t="str">
        <f>B175</f>
        <v>Pharmacy support (hours)</v>
      </c>
      <c r="C16" s="453"/>
      <c r="D16" s="420">
        <f t="shared" ref="D16:I16" si="9">D180</f>
        <v>0</v>
      </c>
      <c r="E16" s="420">
        <f t="shared" si="9"/>
        <v>0</v>
      </c>
      <c r="F16" s="420">
        <f t="shared" si="9"/>
        <v>0</v>
      </c>
      <c r="G16" s="420">
        <f t="shared" si="9"/>
        <v>0</v>
      </c>
      <c r="H16" s="420">
        <f t="shared" si="9"/>
        <v>0</v>
      </c>
      <c r="I16" s="420">
        <f t="shared" si="9"/>
        <v>0</v>
      </c>
      <c r="L16" s="205"/>
      <c r="M16" s="205"/>
      <c r="N16" s="205"/>
      <c r="O16" s="205"/>
      <c r="P16" s="415"/>
      <c r="Q16" s="415"/>
      <c r="R16" s="133"/>
      <c r="S16" s="133"/>
      <c r="T16" s="133"/>
      <c r="U16" s="133"/>
      <c r="V16" s="133"/>
      <c r="W16" s="133"/>
      <c r="X16" s="133"/>
      <c r="Y16" s="133"/>
      <c r="Z16" s="133"/>
      <c r="AJ16" s="285"/>
      <c r="AK16" s="285"/>
      <c r="AL16" s="285"/>
      <c r="AM16" s="285"/>
      <c r="AN16" s="285"/>
    </row>
    <row r="17" spans="1:40" ht="14.5" hidden="1" customHeight="1" x14ac:dyDescent="0.35">
      <c r="A17" s="329"/>
      <c r="B17" s="448" t="str">
        <f>B184</f>
        <v>Appointments with supporting specialty x</v>
      </c>
      <c r="C17" s="454"/>
      <c r="D17" s="424">
        <f t="shared" ref="D17:I17" si="10">D189</f>
        <v>0</v>
      </c>
      <c r="E17" s="424">
        <f t="shared" si="10"/>
        <v>0</v>
      </c>
      <c r="F17" s="424">
        <f t="shared" si="10"/>
        <v>0</v>
      </c>
      <c r="G17" s="424">
        <f t="shared" si="10"/>
        <v>0</v>
      </c>
      <c r="H17" s="424">
        <f t="shared" si="10"/>
        <v>0</v>
      </c>
      <c r="I17" s="424">
        <f t="shared" si="10"/>
        <v>0</v>
      </c>
      <c r="L17" s="291">
        <f t="shared" ref="L17:Q17" si="11">L189</f>
        <v>0</v>
      </c>
      <c r="M17" s="291">
        <f t="shared" si="11"/>
        <v>0</v>
      </c>
      <c r="N17" s="291">
        <f t="shared" si="11"/>
        <v>0</v>
      </c>
      <c r="O17" s="291">
        <f t="shared" si="11"/>
        <v>0</v>
      </c>
      <c r="P17" s="291">
        <f t="shared" si="11"/>
        <v>0</v>
      </c>
      <c r="Q17" s="291">
        <f t="shared" si="11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5"/>
      <c r="AK17" s="285"/>
      <c r="AL17" s="285"/>
      <c r="AM17" s="285"/>
      <c r="AN17" s="285"/>
    </row>
    <row r="18" spans="1:40" ht="14.5" customHeight="1" x14ac:dyDescent="0.35">
      <c r="A18" s="289"/>
      <c r="B18" s="449" t="str">
        <f>B193</f>
        <v>Full blood count</v>
      </c>
      <c r="C18" s="455"/>
      <c r="D18" s="425">
        <f t="shared" ref="D18:I18" si="12">D214</f>
        <v>0</v>
      </c>
      <c r="E18" s="425">
        <f t="shared" si="12"/>
        <v>0</v>
      </c>
      <c r="F18" s="425">
        <f t="shared" si="12"/>
        <v>0</v>
      </c>
      <c r="G18" s="425">
        <f t="shared" si="12"/>
        <v>0</v>
      </c>
      <c r="H18" s="425">
        <f t="shared" si="12"/>
        <v>0</v>
      </c>
      <c r="I18" s="425">
        <f t="shared" si="12"/>
        <v>0</v>
      </c>
      <c r="L18" s="205"/>
      <c r="M18" s="205"/>
      <c r="N18" s="205"/>
      <c r="O18" s="205"/>
      <c r="P18" s="415"/>
      <c r="Q18" s="415"/>
      <c r="R18" s="133"/>
      <c r="S18" s="133"/>
      <c r="T18" s="133"/>
      <c r="U18" s="133"/>
      <c r="V18" s="133"/>
      <c r="W18" s="133"/>
      <c r="X18" s="133"/>
      <c r="Y18" s="133"/>
      <c r="Z18" s="133"/>
      <c r="AJ18" s="285"/>
      <c r="AK18" s="285"/>
      <c r="AL18" s="285"/>
      <c r="AM18" s="285"/>
      <c r="AN18" s="285"/>
    </row>
    <row r="19" spans="1:40" ht="14.5" customHeight="1" x14ac:dyDescent="0.35">
      <c r="A19" s="289"/>
      <c r="B19" s="449" t="str">
        <f>B217</f>
        <v>Biochemistry tests per person</v>
      </c>
      <c r="C19" s="455"/>
      <c r="D19" s="425">
        <f t="shared" ref="D19:I19" si="13">D238</f>
        <v>0</v>
      </c>
      <c r="E19" s="425">
        <f t="shared" si="13"/>
        <v>0</v>
      </c>
      <c r="F19" s="425">
        <f t="shared" si="13"/>
        <v>0</v>
      </c>
      <c r="G19" s="425">
        <f t="shared" si="13"/>
        <v>0</v>
      </c>
      <c r="H19" s="425">
        <f t="shared" si="13"/>
        <v>0</v>
      </c>
      <c r="I19" s="425">
        <f t="shared" si="13"/>
        <v>0</v>
      </c>
      <c r="L19" s="205"/>
      <c r="M19" s="205"/>
      <c r="N19" s="205"/>
      <c r="O19" s="205"/>
      <c r="P19" s="415"/>
      <c r="Q19" s="415"/>
      <c r="R19" s="133"/>
      <c r="S19" s="133"/>
      <c r="T19" s="133"/>
      <c r="U19" s="133"/>
      <c r="V19" s="133"/>
      <c r="W19" s="133"/>
      <c r="X19" s="133"/>
      <c r="Y19" s="133"/>
      <c r="Z19" s="133"/>
      <c r="AJ19" s="285"/>
      <c r="AK19" s="285"/>
      <c r="AL19" s="285"/>
      <c r="AM19" s="285"/>
      <c r="AN19" s="285"/>
    </row>
    <row r="20" spans="1:40" ht="14.5" customHeight="1" x14ac:dyDescent="0.35">
      <c r="A20" s="289"/>
      <c r="B20" s="449" t="str">
        <f>B241</f>
        <v>MRI scan</v>
      </c>
      <c r="C20" s="455"/>
      <c r="D20" s="425">
        <f t="shared" ref="D20:I20" si="14">D262</f>
        <v>0</v>
      </c>
      <c r="E20" s="425">
        <f t="shared" si="14"/>
        <v>0</v>
      </c>
      <c r="F20" s="425">
        <f t="shared" si="14"/>
        <v>0</v>
      </c>
      <c r="G20" s="425">
        <f t="shared" si="14"/>
        <v>0</v>
      </c>
      <c r="H20" s="425">
        <f t="shared" si="14"/>
        <v>0</v>
      </c>
      <c r="I20" s="425">
        <f t="shared" si="14"/>
        <v>0</v>
      </c>
      <c r="L20" s="205"/>
      <c r="M20" s="205"/>
      <c r="N20" s="205"/>
      <c r="O20" s="205"/>
      <c r="P20" s="415"/>
      <c r="Q20" s="415"/>
      <c r="R20" s="133"/>
      <c r="S20" s="133"/>
      <c r="T20" s="133"/>
      <c r="U20" s="133"/>
      <c r="V20" s="133"/>
      <c r="W20" s="133"/>
      <c r="X20" s="133"/>
      <c r="Y20" s="133"/>
      <c r="Z20" s="133"/>
      <c r="AJ20" s="285"/>
      <c r="AK20" s="285"/>
      <c r="AL20" s="285"/>
      <c r="AM20" s="285"/>
      <c r="AN20" s="285"/>
    </row>
    <row r="21" spans="1:40" ht="14.5" hidden="1" customHeight="1" x14ac:dyDescent="0.35">
      <c r="A21" s="289"/>
      <c r="B21" s="450" t="e">
        <f>#REF!</f>
        <v>#REF!</v>
      </c>
      <c r="C21" s="436"/>
      <c r="D21" s="425" t="e">
        <f>#REF!</f>
        <v>#REF!</v>
      </c>
      <c r="E21" s="425" t="e">
        <f>#REF!</f>
        <v>#REF!</v>
      </c>
      <c r="F21" s="425" t="e">
        <f>#REF!</f>
        <v>#REF!</v>
      </c>
      <c r="G21" s="425" t="e">
        <f>#REF!</f>
        <v>#REF!</v>
      </c>
      <c r="H21" s="425" t="e">
        <f>#REF!</f>
        <v>#REF!</v>
      </c>
      <c r="I21" s="425" t="e">
        <f>#REF!</f>
        <v>#REF!</v>
      </c>
      <c r="J21" s="133"/>
      <c r="K21" s="133"/>
      <c r="L21" s="205"/>
      <c r="M21" s="205"/>
      <c r="N21" s="205"/>
      <c r="O21" s="205"/>
      <c r="P21" s="415"/>
      <c r="Q21" s="415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40" ht="14.5" customHeight="1" x14ac:dyDescent="0.35">
      <c r="A22" s="290"/>
      <c r="B22" s="451" t="str">
        <f>B266</f>
        <v>Adverse events, various (cases)</v>
      </c>
      <c r="C22" s="431"/>
      <c r="D22" s="426">
        <f t="shared" ref="D22:I22" si="15">D279</f>
        <v>0</v>
      </c>
      <c r="E22" s="426">
        <f t="shared" si="15"/>
        <v>0</v>
      </c>
      <c r="F22" s="426">
        <f t="shared" si="15"/>
        <v>0</v>
      </c>
      <c r="G22" s="426">
        <f t="shared" si="15"/>
        <v>0</v>
      </c>
      <c r="H22" s="426">
        <f t="shared" si="15"/>
        <v>0</v>
      </c>
      <c r="I22" s="426">
        <f t="shared" si="15"/>
        <v>0</v>
      </c>
      <c r="J22" s="133"/>
      <c r="K22" s="133"/>
      <c r="L22" s="291">
        <f t="shared" ref="L22:Q22" si="16">L279</f>
        <v>0</v>
      </c>
      <c r="M22" s="291">
        <f t="shared" si="16"/>
        <v>0</v>
      </c>
      <c r="N22" s="291">
        <f t="shared" si="16"/>
        <v>0</v>
      </c>
      <c r="O22" s="291">
        <f t="shared" si="16"/>
        <v>0</v>
      </c>
      <c r="P22" s="291">
        <f t="shared" si="16"/>
        <v>0</v>
      </c>
      <c r="Q22" s="291">
        <f t="shared" si="16"/>
        <v>0</v>
      </c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40" ht="14.5" customHeight="1" x14ac:dyDescent="0.35">
      <c r="B23" s="246"/>
      <c r="D23" s="285"/>
      <c r="F23" s="133"/>
      <c r="G23" s="133"/>
      <c r="H23" s="133"/>
      <c r="I23" s="133"/>
      <c r="J23" s="133"/>
      <c r="K23" s="133"/>
      <c r="L23" s="292">
        <f t="shared" ref="L23:Q23" si="17">SUM(L10:L22)</f>
        <v>0</v>
      </c>
      <c r="M23" s="292">
        <f t="shared" si="17"/>
        <v>0</v>
      </c>
      <c r="N23" s="292">
        <f t="shared" si="17"/>
        <v>0</v>
      </c>
      <c r="O23" s="292">
        <f t="shared" si="17"/>
        <v>0</v>
      </c>
      <c r="P23" s="292">
        <f t="shared" si="17"/>
        <v>0</v>
      </c>
      <c r="Q23" s="292">
        <f t="shared" si="17"/>
        <v>0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hidden="1" x14ac:dyDescent="0.35"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P24" s="133"/>
      <c r="Q24" s="133"/>
      <c r="R24" s="133"/>
      <c r="S24" s="133"/>
      <c r="V24" s="133"/>
      <c r="W24" s="133"/>
      <c r="X24" s="133"/>
      <c r="Y24" s="133"/>
      <c r="Z24" s="133"/>
      <c r="AJ24" s="285"/>
      <c r="AK24" s="285"/>
      <c r="AL24" s="285"/>
      <c r="AM24" s="285"/>
      <c r="AN24" s="285"/>
    </row>
    <row r="25" spans="1:40" hidden="1" x14ac:dyDescent="0.35"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P25" s="133"/>
      <c r="Q25" s="133"/>
      <c r="R25" s="133"/>
      <c r="S25" s="133"/>
      <c r="V25" s="133"/>
      <c r="W25" s="133"/>
      <c r="X25" s="133"/>
      <c r="Y25" s="133"/>
      <c r="Z25" s="133"/>
      <c r="AJ25" s="285"/>
      <c r="AK25" s="285"/>
      <c r="AL25" s="285"/>
      <c r="AM25" s="285"/>
      <c r="AN25" s="285"/>
    </row>
    <row r="26" spans="1:40" x14ac:dyDescent="0.35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773"/>
      <c r="P26" s="133"/>
      <c r="Q26" s="133"/>
      <c r="R26" s="133"/>
      <c r="S26" s="133"/>
      <c r="V26" s="133"/>
      <c r="W26" s="133"/>
      <c r="X26" s="133"/>
      <c r="Y26" s="133"/>
      <c r="Z26" s="133"/>
      <c r="AJ26" s="285"/>
      <c r="AK26" s="285"/>
      <c r="AL26" s="285"/>
      <c r="AM26" s="285"/>
      <c r="AN26" s="285"/>
    </row>
    <row r="27" spans="1:40" x14ac:dyDescent="0.35"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P27" s="133"/>
      <c r="Q27" s="133"/>
      <c r="R27" s="133"/>
      <c r="S27" s="133"/>
      <c r="V27" s="133"/>
      <c r="W27" s="133"/>
      <c r="X27" s="133"/>
      <c r="Y27" s="133"/>
      <c r="Z27" s="133"/>
      <c r="AJ27" s="285"/>
      <c r="AK27" s="285"/>
      <c r="AL27" s="285"/>
      <c r="AM27" s="285"/>
      <c r="AN27" s="285"/>
    </row>
    <row r="28" spans="1:40" x14ac:dyDescent="0.35">
      <c r="B28" s="370" t="s">
        <v>966</v>
      </c>
      <c r="C28" s="371"/>
      <c r="D28" s="371"/>
      <c r="E28" s="372"/>
      <c r="F28" s="371"/>
      <c r="G28" s="373"/>
      <c r="H28" s="374"/>
      <c r="I28" s="374"/>
      <c r="J28" s="374"/>
      <c r="K28" s="374"/>
      <c r="L28" s="374"/>
      <c r="M28" s="374"/>
      <c r="N28" s="374"/>
      <c r="O28" s="374"/>
      <c r="P28" s="374"/>
      <c r="Q28" s="375"/>
      <c r="R28" s="133"/>
      <c r="S28" s="133"/>
      <c r="T28" s="133"/>
      <c r="U28" s="133"/>
      <c r="V28" s="133"/>
      <c r="W28" s="133"/>
      <c r="X28" s="133"/>
      <c r="Y28" s="133"/>
      <c r="Z28" s="133"/>
      <c r="AJ28" s="285"/>
      <c r="AK28" s="285"/>
      <c r="AL28" s="285"/>
      <c r="AM28" s="285"/>
      <c r="AN28" s="285"/>
    </row>
    <row r="29" spans="1:40" hidden="1" x14ac:dyDescent="0.35">
      <c r="A29" s="287"/>
      <c r="B29" s="566" t="s">
        <v>763</v>
      </c>
      <c r="C29" s="559"/>
      <c r="D29" s="560"/>
      <c r="E29" s="561"/>
      <c r="F29" s="287"/>
      <c r="G29" s="28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133"/>
      <c r="S29" s="133"/>
      <c r="T29" s="133"/>
      <c r="U29" s="133"/>
      <c r="V29" s="133"/>
      <c r="W29" s="133"/>
      <c r="X29" s="133"/>
      <c r="Y29" s="133"/>
      <c r="Z29" s="133"/>
      <c r="AJ29" s="285"/>
      <c r="AK29" s="285"/>
      <c r="AL29" s="285"/>
      <c r="AM29" s="285"/>
      <c r="AN29" s="285"/>
    </row>
    <row r="30" spans="1:40" hidden="1" x14ac:dyDescent="0.35">
      <c r="A30" s="557"/>
      <c r="B30" s="562" t="s">
        <v>1018</v>
      </c>
      <c r="C30" s="393"/>
      <c r="D30" s="393"/>
      <c r="E30" s="393"/>
      <c r="F30" s="393"/>
      <c r="G30" s="393"/>
      <c r="H30" s="393"/>
      <c r="I30" s="216"/>
      <c r="J30" s="217"/>
      <c r="K30" s="217"/>
      <c r="L30" s="217"/>
      <c r="M30" s="217"/>
      <c r="N30" s="217"/>
      <c r="O30" s="217"/>
      <c r="P30" s="217"/>
      <c r="Q30" s="217"/>
      <c r="R30" s="133"/>
      <c r="S30" s="133"/>
      <c r="T30" s="133"/>
      <c r="U30" s="133"/>
      <c r="V30" s="133"/>
      <c r="W30" s="133"/>
      <c r="X30" s="133"/>
      <c r="Y30" s="133"/>
      <c r="Z30" s="133"/>
      <c r="AJ30" s="285"/>
      <c r="AK30" s="285"/>
      <c r="AL30" s="285"/>
      <c r="AM30" s="285"/>
      <c r="AN30" s="285"/>
    </row>
    <row r="31" spans="1:40" ht="43.5" hidden="1" x14ac:dyDescent="0.35">
      <c r="A31" s="557"/>
      <c r="B31" s="317" t="s">
        <v>876</v>
      </c>
      <c r="C31" s="165" t="s">
        <v>968</v>
      </c>
      <c r="D31" s="421" t="s">
        <v>957</v>
      </c>
      <c r="E31" s="255" t="s">
        <v>685</v>
      </c>
      <c r="F31" s="255" t="s">
        <v>686</v>
      </c>
      <c r="G31" s="164" t="s">
        <v>914</v>
      </c>
      <c r="H31" s="164" t="s">
        <v>915</v>
      </c>
      <c r="I31" s="255" t="s">
        <v>916</v>
      </c>
      <c r="J31" s="565"/>
      <c r="K31" s="556" t="s">
        <v>1015</v>
      </c>
      <c r="L31" s="421" t="s">
        <v>957</v>
      </c>
      <c r="M31" s="541" t="s">
        <v>685</v>
      </c>
      <c r="N31" s="541" t="s">
        <v>686</v>
      </c>
      <c r="O31" s="422" t="s">
        <v>914</v>
      </c>
      <c r="P31" s="422" t="s">
        <v>915</v>
      </c>
      <c r="Q31" s="541" t="s">
        <v>916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5"/>
      <c r="AK31" s="285"/>
      <c r="AL31" s="285"/>
      <c r="AM31" s="285"/>
      <c r="AN31" s="285"/>
    </row>
    <row r="32" spans="1:40" hidden="1" x14ac:dyDescent="0.35">
      <c r="A32" s="557"/>
      <c r="B32" s="348"/>
      <c r="C32" s="149">
        <f>'Inputs and eligible population'!F107</f>
        <v>0</v>
      </c>
      <c r="D32" s="128">
        <f>'Financial impact (cash)'!D13*$C$32</f>
        <v>0</v>
      </c>
      <c r="E32" s="128">
        <f>'Financial impact (cash)'!E13*$C$32</f>
        <v>0</v>
      </c>
      <c r="F32" s="128">
        <f>'Financial impact (cash)'!F13*$C$32</f>
        <v>0</v>
      </c>
      <c r="G32" s="128">
        <f>'Financial impact (cash)'!G13*$C$32</f>
        <v>0</v>
      </c>
      <c r="H32" s="128">
        <f>'Financial impact (cash)'!H13*$C$32</f>
        <v>0</v>
      </c>
      <c r="I32" s="128">
        <f>'Financial impact (cash)'!I13*$C$32</f>
        <v>0</v>
      </c>
      <c r="J32" s="565"/>
      <c r="K32" s="569"/>
      <c r="L32" s="291"/>
      <c r="M32" s="291"/>
      <c r="N32" s="291"/>
      <c r="O32" s="291"/>
      <c r="P32" s="291"/>
      <c r="Q32" s="291"/>
      <c r="R32" s="133"/>
      <c r="S32" s="133"/>
      <c r="T32" s="133"/>
      <c r="U32" s="133"/>
      <c r="V32" s="133"/>
      <c r="W32" s="133"/>
      <c r="X32" s="133"/>
      <c r="Y32" s="133"/>
      <c r="Z32" s="133"/>
      <c r="AJ32" s="285"/>
      <c r="AK32" s="285"/>
      <c r="AL32" s="285"/>
      <c r="AM32" s="285"/>
      <c r="AN32" s="285"/>
    </row>
    <row r="33" spans="1:40" hidden="1" x14ac:dyDescent="0.35">
      <c r="A33" s="557"/>
      <c r="B33" s="348"/>
      <c r="C33" s="149">
        <f>'Inputs and eligible population'!G107</f>
        <v>0</v>
      </c>
      <c r="D33" s="128">
        <f>'Financial impact (cash)'!D14*$C$33</f>
        <v>0</v>
      </c>
      <c r="E33" s="128">
        <f>'Financial impact (cash)'!E14*$C$33</f>
        <v>0</v>
      </c>
      <c r="F33" s="128">
        <f>'Financial impact (cash)'!F14*$C$33</f>
        <v>0</v>
      </c>
      <c r="G33" s="128">
        <f>'Financial impact (cash)'!G14*$C$33</f>
        <v>0</v>
      </c>
      <c r="H33" s="128">
        <f>'Financial impact (cash)'!H14*$C$33</f>
        <v>0</v>
      </c>
      <c r="I33" s="128">
        <f>'Financial impact (cash)'!I14*$C$33</f>
        <v>0</v>
      </c>
      <c r="J33" s="565"/>
      <c r="K33" s="569"/>
      <c r="L33" s="291"/>
      <c r="M33" s="291"/>
      <c r="N33" s="291"/>
      <c r="O33" s="291"/>
      <c r="P33" s="291"/>
      <c r="Q33" s="291"/>
      <c r="R33" s="133"/>
      <c r="S33" s="133"/>
      <c r="T33" s="133"/>
      <c r="U33" s="133"/>
      <c r="V33" s="133"/>
      <c r="W33" s="133"/>
      <c r="X33" s="133"/>
      <c r="Y33" s="133"/>
      <c r="Z33" s="133"/>
      <c r="AJ33" s="285"/>
      <c r="AK33" s="285"/>
      <c r="AL33" s="285"/>
      <c r="AM33" s="285"/>
      <c r="AN33" s="285"/>
    </row>
    <row r="34" spans="1:40" hidden="1" x14ac:dyDescent="0.35">
      <c r="A34" s="557"/>
      <c r="B34" s="348"/>
      <c r="C34" s="149">
        <f>'Inputs and eligible population'!I107</f>
        <v>0</v>
      </c>
      <c r="D34" s="128">
        <f>'Financial impact (cash)'!D16*$C$34</f>
        <v>0</v>
      </c>
      <c r="E34" s="128">
        <f>'Financial impact (cash)'!E16*$C$34</f>
        <v>0</v>
      </c>
      <c r="F34" s="128">
        <f>'Financial impact (cash)'!F16*$C$34</f>
        <v>0</v>
      </c>
      <c r="G34" s="128">
        <f>'Financial impact (cash)'!G16*$C$34</f>
        <v>0</v>
      </c>
      <c r="H34" s="128">
        <f>'Financial impact (cash)'!H16*$C$34</f>
        <v>0</v>
      </c>
      <c r="I34" s="128">
        <f>'Financial impact (cash)'!I16*$C$34</f>
        <v>0</v>
      </c>
      <c r="J34" s="565"/>
      <c r="K34" s="569"/>
      <c r="L34" s="291"/>
      <c r="M34" s="291"/>
      <c r="N34" s="291"/>
      <c r="O34" s="291"/>
      <c r="P34" s="291"/>
      <c r="Q34" s="291"/>
      <c r="R34" s="133"/>
      <c r="S34" s="133"/>
      <c r="T34" s="133"/>
      <c r="U34" s="133"/>
      <c r="V34" s="133"/>
      <c r="W34" s="133"/>
      <c r="X34" s="133"/>
      <c r="Y34" s="133"/>
      <c r="Z34" s="133"/>
      <c r="AJ34" s="285"/>
      <c r="AK34" s="285"/>
      <c r="AL34" s="285"/>
      <c r="AM34" s="285"/>
      <c r="AN34" s="285"/>
    </row>
    <row r="35" spans="1:40" hidden="1" x14ac:dyDescent="0.35">
      <c r="A35" s="557"/>
      <c r="B35" s="521"/>
      <c r="C35" s="282"/>
      <c r="D35" s="185">
        <f t="shared" ref="D35:I35" si="18">SUM(D32:D34)</f>
        <v>0</v>
      </c>
      <c r="E35" s="185">
        <f t="shared" si="18"/>
        <v>0</v>
      </c>
      <c r="F35" s="185">
        <f t="shared" si="18"/>
        <v>0</v>
      </c>
      <c r="G35" s="185">
        <f t="shared" si="18"/>
        <v>0</v>
      </c>
      <c r="H35" s="185">
        <f t="shared" si="18"/>
        <v>0</v>
      </c>
      <c r="I35" s="185">
        <f t="shared" si="18"/>
        <v>0</v>
      </c>
      <c r="J35" s="565"/>
      <c r="K35" s="217"/>
      <c r="L35" s="292">
        <f t="shared" ref="L35:Q35" si="19">SUM(L32:L34)</f>
        <v>0</v>
      </c>
      <c r="M35" s="292">
        <f t="shared" si="19"/>
        <v>0</v>
      </c>
      <c r="N35" s="292">
        <f t="shared" si="19"/>
        <v>0</v>
      </c>
      <c r="O35" s="292">
        <f t="shared" si="19"/>
        <v>0</v>
      </c>
      <c r="P35" s="292">
        <f t="shared" si="19"/>
        <v>0</v>
      </c>
      <c r="Q35" s="292">
        <f t="shared" si="19"/>
        <v>0</v>
      </c>
      <c r="R35" s="133"/>
      <c r="S35" s="133"/>
      <c r="T35" s="133"/>
      <c r="U35" s="133"/>
      <c r="V35" s="133"/>
      <c r="W35" s="133"/>
      <c r="X35" s="133"/>
      <c r="Y35" s="133"/>
      <c r="Z35" s="133"/>
      <c r="AJ35" s="285"/>
      <c r="AK35" s="285"/>
      <c r="AL35" s="285"/>
      <c r="AM35" s="285"/>
      <c r="AN35" s="285"/>
    </row>
    <row r="36" spans="1:40" hidden="1" x14ac:dyDescent="0.35">
      <c r="A36" s="557"/>
      <c r="B36" s="256"/>
      <c r="C36" s="256"/>
      <c r="D36" s="284" t="s">
        <v>970</v>
      </c>
      <c r="E36" s="185">
        <f>E35-$D$35</f>
        <v>0</v>
      </c>
      <c r="F36" s="185">
        <f>F35-$D$35</f>
        <v>0</v>
      </c>
      <c r="G36" s="185">
        <f>G35-$D$35</f>
        <v>0</v>
      </c>
      <c r="H36" s="185">
        <f>H35-$D$35</f>
        <v>0</v>
      </c>
      <c r="I36" s="185">
        <f>I35-$D$35</f>
        <v>0</v>
      </c>
      <c r="J36" s="565"/>
      <c r="K36" s="217"/>
      <c r="L36" s="217"/>
      <c r="M36" s="292">
        <f>M35-$L35</f>
        <v>0</v>
      </c>
      <c r="N36" s="292">
        <f>N35-$L35</f>
        <v>0</v>
      </c>
      <c r="O36" s="292">
        <f>O35-$L35</f>
        <v>0</v>
      </c>
      <c r="P36" s="292">
        <f>P35-$L35</f>
        <v>0</v>
      </c>
      <c r="Q36" s="292">
        <f>Q35-$L35</f>
        <v>0</v>
      </c>
      <c r="R36" s="133"/>
      <c r="S36" s="133"/>
      <c r="T36" s="133"/>
      <c r="U36" s="133"/>
      <c r="V36" s="133"/>
      <c r="W36" s="133"/>
      <c r="X36" s="133"/>
      <c r="Y36" s="133"/>
      <c r="Z36" s="133"/>
      <c r="AJ36" s="285"/>
      <c r="AK36" s="285"/>
      <c r="AL36" s="285"/>
      <c r="AM36" s="285"/>
      <c r="AN36" s="285"/>
    </row>
    <row r="37" spans="1:40" hidden="1" x14ac:dyDescent="0.35">
      <c r="A37" s="287"/>
      <c r="B37" s="558"/>
      <c r="C37" s="559"/>
      <c r="D37" s="560"/>
      <c r="E37" s="561"/>
      <c r="F37" s="287"/>
      <c r="G37" s="287"/>
      <c r="H37" s="287"/>
      <c r="I37" s="308"/>
      <c r="J37" s="217"/>
      <c r="K37" s="217"/>
      <c r="L37" s="217"/>
      <c r="M37" s="217"/>
      <c r="N37" s="217"/>
      <c r="O37" s="217"/>
      <c r="P37" s="217"/>
      <c r="Q37" s="217"/>
      <c r="R37" s="133"/>
      <c r="S37" s="133"/>
      <c r="T37" s="133"/>
      <c r="U37" s="133"/>
      <c r="V37" s="133"/>
      <c r="W37" s="133"/>
      <c r="X37" s="133"/>
      <c r="Y37" s="133"/>
      <c r="Z37" s="133"/>
      <c r="AJ37" s="285"/>
      <c r="AK37" s="285"/>
      <c r="AL37" s="285"/>
      <c r="AM37" s="285"/>
      <c r="AN37" s="285"/>
    </row>
    <row r="38" spans="1:40" x14ac:dyDescent="0.35">
      <c r="A38" s="287"/>
      <c r="B38" s="392" t="s">
        <v>1019</v>
      </c>
      <c r="C38" s="393"/>
      <c r="D38" s="393"/>
      <c r="E38" s="393"/>
      <c r="F38" s="393"/>
      <c r="G38" s="393"/>
      <c r="H38" s="393"/>
      <c r="I38" s="216"/>
      <c r="J38" s="217"/>
      <c r="K38" s="217"/>
      <c r="L38" s="217"/>
      <c r="M38" s="217"/>
      <c r="N38" s="217"/>
      <c r="O38" s="217"/>
      <c r="P38" s="217"/>
      <c r="Q38" s="217"/>
      <c r="R38" s="133"/>
      <c r="S38" s="133"/>
      <c r="T38" s="133"/>
      <c r="U38" s="133"/>
      <c r="V38" s="133"/>
      <c r="W38" s="133"/>
      <c r="X38" s="133"/>
      <c r="Y38" s="133"/>
      <c r="Z38" s="133"/>
      <c r="AJ38" s="285"/>
      <c r="AK38" s="285"/>
      <c r="AL38" s="285"/>
      <c r="AM38" s="285"/>
      <c r="AN38" s="285"/>
    </row>
    <row r="39" spans="1:40" ht="43.5" x14ac:dyDescent="0.35">
      <c r="A39" s="287"/>
      <c r="B39" s="278" t="s">
        <v>876</v>
      </c>
      <c r="C39" s="165" t="s">
        <v>968</v>
      </c>
      <c r="D39" s="421" t="s">
        <v>957</v>
      </c>
      <c r="E39" s="255" t="s">
        <v>685</v>
      </c>
      <c r="F39" s="255" t="s">
        <v>686</v>
      </c>
      <c r="G39" s="164" t="s">
        <v>914</v>
      </c>
      <c r="H39" s="164" t="s">
        <v>915</v>
      </c>
      <c r="I39" s="255" t="s">
        <v>916</v>
      </c>
      <c r="J39" s="217"/>
      <c r="K39" s="556" t="s">
        <v>1015</v>
      </c>
      <c r="L39" s="421" t="s">
        <v>957</v>
      </c>
      <c r="M39" s="541" t="s">
        <v>685</v>
      </c>
      <c r="N39" s="541" t="s">
        <v>686</v>
      </c>
      <c r="O39" s="422" t="s">
        <v>914</v>
      </c>
      <c r="P39" s="422" t="s">
        <v>915</v>
      </c>
      <c r="Q39" s="541" t="s">
        <v>916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5"/>
      <c r="AK39" s="285"/>
      <c r="AL39" s="285"/>
      <c r="AM39" s="285"/>
      <c r="AN39" s="285"/>
    </row>
    <row r="40" spans="1:40" x14ac:dyDescent="0.35">
      <c r="A40" s="287"/>
      <c r="B40" s="347" t="s">
        <v>699</v>
      </c>
      <c r="C40" s="149">
        <f>'Inputs and eligible population'!$F109</f>
        <v>1</v>
      </c>
      <c r="D40" s="128">
        <f>'Financial impact (cash)'!D13*$C40</f>
        <v>0</v>
      </c>
      <c r="E40" s="128">
        <f>'Financial impact (cash)'!E13*$C40</f>
        <v>0</v>
      </c>
      <c r="F40" s="128">
        <f>'Financial impact (cash)'!F13*$C40</f>
        <v>0</v>
      </c>
      <c r="G40" s="128">
        <f>'Financial impact (cash)'!G13*$C40</f>
        <v>0</v>
      </c>
      <c r="H40" s="128">
        <f>'Financial impact (cash)'!H13*$C40</f>
        <v>0</v>
      </c>
      <c r="I40" s="128">
        <f>'Financial impact (cash)'!I13*$C40</f>
        <v>0</v>
      </c>
      <c r="J40" s="217"/>
      <c r="K40" s="569">
        <f>'Unit costs'!$N$135</f>
        <v>222.92</v>
      </c>
      <c r="L40" s="291">
        <f>(D40*$K40)/1000</f>
        <v>0</v>
      </c>
      <c r="M40" s="291">
        <f t="shared" ref="M40:Q40" si="20">(E40*$K40)/1000</f>
        <v>0</v>
      </c>
      <c r="N40" s="291">
        <f t="shared" si="20"/>
        <v>0</v>
      </c>
      <c r="O40" s="291">
        <f t="shared" si="20"/>
        <v>0</v>
      </c>
      <c r="P40" s="291">
        <f t="shared" si="20"/>
        <v>0</v>
      </c>
      <c r="Q40" s="291">
        <f t="shared" si="20"/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5"/>
      <c r="AK40" s="285"/>
      <c r="AL40" s="285"/>
      <c r="AM40" s="285"/>
      <c r="AN40" s="285"/>
    </row>
    <row r="41" spans="1:40" x14ac:dyDescent="0.35">
      <c r="A41" s="287"/>
      <c r="B41" s="347" t="s">
        <v>701</v>
      </c>
      <c r="C41" s="149">
        <f>'Inputs and eligible population'!G109</f>
        <v>1</v>
      </c>
      <c r="D41" s="128">
        <f>'Financial impact (cash)'!D14*$C41</f>
        <v>0</v>
      </c>
      <c r="E41" s="128">
        <f>'Financial impact (cash)'!E14*$C41</f>
        <v>0</v>
      </c>
      <c r="F41" s="128">
        <f>'Financial impact (cash)'!F14*$C41</f>
        <v>0</v>
      </c>
      <c r="G41" s="128">
        <f>'Financial impact (cash)'!G14*$C41</f>
        <v>0</v>
      </c>
      <c r="H41" s="128">
        <f>'Financial impact (cash)'!H14*$C41</f>
        <v>0</v>
      </c>
      <c r="I41" s="128">
        <f>'Financial impact (cash)'!I14*$C41</f>
        <v>0</v>
      </c>
      <c r="J41" s="217"/>
      <c r="K41" s="569">
        <f>'Unit costs'!$N$135</f>
        <v>222.92</v>
      </c>
      <c r="L41" s="291">
        <f t="shared" ref="L41:L58" si="21">(D41*$K41)/1000</f>
        <v>0</v>
      </c>
      <c r="M41" s="291">
        <f t="shared" ref="M41:M58" si="22">(E41*$K41)/1000</f>
        <v>0</v>
      </c>
      <c r="N41" s="291">
        <f t="shared" ref="N41:N58" si="23">(F41*$K41)/1000</f>
        <v>0</v>
      </c>
      <c r="O41" s="291">
        <f t="shared" ref="O41:O58" si="24">(G41*$K41)/1000</f>
        <v>0</v>
      </c>
      <c r="P41" s="291">
        <f t="shared" ref="P41:P58" si="25">(H41*$K41)/1000</f>
        <v>0</v>
      </c>
      <c r="Q41" s="291">
        <f t="shared" ref="Q41:Q58" si="26">(I41*$K41)/1000</f>
        <v>0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5"/>
      <c r="AK41" s="285"/>
      <c r="AL41" s="285"/>
      <c r="AM41" s="285"/>
      <c r="AN41" s="285"/>
    </row>
    <row r="42" spans="1:40" x14ac:dyDescent="0.35">
      <c r="A42" s="287"/>
      <c r="B42" s="347" t="s">
        <v>703</v>
      </c>
      <c r="C42" s="149">
        <f>'Inputs and eligible population'!H109</f>
        <v>1</v>
      </c>
      <c r="D42" s="128">
        <f>'Financial impact (cash)'!D15*$C42</f>
        <v>0</v>
      </c>
      <c r="E42" s="128">
        <f>'Financial impact (cash)'!E15*$C42</f>
        <v>0</v>
      </c>
      <c r="F42" s="128">
        <f>'Financial impact (cash)'!F15*$C42</f>
        <v>0</v>
      </c>
      <c r="G42" s="128">
        <f>'Financial impact (cash)'!G15*$C42</f>
        <v>0</v>
      </c>
      <c r="H42" s="128">
        <f>'Financial impact (cash)'!H15*$C42</f>
        <v>0</v>
      </c>
      <c r="I42" s="128">
        <f>'Financial impact (cash)'!I15*$C42</f>
        <v>0</v>
      </c>
      <c r="J42" s="217"/>
      <c r="K42" s="569">
        <f>'Unit costs'!$N$135</f>
        <v>222.92</v>
      </c>
      <c r="L42" s="291">
        <f>(D42*$K42)/1000</f>
        <v>0</v>
      </c>
      <c r="M42" s="291">
        <f t="shared" ref="M42" si="27">(E42*$K42)/1000</f>
        <v>0</v>
      </c>
      <c r="N42" s="291">
        <f t="shared" ref="N42" si="28">(F42*$K42)/1000</f>
        <v>0</v>
      </c>
      <c r="O42" s="291">
        <f t="shared" ref="O42" si="29">(G42*$K42)/1000</f>
        <v>0</v>
      </c>
      <c r="P42" s="291">
        <f t="shared" ref="P42" si="30">(H42*$K42)/1000</f>
        <v>0</v>
      </c>
      <c r="Q42" s="291">
        <f t="shared" ref="Q42" si="31">(I42*$K42)/1000</f>
        <v>0</v>
      </c>
      <c r="R42" s="133"/>
      <c r="S42" s="133"/>
      <c r="T42" s="133"/>
      <c r="U42" s="133"/>
      <c r="V42" s="133"/>
      <c r="W42" s="133"/>
      <c r="X42" s="133"/>
      <c r="Y42" s="133"/>
      <c r="Z42" s="133"/>
      <c r="AJ42" s="285"/>
      <c r="AK42" s="285"/>
      <c r="AL42" s="285"/>
      <c r="AM42" s="285"/>
      <c r="AN42" s="285"/>
    </row>
    <row r="43" spans="1:40" x14ac:dyDescent="0.35">
      <c r="A43" s="287"/>
      <c r="B43" s="347" t="s">
        <v>705</v>
      </c>
      <c r="C43" s="149">
        <f>'Inputs and eligible population'!I109</f>
        <v>1</v>
      </c>
      <c r="D43" s="128">
        <f>'Financial impact (cash)'!D16*$C43</f>
        <v>0</v>
      </c>
      <c r="E43" s="128">
        <f>'Financial impact (cash)'!E16*$C43</f>
        <v>0</v>
      </c>
      <c r="F43" s="128">
        <f>'Financial impact (cash)'!F16*$C43</f>
        <v>0</v>
      </c>
      <c r="G43" s="128">
        <f>'Financial impact (cash)'!G16*$C43</f>
        <v>0</v>
      </c>
      <c r="H43" s="128">
        <f>'Financial impact (cash)'!H16*$C43</f>
        <v>0</v>
      </c>
      <c r="I43" s="128">
        <f>'Financial impact (cash)'!I16*$C43</f>
        <v>0</v>
      </c>
      <c r="J43" s="217"/>
      <c r="K43" s="569">
        <f>'Unit costs'!$N$135</f>
        <v>222.92</v>
      </c>
      <c r="L43" s="291">
        <f t="shared" si="21"/>
        <v>0</v>
      </c>
      <c r="M43" s="291">
        <f t="shared" si="22"/>
        <v>0</v>
      </c>
      <c r="N43" s="291">
        <f t="shared" si="23"/>
        <v>0</v>
      </c>
      <c r="O43" s="291">
        <f t="shared" si="24"/>
        <v>0</v>
      </c>
      <c r="P43" s="291">
        <f t="shared" si="25"/>
        <v>0</v>
      </c>
      <c r="Q43" s="291">
        <f t="shared" si="26"/>
        <v>0</v>
      </c>
      <c r="R43" s="133"/>
      <c r="S43" s="133"/>
      <c r="T43" s="133"/>
      <c r="U43" s="133"/>
      <c r="V43" s="133"/>
      <c r="W43" s="133"/>
      <c r="X43" s="133"/>
      <c r="Y43" s="133"/>
      <c r="Z43" s="133"/>
      <c r="AJ43" s="285"/>
      <c r="AK43" s="285"/>
      <c r="AL43" s="285"/>
      <c r="AM43" s="285"/>
      <c r="AN43" s="285"/>
    </row>
    <row r="44" spans="1:40" x14ac:dyDescent="0.35">
      <c r="A44" s="287"/>
      <c r="B44" s="347" t="s">
        <v>749</v>
      </c>
      <c r="C44" s="149">
        <f>'Inputs and eligible population'!J109</f>
        <v>1</v>
      </c>
      <c r="D44" s="128">
        <f>'Financial impact (cash)'!D17*$C44</f>
        <v>0</v>
      </c>
      <c r="E44" s="128">
        <f>'Financial impact (cash)'!E17*$C44</f>
        <v>0</v>
      </c>
      <c r="F44" s="128">
        <f>'Financial impact (cash)'!F17*$C44</f>
        <v>0</v>
      </c>
      <c r="G44" s="128">
        <f>'Financial impact (cash)'!G17*$C44</f>
        <v>0</v>
      </c>
      <c r="H44" s="128">
        <f>'Financial impact (cash)'!H17*$C44</f>
        <v>0</v>
      </c>
      <c r="I44" s="128">
        <f>'Financial impact (cash)'!I17*$C44</f>
        <v>0</v>
      </c>
      <c r="J44" s="217"/>
      <c r="K44" s="569">
        <f>'Unit costs'!$N$135</f>
        <v>222.92</v>
      </c>
      <c r="L44" s="291">
        <f t="shared" si="21"/>
        <v>0</v>
      </c>
      <c r="M44" s="291">
        <f t="shared" si="22"/>
        <v>0</v>
      </c>
      <c r="N44" s="291">
        <f t="shared" si="23"/>
        <v>0</v>
      </c>
      <c r="O44" s="291">
        <f t="shared" si="24"/>
        <v>0</v>
      </c>
      <c r="P44" s="291">
        <f t="shared" si="25"/>
        <v>0</v>
      </c>
      <c r="Q44" s="291">
        <f t="shared" si="26"/>
        <v>0</v>
      </c>
      <c r="R44" s="133"/>
      <c r="S44" s="133"/>
      <c r="T44" s="133"/>
      <c r="U44" s="133"/>
      <c r="V44" s="133"/>
      <c r="W44" s="133"/>
      <c r="X44" s="133"/>
      <c r="Y44" s="133"/>
      <c r="Z44" s="133"/>
      <c r="AJ44" s="285"/>
      <c r="AK44" s="285"/>
      <c r="AL44" s="285"/>
      <c r="AM44" s="285"/>
      <c r="AN44" s="285"/>
    </row>
    <row r="45" spans="1:40" x14ac:dyDescent="0.35">
      <c r="A45" s="287"/>
      <c r="B45" s="347" t="s">
        <v>711</v>
      </c>
      <c r="C45" s="149">
        <f>'Inputs and eligible population'!K109</f>
        <v>1</v>
      </c>
      <c r="D45" s="128">
        <f>'Financial impact (cash)'!D18*$C45</f>
        <v>0</v>
      </c>
      <c r="E45" s="128">
        <f>'Financial impact (cash)'!E18*$C45</f>
        <v>0</v>
      </c>
      <c r="F45" s="128">
        <f>'Financial impact (cash)'!F18*$C45</f>
        <v>0</v>
      </c>
      <c r="G45" s="128">
        <f>'Financial impact (cash)'!G18*$C45</f>
        <v>0</v>
      </c>
      <c r="H45" s="128">
        <f>'Financial impact (cash)'!H18*$C45</f>
        <v>0</v>
      </c>
      <c r="I45" s="128">
        <f>'Financial impact (cash)'!I18*$C45</f>
        <v>0</v>
      </c>
      <c r="J45" s="217"/>
      <c r="K45" s="569">
        <f>'Unit costs'!$N$135</f>
        <v>222.92</v>
      </c>
      <c r="L45" s="291">
        <f t="shared" si="21"/>
        <v>0</v>
      </c>
      <c r="M45" s="291">
        <f t="shared" si="22"/>
        <v>0</v>
      </c>
      <c r="N45" s="291">
        <f t="shared" si="23"/>
        <v>0</v>
      </c>
      <c r="O45" s="291">
        <f t="shared" si="24"/>
        <v>0</v>
      </c>
      <c r="P45" s="291">
        <f t="shared" si="25"/>
        <v>0</v>
      </c>
      <c r="Q45" s="291">
        <f t="shared" si="26"/>
        <v>0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5"/>
      <c r="AK45" s="285"/>
      <c r="AL45" s="285"/>
      <c r="AM45" s="285"/>
      <c r="AN45" s="285"/>
    </row>
    <row r="46" spans="1:40" x14ac:dyDescent="0.35">
      <c r="A46" s="287"/>
      <c r="B46" s="347" t="s">
        <v>1101</v>
      </c>
      <c r="C46" s="149">
        <f>'Inputs and eligible population'!L109</f>
        <v>2</v>
      </c>
      <c r="D46" s="128">
        <f>'Financial impact (cash)'!D19*$C46</f>
        <v>0</v>
      </c>
      <c r="E46" s="128">
        <f>'Financial impact (cash)'!E19*$C46</f>
        <v>0</v>
      </c>
      <c r="F46" s="128">
        <f>'Financial impact (cash)'!F19*$C46</f>
        <v>0</v>
      </c>
      <c r="G46" s="128">
        <f>'Financial impact (cash)'!G19*$C46</f>
        <v>0</v>
      </c>
      <c r="H46" s="128">
        <f>'Financial impact (cash)'!H19*$C46</f>
        <v>0</v>
      </c>
      <c r="I46" s="128">
        <f>'Financial impact (cash)'!I19*$C46</f>
        <v>0</v>
      </c>
      <c r="J46" s="217"/>
      <c r="K46" s="569">
        <f>'Unit costs'!$N$135</f>
        <v>222.92</v>
      </c>
      <c r="L46" s="291">
        <f t="shared" si="21"/>
        <v>0</v>
      </c>
      <c r="M46" s="291">
        <f t="shared" si="22"/>
        <v>0</v>
      </c>
      <c r="N46" s="291">
        <f t="shared" si="23"/>
        <v>0</v>
      </c>
      <c r="O46" s="291">
        <f t="shared" si="24"/>
        <v>0</v>
      </c>
      <c r="P46" s="291">
        <f t="shared" si="25"/>
        <v>0</v>
      </c>
      <c r="Q46" s="291">
        <f t="shared" si="26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5"/>
      <c r="AK46" s="285"/>
      <c r="AL46" s="285"/>
      <c r="AM46" s="285"/>
      <c r="AN46" s="285"/>
    </row>
    <row r="47" spans="1:40" x14ac:dyDescent="0.35">
      <c r="A47" s="287"/>
      <c r="B47" s="347" t="s">
        <v>714</v>
      </c>
      <c r="C47" s="149">
        <f>'Inputs and eligible population'!$M$109</f>
        <v>2</v>
      </c>
      <c r="D47" s="128">
        <f>'Financial impact (cash)'!D20*$C47</f>
        <v>0</v>
      </c>
      <c r="E47" s="128">
        <f>'Financial impact (cash)'!E20*$C47</f>
        <v>0</v>
      </c>
      <c r="F47" s="128">
        <f>'Financial impact (cash)'!F20*$C47</f>
        <v>0</v>
      </c>
      <c r="G47" s="128">
        <f>'Financial impact (cash)'!G20*$C47</f>
        <v>0</v>
      </c>
      <c r="H47" s="128">
        <f>'Financial impact (cash)'!H20*$C47</f>
        <v>0</v>
      </c>
      <c r="I47" s="128">
        <f>'Financial impact (cash)'!I20*$C47</f>
        <v>0</v>
      </c>
      <c r="J47" s="217"/>
      <c r="K47" s="569">
        <f>'Unit costs'!$N$135</f>
        <v>222.92</v>
      </c>
      <c r="L47" s="291">
        <f t="shared" si="21"/>
        <v>0</v>
      </c>
      <c r="M47" s="291">
        <f t="shared" si="22"/>
        <v>0</v>
      </c>
      <c r="N47" s="291">
        <f t="shared" si="23"/>
        <v>0</v>
      </c>
      <c r="O47" s="291">
        <f t="shared" si="24"/>
        <v>0</v>
      </c>
      <c r="P47" s="291">
        <f t="shared" si="25"/>
        <v>0</v>
      </c>
      <c r="Q47" s="291">
        <f t="shared" si="26"/>
        <v>0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5"/>
      <c r="AK47" s="285"/>
      <c r="AL47" s="285"/>
      <c r="AM47" s="285"/>
      <c r="AN47" s="285"/>
    </row>
    <row r="48" spans="1:40" x14ac:dyDescent="0.35">
      <c r="A48" s="287"/>
      <c r="B48" s="347" t="s">
        <v>717</v>
      </c>
      <c r="C48" s="149">
        <f>'Inputs and eligible population'!$N$109</f>
        <v>1</v>
      </c>
      <c r="D48" s="128">
        <f>'Financial impact (cash)'!D21*$C48</f>
        <v>0</v>
      </c>
      <c r="E48" s="128">
        <f>'Financial impact (cash)'!E21*$C48</f>
        <v>0</v>
      </c>
      <c r="F48" s="128">
        <f>'Financial impact (cash)'!F21*$C48</f>
        <v>0</v>
      </c>
      <c r="G48" s="128">
        <f>'Financial impact (cash)'!G21*$C48</f>
        <v>0</v>
      </c>
      <c r="H48" s="128">
        <f>'Financial impact (cash)'!H21*$C48</f>
        <v>0</v>
      </c>
      <c r="I48" s="128">
        <f>'Financial impact (cash)'!I21*$C48</f>
        <v>0</v>
      </c>
      <c r="J48" s="217"/>
      <c r="K48" s="569">
        <f>'Unit costs'!$N$135</f>
        <v>222.92</v>
      </c>
      <c r="L48" s="291">
        <f t="shared" si="21"/>
        <v>0</v>
      </c>
      <c r="M48" s="291">
        <f t="shared" si="22"/>
        <v>0</v>
      </c>
      <c r="N48" s="291">
        <f t="shared" si="23"/>
        <v>0</v>
      </c>
      <c r="O48" s="291">
        <f t="shared" si="24"/>
        <v>0</v>
      </c>
      <c r="P48" s="291">
        <f t="shared" si="25"/>
        <v>0</v>
      </c>
      <c r="Q48" s="291">
        <f t="shared" si="26"/>
        <v>0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5"/>
      <c r="AK48" s="285"/>
      <c r="AL48" s="285"/>
      <c r="AM48" s="285"/>
      <c r="AN48" s="285"/>
    </row>
    <row r="49" spans="1:40" x14ac:dyDescent="0.35">
      <c r="A49" s="287"/>
      <c r="B49" s="347" t="s">
        <v>719</v>
      </c>
      <c r="C49" s="149">
        <f>'Inputs and eligible population'!$O$109</f>
        <v>1</v>
      </c>
      <c r="D49" s="128">
        <f>'Financial impact (cash)'!D22*$C49</f>
        <v>0</v>
      </c>
      <c r="E49" s="128">
        <f>'Financial impact (cash)'!E22*$C49</f>
        <v>0</v>
      </c>
      <c r="F49" s="128">
        <f>'Financial impact (cash)'!F22*$C49</f>
        <v>0</v>
      </c>
      <c r="G49" s="128">
        <f>'Financial impact (cash)'!G22*$C49</f>
        <v>0</v>
      </c>
      <c r="H49" s="128">
        <f>'Financial impact (cash)'!H22*$C49</f>
        <v>0</v>
      </c>
      <c r="I49" s="128">
        <f>'Financial impact (cash)'!I22*$C49</f>
        <v>0</v>
      </c>
      <c r="J49" s="217"/>
      <c r="K49" s="569">
        <f>'Unit costs'!$N$135</f>
        <v>222.92</v>
      </c>
      <c r="L49" s="291">
        <f t="shared" si="21"/>
        <v>0</v>
      </c>
      <c r="M49" s="291">
        <f t="shared" si="22"/>
        <v>0</v>
      </c>
      <c r="N49" s="291">
        <f t="shared" si="23"/>
        <v>0</v>
      </c>
      <c r="O49" s="291">
        <f t="shared" si="24"/>
        <v>0</v>
      </c>
      <c r="P49" s="291">
        <f t="shared" si="25"/>
        <v>0</v>
      </c>
      <c r="Q49" s="291">
        <f t="shared" si="26"/>
        <v>0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5"/>
      <c r="AK49" s="285"/>
      <c r="AL49" s="285"/>
      <c r="AM49" s="285"/>
      <c r="AN49" s="285"/>
    </row>
    <row r="50" spans="1:40" x14ac:dyDescent="0.35">
      <c r="A50" s="287"/>
      <c r="B50" s="347" t="s">
        <v>721</v>
      </c>
      <c r="C50" s="149">
        <f>'Inputs and eligible population'!$P$109</f>
        <v>1</v>
      </c>
      <c r="D50" s="128">
        <f>'Financial impact (cash)'!D23*$C50</f>
        <v>0</v>
      </c>
      <c r="E50" s="128">
        <f>'Financial impact (cash)'!E23*$C50</f>
        <v>0</v>
      </c>
      <c r="F50" s="128">
        <f>'Financial impact (cash)'!F23*$C50</f>
        <v>0</v>
      </c>
      <c r="G50" s="128">
        <f>'Financial impact (cash)'!G23*$C50</f>
        <v>0</v>
      </c>
      <c r="H50" s="128">
        <f>'Financial impact (cash)'!H23*$C50</f>
        <v>0</v>
      </c>
      <c r="I50" s="128">
        <f>'Financial impact (cash)'!I23*$C50</f>
        <v>0</v>
      </c>
      <c r="J50" s="217"/>
      <c r="K50" s="569">
        <f>'Unit costs'!$N$135</f>
        <v>222.92</v>
      </c>
      <c r="L50" s="291">
        <f t="shared" si="21"/>
        <v>0</v>
      </c>
      <c r="M50" s="291">
        <f t="shared" si="22"/>
        <v>0</v>
      </c>
      <c r="N50" s="291">
        <f t="shared" si="23"/>
        <v>0</v>
      </c>
      <c r="O50" s="291">
        <f t="shared" si="24"/>
        <v>0</v>
      </c>
      <c r="P50" s="291">
        <f t="shared" si="25"/>
        <v>0</v>
      </c>
      <c r="Q50" s="291">
        <f t="shared" si="26"/>
        <v>0</v>
      </c>
      <c r="R50" s="133"/>
      <c r="S50" s="133"/>
      <c r="T50" s="133"/>
      <c r="U50" s="133"/>
      <c r="V50" s="133"/>
      <c r="W50" s="133"/>
      <c r="X50" s="133"/>
      <c r="Y50" s="133"/>
      <c r="Z50" s="133"/>
      <c r="AJ50" s="285"/>
      <c r="AK50" s="285"/>
      <c r="AL50" s="285"/>
      <c r="AM50" s="285"/>
      <c r="AN50" s="285"/>
    </row>
    <row r="51" spans="1:40" x14ac:dyDescent="0.35">
      <c r="A51" s="287"/>
      <c r="B51" s="347" t="s">
        <v>723</v>
      </c>
      <c r="C51" s="149">
        <f>'Inputs and eligible population'!$Q$109</f>
        <v>1</v>
      </c>
      <c r="D51" s="128">
        <f>'Financial impact (cash)'!D24*$C51</f>
        <v>0</v>
      </c>
      <c r="E51" s="128">
        <f>'Financial impact (cash)'!E24*$C51</f>
        <v>0</v>
      </c>
      <c r="F51" s="128">
        <f>'Financial impact (cash)'!F24*$C51</f>
        <v>0</v>
      </c>
      <c r="G51" s="128">
        <f>'Financial impact (cash)'!G24*$C51</f>
        <v>0</v>
      </c>
      <c r="H51" s="128">
        <f>'Financial impact (cash)'!H24*$C51</f>
        <v>0</v>
      </c>
      <c r="I51" s="128">
        <f>'Financial impact (cash)'!I24*$C51</f>
        <v>0</v>
      </c>
      <c r="J51" s="217"/>
      <c r="K51" s="569">
        <f>'Unit costs'!$N$135</f>
        <v>222.92</v>
      </c>
      <c r="L51" s="291">
        <f t="shared" si="21"/>
        <v>0</v>
      </c>
      <c r="M51" s="291">
        <f t="shared" si="22"/>
        <v>0</v>
      </c>
      <c r="N51" s="291">
        <f t="shared" si="23"/>
        <v>0</v>
      </c>
      <c r="O51" s="291">
        <f t="shared" si="24"/>
        <v>0</v>
      </c>
      <c r="P51" s="291">
        <f t="shared" si="25"/>
        <v>0</v>
      </c>
      <c r="Q51" s="291">
        <f t="shared" si="26"/>
        <v>0</v>
      </c>
      <c r="R51" s="133"/>
      <c r="S51" s="133"/>
      <c r="T51" s="133"/>
      <c r="U51" s="133"/>
      <c r="V51" s="133"/>
      <c r="W51" s="133"/>
      <c r="X51" s="133"/>
      <c r="Y51" s="133"/>
      <c r="Z51" s="133"/>
      <c r="AJ51" s="285"/>
      <c r="AK51" s="285"/>
      <c r="AL51" s="285"/>
      <c r="AM51" s="285"/>
      <c r="AN51" s="285"/>
    </row>
    <row r="52" spans="1:40" x14ac:dyDescent="0.35">
      <c r="A52" s="287"/>
      <c r="B52" s="347" t="s">
        <v>725</v>
      </c>
      <c r="C52" s="149">
        <f>'Inputs and eligible population'!$R$109</f>
        <v>1</v>
      </c>
      <c r="D52" s="128">
        <f>'Financial impact (cash)'!D25*$C52</f>
        <v>0</v>
      </c>
      <c r="E52" s="128">
        <f>'Financial impact (cash)'!E25*$C52</f>
        <v>0</v>
      </c>
      <c r="F52" s="128">
        <f>'Financial impact (cash)'!F25*$C52</f>
        <v>0</v>
      </c>
      <c r="G52" s="128">
        <f>'Financial impact (cash)'!G25*$C52</f>
        <v>0</v>
      </c>
      <c r="H52" s="128">
        <f>'Financial impact (cash)'!H25*$C52</f>
        <v>0</v>
      </c>
      <c r="I52" s="128">
        <f>'Financial impact (cash)'!I25*$C52</f>
        <v>0</v>
      </c>
      <c r="J52" s="217"/>
      <c r="K52" s="569">
        <f>'Unit costs'!$N$135</f>
        <v>222.92</v>
      </c>
      <c r="L52" s="291">
        <f t="shared" si="21"/>
        <v>0</v>
      </c>
      <c r="M52" s="291">
        <f t="shared" si="22"/>
        <v>0</v>
      </c>
      <c r="N52" s="291">
        <f t="shared" si="23"/>
        <v>0</v>
      </c>
      <c r="O52" s="291">
        <f t="shared" si="24"/>
        <v>0</v>
      </c>
      <c r="P52" s="291">
        <f t="shared" si="25"/>
        <v>0</v>
      </c>
      <c r="Q52" s="291">
        <f t="shared" si="26"/>
        <v>0</v>
      </c>
      <c r="R52" s="133"/>
      <c r="S52" s="133"/>
      <c r="T52" s="133"/>
      <c r="U52" s="133"/>
      <c r="V52" s="133"/>
      <c r="W52" s="133"/>
      <c r="X52" s="133"/>
      <c r="Y52" s="133"/>
      <c r="Z52" s="133"/>
      <c r="AJ52" s="285"/>
      <c r="AK52" s="285"/>
      <c r="AL52" s="285"/>
      <c r="AM52" s="285"/>
      <c r="AN52" s="285"/>
    </row>
    <row r="53" spans="1:40" x14ac:dyDescent="0.35">
      <c r="A53" s="287"/>
      <c r="B53" s="347" t="s">
        <v>727</v>
      </c>
      <c r="C53" s="149">
        <f>'Inputs and eligible population'!$S$109</f>
        <v>1</v>
      </c>
      <c r="D53" s="128">
        <f>'Financial impact (cash)'!D26*$C53</f>
        <v>0</v>
      </c>
      <c r="E53" s="128">
        <f>'Financial impact (cash)'!E26*$C53</f>
        <v>0</v>
      </c>
      <c r="F53" s="128">
        <f>'Financial impact (cash)'!F26*$C53</f>
        <v>0</v>
      </c>
      <c r="G53" s="128">
        <f>'Financial impact (cash)'!G26*$C53</f>
        <v>0</v>
      </c>
      <c r="H53" s="128">
        <f>'Financial impact (cash)'!H26*$C53</f>
        <v>0</v>
      </c>
      <c r="I53" s="128">
        <f>'Financial impact (cash)'!I26*$C53</f>
        <v>0</v>
      </c>
      <c r="J53" s="217"/>
      <c r="K53" s="569">
        <f>'Unit costs'!$N$135</f>
        <v>222.92</v>
      </c>
      <c r="L53" s="291">
        <f t="shared" si="21"/>
        <v>0</v>
      </c>
      <c r="M53" s="291">
        <f t="shared" si="22"/>
        <v>0</v>
      </c>
      <c r="N53" s="291">
        <f t="shared" si="23"/>
        <v>0</v>
      </c>
      <c r="O53" s="291">
        <f t="shared" si="24"/>
        <v>0</v>
      </c>
      <c r="P53" s="291">
        <f t="shared" si="25"/>
        <v>0</v>
      </c>
      <c r="Q53" s="291">
        <f t="shared" si="26"/>
        <v>0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5"/>
      <c r="AK53" s="285"/>
      <c r="AL53" s="285"/>
      <c r="AM53" s="285"/>
      <c r="AN53" s="285"/>
    </row>
    <row r="54" spans="1:40" x14ac:dyDescent="0.35">
      <c r="A54" s="287"/>
      <c r="B54" s="347" t="s">
        <v>729</v>
      </c>
      <c r="C54" s="149">
        <f>'Inputs and eligible population'!$T$109</f>
        <v>1</v>
      </c>
      <c r="D54" s="128">
        <f>'Financial impact (cash)'!D27*$C54</f>
        <v>0</v>
      </c>
      <c r="E54" s="128">
        <f>'Financial impact (cash)'!E27*$C54</f>
        <v>0</v>
      </c>
      <c r="F54" s="128">
        <f>'Financial impact (cash)'!F27*$C54</f>
        <v>0</v>
      </c>
      <c r="G54" s="128">
        <f>'Financial impact (cash)'!G27*$C54</f>
        <v>0</v>
      </c>
      <c r="H54" s="128">
        <f>'Financial impact (cash)'!H27*$C54</f>
        <v>0</v>
      </c>
      <c r="I54" s="128">
        <f>'Financial impact (cash)'!I27*$C54</f>
        <v>0</v>
      </c>
      <c r="J54" s="217"/>
      <c r="K54" s="569">
        <f>'Unit costs'!$N$135</f>
        <v>222.92</v>
      </c>
      <c r="L54" s="291">
        <f t="shared" si="21"/>
        <v>0</v>
      </c>
      <c r="M54" s="291">
        <f t="shared" si="22"/>
        <v>0</v>
      </c>
      <c r="N54" s="291">
        <f t="shared" si="23"/>
        <v>0</v>
      </c>
      <c r="O54" s="291">
        <f t="shared" si="24"/>
        <v>0</v>
      </c>
      <c r="P54" s="291">
        <f t="shared" si="25"/>
        <v>0</v>
      </c>
      <c r="Q54" s="291">
        <f t="shared" si="26"/>
        <v>0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5"/>
      <c r="AK54" s="285"/>
      <c r="AL54" s="285"/>
      <c r="AM54" s="285"/>
      <c r="AN54" s="285"/>
    </row>
    <row r="55" spans="1:40" x14ac:dyDescent="0.35">
      <c r="A55" s="287"/>
      <c r="B55" s="347" t="s">
        <v>731</v>
      </c>
      <c r="C55" s="149">
        <f>'Inputs and eligible population'!$U$109</f>
        <v>1</v>
      </c>
      <c r="D55" s="128">
        <f>'Financial impact (cash)'!D28*$C55</f>
        <v>0</v>
      </c>
      <c r="E55" s="128">
        <f>'Financial impact (cash)'!E28*$C55</f>
        <v>0</v>
      </c>
      <c r="F55" s="128">
        <f>'Financial impact (cash)'!F28*$C55</f>
        <v>0</v>
      </c>
      <c r="G55" s="128">
        <f>'Financial impact (cash)'!G28*$C55</f>
        <v>0</v>
      </c>
      <c r="H55" s="128">
        <f>'Financial impact (cash)'!H28*$C55</f>
        <v>0</v>
      </c>
      <c r="I55" s="128">
        <f>'Financial impact (cash)'!I28*$C55</f>
        <v>0</v>
      </c>
      <c r="J55" s="217"/>
      <c r="K55" s="569">
        <f>'Unit costs'!$N$135</f>
        <v>222.92</v>
      </c>
      <c r="L55" s="291">
        <f t="shared" si="21"/>
        <v>0</v>
      </c>
      <c r="M55" s="291">
        <f t="shared" si="22"/>
        <v>0</v>
      </c>
      <c r="N55" s="291">
        <f t="shared" si="23"/>
        <v>0</v>
      </c>
      <c r="O55" s="291">
        <f t="shared" si="24"/>
        <v>0</v>
      </c>
      <c r="P55" s="291">
        <f t="shared" si="25"/>
        <v>0</v>
      </c>
      <c r="Q55" s="291">
        <f t="shared" si="26"/>
        <v>0</v>
      </c>
      <c r="R55" s="133"/>
      <c r="S55" s="133"/>
      <c r="T55" s="133"/>
      <c r="U55" s="133"/>
      <c r="V55" s="133"/>
      <c r="W55" s="133"/>
      <c r="X55" s="133"/>
      <c r="Y55" s="133"/>
      <c r="Z55" s="133"/>
      <c r="AJ55" s="285"/>
      <c r="AK55" s="285"/>
      <c r="AL55" s="285"/>
      <c r="AM55" s="285"/>
      <c r="AN55" s="285"/>
    </row>
    <row r="56" spans="1:40" x14ac:dyDescent="0.35">
      <c r="A56" s="287"/>
      <c r="B56" s="347" t="s">
        <v>733</v>
      </c>
      <c r="C56" s="149">
        <f>'Inputs and eligible population'!$V$109</f>
        <v>2</v>
      </c>
      <c r="D56" s="128">
        <f>'Financial impact (cash)'!D29*$C56</f>
        <v>0</v>
      </c>
      <c r="E56" s="128">
        <f>'Financial impact (cash)'!E29*$C56</f>
        <v>0</v>
      </c>
      <c r="F56" s="128">
        <f>'Financial impact (cash)'!F29*$C56</f>
        <v>0</v>
      </c>
      <c r="G56" s="128">
        <f>'Financial impact (cash)'!G29*$C56</f>
        <v>0</v>
      </c>
      <c r="H56" s="128">
        <f>'Financial impact (cash)'!H29*$C56</f>
        <v>0</v>
      </c>
      <c r="I56" s="128">
        <f>'Financial impact (cash)'!I29*$C56</f>
        <v>0</v>
      </c>
      <c r="J56" s="217"/>
      <c r="K56" s="569">
        <f>'Unit costs'!$N$135</f>
        <v>222.92</v>
      </c>
      <c r="L56" s="291">
        <f t="shared" si="21"/>
        <v>0</v>
      </c>
      <c r="M56" s="291">
        <f t="shared" si="22"/>
        <v>0</v>
      </c>
      <c r="N56" s="291">
        <f t="shared" si="23"/>
        <v>0</v>
      </c>
      <c r="O56" s="291">
        <f t="shared" si="24"/>
        <v>0</v>
      </c>
      <c r="P56" s="291">
        <f t="shared" si="25"/>
        <v>0</v>
      </c>
      <c r="Q56" s="291">
        <f t="shared" si="26"/>
        <v>0</v>
      </c>
      <c r="R56" s="133"/>
      <c r="S56" s="133"/>
      <c r="T56" s="133"/>
      <c r="U56" s="133"/>
      <c r="V56" s="133"/>
      <c r="W56" s="133"/>
      <c r="X56" s="133"/>
      <c r="Y56" s="133"/>
      <c r="Z56" s="133"/>
      <c r="AJ56" s="285"/>
      <c r="AK56" s="285"/>
      <c r="AL56" s="285"/>
      <c r="AM56" s="285"/>
      <c r="AN56" s="285"/>
    </row>
    <row r="57" spans="1:40" x14ac:dyDescent="0.35">
      <c r="A57" s="287"/>
      <c r="B57" s="347" t="s">
        <v>735</v>
      </c>
      <c r="C57" s="149">
        <f>'Inputs and eligible population'!$W$109</f>
        <v>2</v>
      </c>
      <c r="D57" s="128">
        <f>'Financial impact (cash)'!D30*$C57</f>
        <v>0</v>
      </c>
      <c r="E57" s="128">
        <f>'Financial impact (cash)'!E30*$C57</f>
        <v>0</v>
      </c>
      <c r="F57" s="128">
        <f>'Financial impact (cash)'!F30*$C57</f>
        <v>0</v>
      </c>
      <c r="G57" s="128">
        <f>'Financial impact (cash)'!G30*$C57</f>
        <v>0</v>
      </c>
      <c r="H57" s="128">
        <f>'Financial impact (cash)'!H30*$C57</f>
        <v>0</v>
      </c>
      <c r="I57" s="128">
        <f>'Financial impact (cash)'!I30*$C57</f>
        <v>0</v>
      </c>
      <c r="J57" s="217"/>
      <c r="K57" s="569">
        <f>'Unit costs'!$N$135</f>
        <v>222.92</v>
      </c>
      <c r="L57" s="291">
        <f t="shared" si="21"/>
        <v>0</v>
      </c>
      <c r="M57" s="291">
        <f t="shared" si="22"/>
        <v>0</v>
      </c>
      <c r="N57" s="291">
        <f t="shared" si="23"/>
        <v>0</v>
      </c>
      <c r="O57" s="291">
        <f t="shared" si="24"/>
        <v>0</v>
      </c>
      <c r="P57" s="291">
        <f t="shared" si="25"/>
        <v>0</v>
      </c>
      <c r="Q57" s="291">
        <f t="shared" si="26"/>
        <v>0</v>
      </c>
      <c r="R57" s="133"/>
      <c r="S57" s="133"/>
      <c r="T57" s="133"/>
      <c r="U57" s="133"/>
      <c r="V57" s="133"/>
      <c r="W57" s="133"/>
      <c r="X57" s="133"/>
      <c r="Y57" s="133"/>
      <c r="Z57" s="133"/>
      <c r="AJ57" s="285"/>
      <c r="AK57" s="285"/>
      <c r="AL57" s="285"/>
      <c r="AM57" s="285"/>
      <c r="AN57" s="285"/>
    </row>
    <row r="58" spans="1:40" x14ac:dyDescent="0.35">
      <c r="A58" s="287"/>
      <c r="B58" s="347" t="s">
        <v>750</v>
      </c>
      <c r="C58" s="149">
        <f>'Inputs and eligible population'!$X$109</f>
        <v>1</v>
      </c>
      <c r="D58" s="128">
        <f>'Financial impact (cash)'!D31*$C58</f>
        <v>0</v>
      </c>
      <c r="E58" s="128">
        <f>'Financial impact (cash)'!E31*$C58</f>
        <v>0</v>
      </c>
      <c r="F58" s="128">
        <f>'Financial impact (cash)'!F31*$C58</f>
        <v>0</v>
      </c>
      <c r="G58" s="128">
        <f>'Financial impact (cash)'!G31*$C58</f>
        <v>0</v>
      </c>
      <c r="H58" s="128">
        <f>'Financial impact (cash)'!H31*$C58</f>
        <v>0</v>
      </c>
      <c r="I58" s="128">
        <f>'Financial impact (cash)'!I31*$C58</f>
        <v>0</v>
      </c>
      <c r="J58" s="217"/>
      <c r="K58" s="569">
        <f>'Unit costs'!$N$135</f>
        <v>222.92</v>
      </c>
      <c r="L58" s="291">
        <f t="shared" si="21"/>
        <v>0</v>
      </c>
      <c r="M58" s="291">
        <f t="shared" si="22"/>
        <v>0</v>
      </c>
      <c r="N58" s="291">
        <f t="shared" si="23"/>
        <v>0</v>
      </c>
      <c r="O58" s="291">
        <f t="shared" si="24"/>
        <v>0</v>
      </c>
      <c r="P58" s="291">
        <f t="shared" si="25"/>
        <v>0</v>
      </c>
      <c r="Q58" s="291">
        <f t="shared" si="26"/>
        <v>0</v>
      </c>
      <c r="R58" s="133"/>
      <c r="S58" s="133"/>
      <c r="T58" s="133"/>
      <c r="U58" s="133"/>
      <c r="V58" s="133"/>
      <c r="W58" s="133"/>
      <c r="X58" s="133"/>
      <c r="Y58" s="133"/>
      <c r="Z58" s="133"/>
      <c r="AJ58" s="285"/>
      <c r="AK58" s="285"/>
      <c r="AL58" s="285"/>
      <c r="AM58" s="285"/>
      <c r="AN58" s="285"/>
    </row>
    <row r="59" spans="1:40" x14ac:dyDescent="0.35">
      <c r="A59" s="287"/>
      <c r="B59" s="279"/>
      <c r="C59" s="282"/>
      <c r="D59" s="185">
        <f t="shared" ref="D59:I59" si="32">SUM(D40:D58)</f>
        <v>0</v>
      </c>
      <c r="E59" s="185">
        <f t="shared" si="32"/>
        <v>0</v>
      </c>
      <c r="F59" s="185">
        <f t="shared" si="32"/>
        <v>0</v>
      </c>
      <c r="G59" s="185">
        <f t="shared" si="32"/>
        <v>0</v>
      </c>
      <c r="H59" s="185">
        <f t="shared" si="32"/>
        <v>0</v>
      </c>
      <c r="I59" s="185">
        <f t="shared" si="32"/>
        <v>0</v>
      </c>
      <c r="J59" s="217"/>
      <c r="K59" s="217"/>
      <c r="L59" s="292">
        <f>SUM(L40:L58)</f>
        <v>0</v>
      </c>
      <c r="M59" s="292">
        <f t="shared" ref="M59:Q59" si="33">SUM(M40:M58)</f>
        <v>0</v>
      </c>
      <c r="N59" s="292">
        <f t="shared" si="33"/>
        <v>0</v>
      </c>
      <c r="O59" s="292">
        <f t="shared" si="33"/>
        <v>0</v>
      </c>
      <c r="P59" s="292">
        <f t="shared" si="33"/>
        <v>0</v>
      </c>
      <c r="Q59" s="292">
        <f t="shared" si="33"/>
        <v>0</v>
      </c>
      <c r="R59" s="133"/>
      <c r="S59" s="133"/>
      <c r="T59" s="133"/>
      <c r="U59" s="133"/>
      <c r="V59" s="133"/>
      <c r="W59" s="133"/>
      <c r="X59" s="133"/>
      <c r="Y59" s="133"/>
      <c r="Z59" s="133"/>
      <c r="AJ59" s="285"/>
      <c r="AK59" s="285"/>
      <c r="AL59" s="285"/>
      <c r="AM59" s="285"/>
      <c r="AN59" s="285"/>
    </row>
    <row r="60" spans="1:40" x14ac:dyDescent="0.35">
      <c r="A60" s="287"/>
      <c r="B60" s="307"/>
      <c r="C60" s="256"/>
      <c r="D60" s="284" t="s">
        <v>970</v>
      </c>
      <c r="E60" s="185">
        <f>E59-$D$59</f>
        <v>0</v>
      </c>
      <c r="F60" s="185">
        <f>F59-$D$59</f>
        <v>0</v>
      </c>
      <c r="G60" s="185">
        <f>G59-$D$59</f>
        <v>0</v>
      </c>
      <c r="H60" s="185">
        <f>H59-$D$59</f>
        <v>0</v>
      </c>
      <c r="I60" s="185">
        <f>I59-$D$59</f>
        <v>0</v>
      </c>
      <c r="J60" s="217"/>
      <c r="K60" s="217"/>
      <c r="L60" s="217"/>
      <c r="M60" s="292">
        <f>M59-$L59</f>
        <v>0</v>
      </c>
      <c r="N60" s="292">
        <f>N59-$L59</f>
        <v>0</v>
      </c>
      <c r="O60" s="292">
        <f>O59-$L59</f>
        <v>0</v>
      </c>
      <c r="P60" s="292">
        <f>P59-$L59</f>
        <v>0</v>
      </c>
      <c r="Q60" s="292">
        <f>Q59-$L59</f>
        <v>0</v>
      </c>
      <c r="R60" s="133"/>
      <c r="S60" s="772"/>
      <c r="T60" s="133"/>
      <c r="U60" s="133"/>
      <c r="V60" s="133"/>
      <c r="W60" s="133"/>
      <c r="X60" s="133"/>
      <c r="Y60" s="133"/>
      <c r="Z60" s="133"/>
      <c r="AJ60" s="285"/>
      <c r="AK60" s="285"/>
      <c r="AL60" s="285"/>
      <c r="AM60" s="285"/>
      <c r="AN60" s="285"/>
    </row>
    <row r="61" spans="1:40" x14ac:dyDescent="0.35">
      <c r="A61" s="287"/>
      <c r="B61" s="287"/>
      <c r="C61" s="287"/>
      <c r="D61" s="563"/>
      <c r="E61" s="564"/>
      <c r="F61" s="564"/>
      <c r="G61" s="564"/>
      <c r="H61" s="564"/>
      <c r="I61" s="564"/>
      <c r="J61" s="217"/>
      <c r="K61" s="217"/>
      <c r="L61" s="217"/>
      <c r="M61" s="217"/>
      <c r="N61" s="217"/>
      <c r="O61" s="217"/>
      <c r="P61" s="217"/>
      <c r="Q61" s="217"/>
      <c r="R61" s="133"/>
      <c r="S61" s="133"/>
      <c r="T61" s="133"/>
      <c r="U61" s="133"/>
      <c r="V61" s="133"/>
      <c r="W61" s="133"/>
      <c r="X61" s="133"/>
      <c r="Y61" s="133"/>
      <c r="Z61" s="133"/>
      <c r="AJ61" s="285"/>
      <c r="AK61" s="285"/>
      <c r="AL61" s="285"/>
      <c r="AM61" s="285"/>
      <c r="AN61" s="285"/>
    </row>
    <row r="62" spans="1:40" x14ac:dyDescent="0.35">
      <c r="A62" s="294"/>
      <c r="B62" s="319" t="s">
        <v>972</v>
      </c>
      <c r="C62" s="295"/>
      <c r="D62" s="295"/>
      <c r="E62" s="296"/>
      <c r="F62" s="297"/>
      <c r="G62" s="298"/>
      <c r="H62" s="298"/>
      <c r="I62" s="432"/>
      <c r="J62" s="433"/>
      <c r="K62" s="294"/>
      <c r="L62" s="294"/>
      <c r="M62" s="294"/>
      <c r="N62" s="294"/>
      <c r="O62" s="294"/>
      <c r="P62" s="294"/>
      <c r="Q62" s="213"/>
      <c r="R62" s="133"/>
      <c r="S62" s="133"/>
      <c r="V62" s="133"/>
    </row>
    <row r="63" spans="1:40" x14ac:dyDescent="0.35">
      <c r="A63" s="302"/>
      <c r="B63" s="385" t="s">
        <v>973</v>
      </c>
      <c r="C63" s="386"/>
      <c r="D63" s="386"/>
      <c r="E63" s="386"/>
      <c r="F63" s="386"/>
      <c r="G63" s="386"/>
      <c r="H63" s="386"/>
      <c r="I63" s="386"/>
      <c r="J63" s="427"/>
      <c r="K63" s="213"/>
      <c r="L63" s="213"/>
      <c r="M63" s="213"/>
      <c r="N63" s="213"/>
      <c r="O63" s="213"/>
      <c r="P63" s="213"/>
      <c r="Q63" s="213"/>
      <c r="R63" s="133"/>
      <c r="S63" s="133"/>
      <c r="T63" s="133"/>
      <c r="U63" s="133"/>
      <c r="V63" s="133"/>
      <c r="W63" s="133"/>
      <c r="X63" s="133"/>
      <c r="Y63" s="133"/>
      <c r="Z63" s="133"/>
      <c r="AJ63" s="285"/>
      <c r="AK63" s="285"/>
      <c r="AL63" s="285"/>
      <c r="AM63" s="285"/>
      <c r="AN63" s="285"/>
    </row>
    <row r="64" spans="1:40" ht="43.5" x14ac:dyDescent="0.35">
      <c r="A64" s="302"/>
      <c r="B64" s="317" t="s">
        <v>876</v>
      </c>
      <c r="C64" s="523"/>
      <c r="D64" s="421" t="s">
        <v>957</v>
      </c>
      <c r="E64" s="255" t="s">
        <v>685</v>
      </c>
      <c r="F64" s="255" t="s">
        <v>686</v>
      </c>
      <c r="G64" s="164" t="s">
        <v>914</v>
      </c>
      <c r="H64" s="164" t="s">
        <v>915</v>
      </c>
      <c r="I64" s="255" t="s">
        <v>916</v>
      </c>
      <c r="J64" s="427"/>
      <c r="K64" s="213"/>
      <c r="L64" s="213"/>
      <c r="M64" s="213"/>
      <c r="N64" s="213"/>
      <c r="O64" s="213"/>
      <c r="P64" s="213"/>
      <c r="Q64" s="213"/>
      <c r="R64" s="133"/>
      <c r="S64" s="133"/>
      <c r="T64" s="133"/>
      <c r="U64" s="133"/>
      <c r="V64" s="133"/>
      <c r="W64" s="133"/>
      <c r="X64" s="133"/>
      <c r="Y64" s="133"/>
      <c r="Z64" s="133"/>
      <c r="AJ64" s="285"/>
      <c r="AK64" s="285"/>
      <c r="AL64" s="285"/>
      <c r="AM64" s="285"/>
      <c r="AN64" s="285"/>
    </row>
    <row r="65" spans="1:40" x14ac:dyDescent="0.35">
      <c r="A65" s="302"/>
      <c r="B65" s="522" t="s">
        <v>8</v>
      </c>
      <c r="C65" s="507"/>
      <c r="D65" s="128">
        <f>D72</f>
        <v>0</v>
      </c>
      <c r="E65" s="128">
        <f t="shared" ref="E65:I66" si="34">E72</f>
        <v>0</v>
      </c>
      <c r="F65" s="128">
        <f t="shared" si="34"/>
        <v>0</v>
      </c>
      <c r="G65" s="128">
        <f t="shared" si="34"/>
        <v>0</v>
      </c>
      <c r="H65" s="128">
        <f t="shared" si="34"/>
        <v>0</v>
      </c>
      <c r="I65" s="128">
        <f t="shared" si="34"/>
        <v>0</v>
      </c>
      <c r="J65" s="427"/>
      <c r="K65" s="213"/>
      <c r="L65" s="213"/>
      <c r="M65" s="213"/>
      <c r="N65" s="213"/>
      <c r="O65" s="213"/>
      <c r="P65" s="213"/>
      <c r="Q65" s="213"/>
      <c r="R65" s="133"/>
      <c r="S65" s="133"/>
      <c r="T65" s="133"/>
      <c r="U65" s="133"/>
      <c r="V65" s="133"/>
      <c r="W65" s="133"/>
      <c r="X65" s="133"/>
      <c r="Y65" s="133"/>
      <c r="Z65" s="133"/>
      <c r="AJ65" s="285"/>
      <c r="AK65" s="285"/>
      <c r="AL65" s="285"/>
      <c r="AM65" s="285"/>
      <c r="AN65" s="285"/>
    </row>
    <row r="66" spans="1:40" x14ac:dyDescent="0.35">
      <c r="A66" s="302"/>
      <c r="B66" s="522" t="s">
        <v>883</v>
      </c>
      <c r="C66" s="507"/>
      <c r="D66" s="128">
        <f>D73</f>
        <v>0</v>
      </c>
      <c r="E66" s="128">
        <f t="shared" si="34"/>
        <v>0</v>
      </c>
      <c r="F66" s="128">
        <f t="shared" si="34"/>
        <v>0</v>
      </c>
      <c r="G66" s="128">
        <f t="shared" si="34"/>
        <v>0</v>
      </c>
      <c r="H66" s="128">
        <f t="shared" si="34"/>
        <v>0</v>
      </c>
      <c r="I66" s="128">
        <f t="shared" si="34"/>
        <v>0</v>
      </c>
      <c r="J66" s="427"/>
      <c r="K66" s="213"/>
      <c r="L66" s="213"/>
      <c r="M66" s="213"/>
      <c r="N66" s="213"/>
      <c r="O66" s="213"/>
      <c r="P66" s="213"/>
      <c r="Q66" s="213"/>
      <c r="R66" s="133"/>
      <c r="S66" s="133"/>
      <c r="T66" s="133"/>
      <c r="U66" s="133"/>
      <c r="V66" s="133"/>
      <c r="W66" s="133"/>
      <c r="X66" s="133"/>
      <c r="Y66" s="133"/>
      <c r="Z66" s="133"/>
      <c r="AJ66" s="285"/>
      <c r="AK66" s="285"/>
      <c r="AL66" s="285"/>
      <c r="AM66" s="285"/>
      <c r="AN66" s="285"/>
    </row>
    <row r="67" spans="1:40" x14ac:dyDescent="0.35">
      <c r="A67" s="302"/>
      <c r="B67" s="521"/>
      <c r="C67" s="321"/>
      <c r="D67" s="185">
        <f t="shared" ref="D67:I67" si="35">SUM(D65:D66)</f>
        <v>0</v>
      </c>
      <c r="E67" s="185">
        <f t="shared" si="35"/>
        <v>0</v>
      </c>
      <c r="F67" s="185">
        <f t="shared" si="35"/>
        <v>0</v>
      </c>
      <c r="G67" s="185">
        <f t="shared" si="35"/>
        <v>0</v>
      </c>
      <c r="H67" s="185">
        <f t="shared" si="35"/>
        <v>0</v>
      </c>
      <c r="I67" s="185">
        <f t="shared" si="35"/>
        <v>0</v>
      </c>
      <c r="J67" s="427"/>
      <c r="K67" s="213"/>
      <c r="L67" s="213"/>
      <c r="M67" s="213"/>
      <c r="N67" s="213"/>
      <c r="O67" s="213"/>
      <c r="P67" s="213"/>
      <c r="Q67" s="213"/>
      <c r="R67" s="133"/>
      <c r="S67" s="133"/>
      <c r="T67" s="133"/>
      <c r="U67" s="133"/>
      <c r="V67" s="133"/>
      <c r="W67" s="133"/>
      <c r="X67" s="133"/>
      <c r="Y67" s="133"/>
      <c r="Z67" s="133"/>
      <c r="AJ67" s="285"/>
      <c r="AK67" s="285"/>
      <c r="AL67" s="285"/>
      <c r="AM67" s="285"/>
      <c r="AN67" s="285"/>
    </row>
    <row r="68" spans="1:40" x14ac:dyDescent="0.35">
      <c r="A68" s="302"/>
      <c r="B68" s="256"/>
      <c r="C68" s="256"/>
      <c r="D68" s="284" t="s">
        <v>974</v>
      </c>
      <c r="E68" s="185">
        <f>E67-$D$67</f>
        <v>0</v>
      </c>
      <c r="F68" s="185">
        <f>F67-$D$67</f>
        <v>0</v>
      </c>
      <c r="G68" s="185">
        <f>G67-$D$67</f>
        <v>0</v>
      </c>
      <c r="H68" s="185">
        <f>H67-$D$67</f>
        <v>0</v>
      </c>
      <c r="I68" s="185">
        <f>I67-$D$67</f>
        <v>0</v>
      </c>
      <c r="J68" s="427"/>
      <c r="K68" s="213"/>
      <c r="L68" s="213"/>
      <c r="M68" s="213"/>
      <c r="N68" s="213"/>
      <c r="O68" s="213"/>
      <c r="P68" s="213"/>
      <c r="Q68" s="213"/>
      <c r="R68" s="133"/>
      <c r="S68" s="133"/>
      <c r="T68" s="133"/>
      <c r="U68" s="133"/>
      <c r="V68" s="133"/>
      <c r="W68" s="133"/>
      <c r="X68" s="133"/>
      <c r="Y68" s="133"/>
      <c r="Z68" s="133"/>
      <c r="AJ68" s="285"/>
      <c r="AK68" s="285"/>
      <c r="AL68" s="285"/>
      <c r="AM68" s="285"/>
      <c r="AN68" s="285"/>
    </row>
    <row r="69" spans="1:40" x14ac:dyDescent="0.35">
      <c r="A69" s="294"/>
      <c r="B69" s="320"/>
      <c r="C69" s="300"/>
      <c r="D69" s="299"/>
      <c r="E69" s="300"/>
      <c r="F69" s="301"/>
      <c r="G69" s="294"/>
      <c r="H69" s="294"/>
      <c r="I69" s="298"/>
      <c r="J69" s="213"/>
      <c r="K69" s="213"/>
      <c r="L69" s="213"/>
      <c r="M69" s="213"/>
      <c r="N69" s="213"/>
      <c r="O69" s="213"/>
      <c r="P69" s="213"/>
      <c r="Q69" s="213"/>
      <c r="R69" s="133"/>
      <c r="S69" s="133"/>
      <c r="T69" s="133"/>
      <c r="U69" s="133"/>
      <c r="V69" s="133"/>
      <c r="W69" s="133"/>
      <c r="X69" s="133"/>
      <c r="Y69" s="133"/>
      <c r="Z69" s="133"/>
      <c r="AJ69" s="285"/>
      <c r="AK69" s="285"/>
      <c r="AL69" s="285"/>
      <c r="AM69" s="285"/>
      <c r="AN69" s="285"/>
    </row>
    <row r="70" spans="1:40" x14ac:dyDescent="0.35">
      <c r="A70" s="302"/>
      <c r="B70" s="385" t="s">
        <v>975</v>
      </c>
      <c r="C70" s="386"/>
      <c r="D70" s="386"/>
      <c r="E70" s="386"/>
      <c r="F70" s="386"/>
      <c r="G70" s="386"/>
      <c r="H70" s="386"/>
      <c r="I70" s="386"/>
      <c r="J70" s="427"/>
      <c r="K70" s="213"/>
      <c r="L70" s="213"/>
      <c r="M70" s="213"/>
      <c r="N70" s="213"/>
      <c r="O70" s="213"/>
      <c r="P70" s="213"/>
      <c r="Q70" s="213"/>
      <c r="R70" s="133"/>
      <c r="S70" s="133"/>
      <c r="T70" s="133"/>
      <c r="U70" s="133"/>
      <c r="V70" s="133"/>
      <c r="W70" s="133"/>
      <c r="X70" s="133"/>
      <c r="Y70" s="133"/>
      <c r="Z70" s="133"/>
      <c r="AJ70" s="285"/>
      <c r="AK70" s="285"/>
      <c r="AL70" s="285"/>
      <c r="AM70" s="285"/>
      <c r="AN70" s="285"/>
    </row>
    <row r="71" spans="1:40" ht="43.5" x14ac:dyDescent="0.35">
      <c r="A71" s="294"/>
      <c r="B71" s="278" t="s">
        <v>876</v>
      </c>
      <c r="C71" s="165"/>
      <c r="D71" s="421" t="s">
        <v>957</v>
      </c>
      <c r="E71" s="255" t="s">
        <v>685</v>
      </c>
      <c r="F71" s="255" t="s">
        <v>686</v>
      </c>
      <c r="G71" s="164" t="s">
        <v>914</v>
      </c>
      <c r="H71" s="164" t="s">
        <v>915</v>
      </c>
      <c r="I71" s="255" t="s">
        <v>916</v>
      </c>
      <c r="J71" s="427"/>
      <c r="K71" s="556" t="s">
        <v>1015</v>
      </c>
      <c r="L71" s="421" t="s">
        <v>957</v>
      </c>
      <c r="M71" s="541" t="s">
        <v>685</v>
      </c>
      <c r="N71" s="541" t="s">
        <v>686</v>
      </c>
      <c r="O71" s="422" t="s">
        <v>914</v>
      </c>
      <c r="P71" s="422" t="s">
        <v>915</v>
      </c>
      <c r="Q71" s="541" t="s">
        <v>916</v>
      </c>
      <c r="R71" s="133"/>
      <c r="S71" s="133"/>
      <c r="T71" s="133"/>
      <c r="U71" s="133"/>
      <c r="V71" s="133"/>
      <c r="W71" s="133"/>
      <c r="X71" s="133"/>
      <c r="Y71" s="133"/>
      <c r="Z71" s="133"/>
      <c r="AJ71" s="285"/>
      <c r="AK71" s="285"/>
      <c r="AL71" s="285"/>
      <c r="AM71" s="285"/>
      <c r="AN71" s="285"/>
    </row>
    <row r="72" spans="1:40" x14ac:dyDescent="0.35">
      <c r="A72" s="294"/>
      <c r="B72" s="346" t="s">
        <v>976</v>
      </c>
      <c r="C72" s="291"/>
      <c r="D72" s="128">
        <f>D79+D80+D84+D94+D81</f>
        <v>0</v>
      </c>
      <c r="E72" s="128">
        <f t="shared" ref="E72:I72" si="36">E79+E80+E84+E94+E81</f>
        <v>0</v>
      </c>
      <c r="F72" s="128">
        <f t="shared" si="36"/>
        <v>0</v>
      </c>
      <c r="G72" s="128">
        <f t="shared" si="36"/>
        <v>0</v>
      </c>
      <c r="H72" s="128">
        <f t="shared" si="36"/>
        <v>0</v>
      </c>
      <c r="I72" s="128">
        <f t="shared" si="36"/>
        <v>0</v>
      </c>
      <c r="J72" s="427"/>
      <c r="K72" s="569">
        <f>'Unit costs'!N111</f>
        <v>550</v>
      </c>
      <c r="L72" s="291">
        <f t="shared" ref="L72:Q72" si="37">(D72*$K$72)/1000</f>
        <v>0</v>
      </c>
      <c r="M72" s="291">
        <f t="shared" si="37"/>
        <v>0</v>
      </c>
      <c r="N72" s="291">
        <f t="shared" si="37"/>
        <v>0</v>
      </c>
      <c r="O72" s="291">
        <f t="shared" si="37"/>
        <v>0</v>
      </c>
      <c r="P72" s="291">
        <f t="shared" si="37"/>
        <v>0</v>
      </c>
      <c r="Q72" s="291">
        <f t="shared" si="37"/>
        <v>0</v>
      </c>
      <c r="R72" s="133"/>
      <c r="S72" s="133"/>
      <c r="T72" s="133"/>
      <c r="U72" s="133"/>
      <c r="V72" s="133"/>
      <c r="W72" s="133"/>
      <c r="X72" s="133"/>
      <c r="Y72" s="133"/>
      <c r="Z72" s="133"/>
      <c r="AJ72" s="285"/>
      <c r="AK72" s="285"/>
      <c r="AL72" s="285"/>
      <c r="AM72" s="285"/>
      <c r="AN72" s="285"/>
    </row>
    <row r="73" spans="1:40" x14ac:dyDescent="0.35">
      <c r="A73" s="294"/>
      <c r="B73" s="346" t="s">
        <v>883</v>
      </c>
      <c r="C73" s="291"/>
      <c r="D73" s="128">
        <f>SUM(D86:D93)+D95+D96+D82+D83+D85</f>
        <v>0</v>
      </c>
      <c r="E73" s="128">
        <f t="shared" ref="E73:I73" si="38">SUM(E86:E93)+E95+E96+E82+E83+E85</f>
        <v>0</v>
      </c>
      <c r="F73" s="128">
        <f t="shared" si="38"/>
        <v>0</v>
      </c>
      <c r="G73" s="128">
        <f t="shared" si="38"/>
        <v>0</v>
      </c>
      <c r="H73" s="128">
        <f t="shared" si="38"/>
        <v>0</v>
      </c>
      <c r="I73" s="128">
        <f t="shared" si="38"/>
        <v>0</v>
      </c>
      <c r="J73" s="427"/>
      <c r="K73" s="569">
        <f>'Unit costs'!N114</f>
        <v>50</v>
      </c>
      <c r="L73" s="291">
        <f t="shared" ref="L73:Q73" si="39">(D73*$K$73)/1000</f>
        <v>0</v>
      </c>
      <c r="M73" s="291">
        <f t="shared" si="39"/>
        <v>0</v>
      </c>
      <c r="N73" s="291">
        <f t="shared" si="39"/>
        <v>0</v>
      </c>
      <c r="O73" s="291">
        <f t="shared" si="39"/>
        <v>0</v>
      </c>
      <c r="P73" s="291">
        <f t="shared" si="39"/>
        <v>0</v>
      </c>
      <c r="Q73" s="291">
        <f t="shared" si="39"/>
        <v>0</v>
      </c>
      <c r="R73" s="133"/>
      <c r="S73" s="133"/>
      <c r="T73" s="133"/>
      <c r="U73" s="133"/>
      <c r="V73" s="133"/>
      <c r="W73" s="133"/>
      <c r="X73" s="133"/>
      <c r="Y73" s="133"/>
      <c r="Z73" s="133"/>
      <c r="AJ73" s="285"/>
      <c r="AK73" s="285"/>
      <c r="AL73" s="285"/>
      <c r="AM73" s="285"/>
      <c r="AN73" s="285"/>
    </row>
    <row r="74" spans="1:40" x14ac:dyDescent="0.35">
      <c r="A74" s="294"/>
      <c r="B74" s="282"/>
      <c r="C74" s="321"/>
      <c r="D74" s="185">
        <f t="shared" ref="D74:I74" si="40">SUM(D72:D73)</f>
        <v>0</v>
      </c>
      <c r="E74" s="185">
        <f t="shared" si="40"/>
        <v>0</v>
      </c>
      <c r="F74" s="185">
        <f t="shared" si="40"/>
        <v>0</v>
      </c>
      <c r="G74" s="185">
        <f t="shared" si="40"/>
        <v>0</v>
      </c>
      <c r="H74" s="185">
        <f t="shared" si="40"/>
        <v>0</v>
      </c>
      <c r="I74" s="185">
        <f t="shared" si="40"/>
        <v>0</v>
      </c>
      <c r="J74" s="427"/>
      <c r="K74" s="213"/>
      <c r="L74" s="292">
        <f t="shared" ref="L74:Q74" si="41">SUM(L72:L73)</f>
        <v>0</v>
      </c>
      <c r="M74" s="292">
        <f t="shared" si="41"/>
        <v>0</v>
      </c>
      <c r="N74" s="292">
        <f t="shared" si="41"/>
        <v>0</v>
      </c>
      <c r="O74" s="292">
        <f t="shared" si="41"/>
        <v>0</v>
      </c>
      <c r="P74" s="292">
        <f t="shared" si="41"/>
        <v>0</v>
      </c>
      <c r="Q74" s="292">
        <f t="shared" si="41"/>
        <v>0</v>
      </c>
      <c r="R74" s="133"/>
      <c r="S74" s="133"/>
      <c r="T74" s="133"/>
      <c r="U74" s="133"/>
      <c r="V74" s="133"/>
      <c r="W74" s="133"/>
      <c r="X74" s="133"/>
      <c r="Y74" s="133"/>
      <c r="Z74" s="133"/>
      <c r="AJ74" s="285"/>
      <c r="AK74" s="285"/>
      <c r="AL74" s="285"/>
      <c r="AM74" s="285"/>
      <c r="AN74" s="285"/>
    </row>
    <row r="75" spans="1:40" x14ac:dyDescent="0.35">
      <c r="A75" s="294"/>
      <c r="B75" s="307"/>
      <c r="C75" s="256"/>
      <c r="D75" s="284" t="s">
        <v>977</v>
      </c>
      <c r="E75" s="185">
        <f>E74-D74</f>
        <v>0</v>
      </c>
      <c r="F75" s="185">
        <f>F74-$D$74</f>
        <v>0</v>
      </c>
      <c r="G75" s="185">
        <f>G74-$D$74</f>
        <v>0</v>
      </c>
      <c r="H75" s="185">
        <f>H74-$D$74</f>
        <v>0</v>
      </c>
      <c r="I75" s="185">
        <f>I74-$D$74</f>
        <v>0</v>
      </c>
      <c r="J75" s="427"/>
      <c r="K75" s="213"/>
      <c r="L75" s="547"/>
      <c r="M75" s="292">
        <f>M74-$L74</f>
        <v>0</v>
      </c>
      <c r="N75" s="292">
        <f>N74-$L74</f>
        <v>0</v>
      </c>
      <c r="O75" s="292">
        <f>O74-$L74</f>
        <v>0</v>
      </c>
      <c r="P75" s="292">
        <f>P74-$L74</f>
        <v>0</v>
      </c>
      <c r="Q75" s="292">
        <f>Q74-$L74</f>
        <v>0</v>
      </c>
      <c r="R75" s="133"/>
      <c r="S75" s="133"/>
      <c r="T75" s="133"/>
      <c r="U75" s="133"/>
      <c r="V75" s="133"/>
      <c r="W75" s="133"/>
      <c r="X75" s="133"/>
      <c r="Y75" s="133"/>
      <c r="Z75" s="133"/>
      <c r="AJ75" s="285"/>
      <c r="AK75" s="285"/>
      <c r="AL75" s="285"/>
      <c r="AM75" s="285"/>
      <c r="AN75" s="285"/>
    </row>
    <row r="76" spans="1:40" x14ac:dyDescent="0.35">
      <c r="A76" s="294"/>
      <c r="B76" s="320"/>
      <c r="C76" s="300"/>
      <c r="D76" s="299"/>
      <c r="E76" s="300"/>
      <c r="F76" s="301"/>
      <c r="G76" s="294"/>
      <c r="H76" s="294"/>
      <c r="I76" s="298"/>
      <c r="J76" s="213"/>
      <c r="K76" s="213"/>
      <c r="L76" s="213"/>
      <c r="M76" s="213"/>
      <c r="N76" s="213"/>
      <c r="O76" s="213"/>
      <c r="P76" s="213"/>
      <c r="Q76" s="213"/>
      <c r="R76" s="133"/>
      <c r="S76" s="133"/>
      <c r="T76" s="133"/>
      <c r="U76" s="133"/>
      <c r="V76" s="133"/>
      <c r="W76" s="133"/>
      <c r="X76" s="133"/>
      <c r="Y76" s="133"/>
      <c r="Z76" s="133"/>
      <c r="AJ76" s="285"/>
      <c r="AK76" s="285"/>
      <c r="AL76" s="285"/>
      <c r="AM76" s="285"/>
      <c r="AN76" s="285"/>
    </row>
    <row r="77" spans="1:40" x14ac:dyDescent="0.35">
      <c r="A77" s="302"/>
      <c r="B77" s="385" t="s">
        <v>978</v>
      </c>
      <c r="C77" s="386"/>
      <c r="D77" s="386"/>
      <c r="E77" s="386"/>
      <c r="F77" s="386"/>
      <c r="G77" s="386"/>
      <c r="H77" s="386"/>
      <c r="I77" s="386"/>
      <c r="J77" s="427"/>
      <c r="K77" s="213"/>
      <c r="L77" s="213"/>
      <c r="M77" s="213"/>
      <c r="N77" s="213"/>
      <c r="O77" s="213"/>
      <c r="P77" s="213"/>
      <c r="Q77" s="213"/>
      <c r="S77" s="133"/>
      <c r="T77" s="133"/>
      <c r="U77" s="133"/>
      <c r="V77" s="133"/>
      <c r="W77" s="133"/>
      <c r="X77" s="133"/>
      <c r="Y77" s="133"/>
      <c r="Z77" s="133"/>
      <c r="AJ77" s="285"/>
      <c r="AK77" s="285"/>
      <c r="AL77" s="285"/>
      <c r="AM77" s="285"/>
      <c r="AN77" s="285"/>
    </row>
    <row r="78" spans="1:40" ht="43.5" x14ac:dyDescent="0.35">
      <c r="A78" s="302"/>
      <c r="B78" s="317" t="s">
        <v>876</v>
      </c>
      <c r="C78" s="165" t="s">
        <v>827</v>
      </c>
      <c r="D78" s="421" t="s">
        <v>957</v>
      </c>
      <c r="E78" s="255" t="s">
        <v>685</v>
      </c>
      <c r="F78" s="255" t="s">
        <v>686</v>
      </c>
      <c r="G78" s="164" t="s">
        <v>914</v>
      </c>
      <c r="H78" s="164" t="s">
        <v>915</v>
      </c>
      <c r="I78" s="255" t="s">
        <v>916</v>
      </c>
      <c r="J78" s="427"/>
      <c r="K78" s="213"/>
      <c r="L78" s="213"/>
      <c r="M78" s="213"/>
      <c r="N78" s="213"/>
      <c r="O78" s="213"/>
      <c r="P78" s="213"/>
      <c r="Q78" s="213"/>
      <c r="V78" s="133"/>
      <c r="AJ78" s="285"/>
      <c r="AK78" s="285"/>
      <c r="AL78" s="285"/>
      <c r="AM78" s="285"/>
      <c r="AN78" s="285"/>
    </row>
    <row r="79" spans="1:40" x14ac:dyDescent="0.35">
      <c r="A79" s="302"/>
      <c r="B79" s="348" t="s">
        <v>979</v>
      </c>
      <c r="C79" s="128">
        <f>('Unit costs'!L14+'Unit costs'!L15*(0.3))+('Unit costs'!L16*0.7)</f>
        <v>3.3</v>
      </c>
      <c r="D79" s="128">
        <f>'Financial impact (cash)'!D13*$C79</f>
        <v>0</v>
      </c>
      <c r="E79" s="128">
        <f>'Financial impact (cash)'!E13*$C79</f>
        <v>0</v>
      </c>
      <c r="F79" s="128">
        <f>'Financial impact (cash)'!F13*$C79</f>
        <v>0</v>
      </c>
      <c r="G79" s="128">
        <f>'Financial impact (cash)'!G13*$C79</f>
        <v>0</v>
      </c>
      <c r="H79" s="128">
        <f>'Financial impact (cash)'!H13*$C79</f>
        <v>0</v>
      </c>
      <c r="I79" s="128">
        <f>'Financial impact (cash)'!I13*$C79</f>
        <v>0</v>
      </c>
      <c r="J79" s="427"/>
      <c r="K79" s="213"/>
      <c r="L79" s="213"/>
      <c r="M79" s="213"/>
      <c r="N79" s="213"/>
      <c r="O79" s="213"/>
      <c r="P79" s="213"/>
      <c r="Q79" s="213"/>
      <c r="V79" s="133"/>
      <c r="AJ79" s="285"/>
      <c r="AK79" s="285"/>
      <c r="AL79" s="285"/>
      <c r="AM79" s="285"/>
      <c r="AN79" s="285"/>
    </row>
    <row r="80" spans="1:40" x14ac:dyDescent="0.35">
      <c r="A80" s="302"/>
      <c r="B80" s="348" t="s">
        <v>1020</v>
      </c>
      <c r="C80" s="128">
        <f>(('Unit costs'!L21+'Unit costs'!L22)*0.3)+('Unit costs'!L23*0.7)</f>
        <v>2.2999999999999998</v>
      </c>
      <c r="D80" s="128">
        <f>'Financial impact (cash)'!D14*$C80</f>
        <v>0</v>
      </c>
      <c r="E80" s="128">
        <f>'Financial impact (cash)'!E14*$C80</f>
        <v>0</v>
      </c>
      <c r="F80" s="128">
        <f>'Financial impact (cash)'!F14*$C80</f>
        <v>0</v>
      </c>
      <c r="G80" s="128">
        <f>'Financial impact (cash)'!G14*$C80</f>
        <v>0</v>
      </c>
      <c r="H80" s="128">
        <f>'Financial impact (cash)'!H14*$C80</f>
        <v>0</v>
      </c>
      <c r="I80" s="128">
        <f>'Financial impact (cash)'!I14*$C80</f>
        <v>0</v>
      </c>
      <c r="J80" s="427"/>
      <c r="K80" s="213"/>
      <c r="L80" s="213"/>
      <c r="M80" s="213"/>
      <c r="N80" s="213"/>
      <c r="O80" s="213"/>
      <c r="P80" s="213"/>
      <c r="Q80" s="213"/>
      <c r="V80" s="133"/>
      <c r="AJ80" s="285"/>
      <c r="AK80" s="285"/>
      <c r="AL80" s="285"/>
      <c r="AM80" s="285"/>
      <c r="AN80" s="285"/>
    </row>
    <row r="81" spans="1:40" x14ac:dyDescent="0.35">
      <c r="A81" s="302"/>
      <c r="B81" s="348" t="s">
        <v>1126</v>
      </c>
      <c r="C81" s="128">
        <f>'Unit costs'!N28</f>
        <v>2</v>
      </c>
      <c r="D81" s="128">
        <f>'Financial impact (cash)'!D15*$C81</f>
        <v>0</v>
      </c>
      <c r="E81" s="128">
        <f>'Financial impact (cash)'!E15*$C81</f>
        <v>0</v>
      </c>
      <c r="F81" s="128">
        <f>'Financial impact (cash)'!F15*$C81</f>
        <v>0</v>
      </c>
      <c r="G81" s="128">
        <f>'Financial impact (cash)'!G15*$C81</f>
        <v>0</v>
      </c>
      <c r="H81" s="128">
        <f>'Financial impact (cash)'!H15*$C81</f>
        <v>0</v>
      </c>
      <c r="I81" s="128">
        <f>'Financial impact (cash)'!I15*$C81</f>
        <v>0</v>
      </c>
      <c r="J81" s="213"/>
      <c r="K81" s="213"/>
      <c r="L81" s="213"/>
      <c r="M81" s="213"/>
      <c r="N81" s="213"/>
      <c r="O81" s="213"/>
      <c r="P81" s="213"/>
      <c r="Q81" s="213"/>
      <c r="V81" s="133"/>
      <c r="AJ81" s="285"/>
      <c r="AK81" s="285"/>
      <c r="AL81" s="285"/>
      <c r="AM81" s="285"/>
      <c r="AN81" s="285"/>
    </row>
    <row r="82" spans="1:40" x14ac:dyDescent="0.35">
      <c r="A82" s="302"/>
      <c r="B82" s="348" t="s">
        <v>981</v>
      </c>
      <c r="C82" s="128">
        <v>12</v>
      </c>
      <c r="D82" s="128">
        <f>'Financial impact (cash)'!D16*$C82</f>
        <v>0</v>
      </c>
      <c r="E82" s="128">
        <f>'Financial impact (cash)'!E16*$C82</f>
        <v>0</v>
      </c>
      <c r="F82" s="128">
        <f>'Financial impact (cash)'!F16*$C82</f>
        <v>0</v>
      </c>
      <c r="G82" s="128">
        <f>'Financial impact (cash)'!G16*$C82</f>
        <v>0</v>
      </c>
      <c r="H82" s="128">
        <f>'Financial impact (cash)'!H16*$C82</f>
        <v>0</v>
      </c>
      <c r="I82" s="128">
        <f>'Financial impact (cash)'!I16*$C82</f>
        <v>0</v>
      </c>
      <c r="J82" s="213"/>
      <c r="K82" s="213"/>
      <c r="L82" s="213"/>
      <c r="M82" s="213"/>
      <c r="N82" s="213"/>
      <c r="O82" s="213"/>
      <c r="P82" s="213"/>
      <c r="Q82" s="213"/>
      <c r="V82" s="133"/>
      <c r="AJ82" s="285"/>
      <c r="AK82" s="285"/>
      <c r="AL82" s="285"/>
      <c r="AM82" s="285"/>
      <c r="AN82" s="285"/>
    </row>
    <row r="83" spans="1:40" x14ac:dyDescent="0.35">
      <c r="A83" s="302"/>
      <c r="B83" s="348" t="s">
        <v>982</v>
      </c>
      <c r="C83" s="128">
        <v>12</v>
      </c>
      <c r="D83" s="128">
        <f>'Financial impact (cash)'!D17*$C83</f>
        <v>0</v>
      </c>
      <c r="E83" s="128">
        <f>'Financial impact (cash)'!E17*$C83</f>
        <v>0</v>
      </c>
      <c r="F83" s="128">
        <f>'Financial impact (cash)'!F17*$C83</f>
        <v>0</v>
      </c>
      <c r="G83" s="128">
        <f>'Financial impact (cash)'!G17*$C83</f>
        <v>0</v>
      </c>
      <c r="H83" s="128">
        <f>'Financial impact (cash)'!H17*$C83</f>
        <v>0</v>
      </c>
      <c r="I83" s="128">
        <f>'Financial impact (cash)'!I17*$C83</f>
        <v>0</v>
      </c>
      <c r="J83" s="213"/>
      <c r="K83" s="213"/>
      <c r="L83" s="213"/>
      <c r="M83" s="213"/>
      <c r="N83" s="213"/>
      <c r="O83" s="213"/>
      <c r="P83" s="213"/>
      <c r="Q83" s="213"/>
      <c r="V83" s="133"/>
      <c r="AJ83" s="285"/>
      <c r="AK83" s="285"/>
      <c r="AL83" s="285"/>
      <c r="AM83" s="285"/>
      <c r="AN83" s="285"/>
    </row>
    <row r="84" spans="1:40" x14ac:dyDescent="0.35">
      <c r="A84" s="302"/>
      <c r="B84" s="348" t="s">
        <v>983</v>
      </c>
      <c r="C84" s="128">
        <f>('Unit costs'!N48*0.3)+('Unit costs'!N49*0.7)</f>
        <v>3.5999999999999996</v>
      </c>
      <c r="D84" s="128">
        <f>'Financial impact (cash)'!D18*$C84</f>
        <v>0</v>
      </c>
      <c r="E84" s="128">
        <f>'Financial impact (cash)'!E18*$C84</f>
        <v>0</v>
      </c>
      <c r="F84" s="128">
        <f>'Financial impact (cash)'!F18*$C84</f>
        <v>0</v>
      </c>
      <c r="G84" s="128">
        <f>'Financial impact (cash)'!G18*$C84</f>
        <v>0</v>
      </c>
      <c r="H84" s="128">
        <f>'Financial impact (cash)'!H18*$C84</f>
        <v>0</v>
      </c>
      <c r="I84" s="128">
        <f>'Financial impact (cash)'!I18*$C84</f>
        <v>0</v>
      </c>
      <c r="J84" s="213"/>
      <c r="K84" s="213"/>
      <c r="L84" s="213"/>
      <c r="M84" s="213"/>
      <c r="N84" s="213"/>
      <c r="O84" s="213"/>
      <c r="P84" s="213"/>
      <c r="Q84" s="213"/>
      <c r="V84" s="133"/>
      <c r="AJ84" s="285"/>
      <c r="AK84" s="285"/>
      <c r="AL84" s="285"/>
      <c r="AM84" s="285"/>
      <c r="AN84" s="285"/>
    </row>
    <row r="85" spans="1:40" x14ac:dyDescent="0.35">
      <c r="A85" s="302"/>
      <c r="B85" s="348" t="s">
        <v>1102</v>
      </c>
      <c r="C85" s="128">
        <f>'Unit costs'!N54</f>
        <v>2.3333333333333335</v>
      </c>
      <c r="D85" s="128">
        <f>'Financial impact (cash)'!D19*$C85</f>
        <v>0</v>
      </c>
      <c r="E85" s="128">
        <f>'Financial impact (cash)'!E19*$C85</f>
        <v>0</v>
      </c>
      <c r="F85" s="128">
        <f>'Financial impact (cash)'!F19*$C85</f>
        <v>0</v>
      </c>
      <c r="G85" s="128">
        <f>'Financial impact (cash)'!G19*$C85</f>
        <v>0</v>
      </c>
      <c r="H85" s="128">
        <f>'Financial impact (cash)'!H19*$C85</f>
        <v>0</v>
      </c>
      <c r="I85" s="128">
        <f>'Financial impact (cash)'!I19*$C85</f>
        <v>0</v>
      </c>
      <c r="J85" s="213"/>
      <c r="K85" s="213"/>
      <c r="L85" s="213"/>
      <c r="M85" s="213"/>
      <c r="N85" s="213"/>
      <c r="O85" s="213"/>
      <c r="P85" s="213"/>
      <c r="Q85" s="213"/>
      <c r="V85" s="133"/>
      <c r="AJ85" s="285"/>
      <c r="AK85" s="285"/>
      <c r="AL85" s="285"/>
      <c r="AM85" s="285"/>
      <c r="AN85" s="285"/>
    </row>
    <row r="86" spans="1:40" x14ac:dyDescent="0.35">
      <c r="A86" s="302"/>
      <c r="B86" s="348" t="s">
        <v>984</v>
      </c>
      <c r="C86" s="128">
        <v>12</v>
      </c>
      <c r="D86" s="128">
        <f>'Financial impact (cash)'!D20*$C86</f>
        <v>0</v>
      </c>
      <c r="E86" s="128">
        <f>'Financial impact (cash)'!E20*$C86</f>
        <v>0</v>
      </c>
      <c r="F86" s="128">
        <f>'Financial impact (cash)'!F20*$C86</f>
        <v>0</v>
      </c>
      <c r="G86" s="128">
        <f>'Financial impact (cash)'!G20*$C86</f>
        <v>0</v>
      </c>
      <c r="H86" s="128">
        <f>'Financial impact (cash)'!H20*$C86</f>
        <v>0</v>
      </c>
      <c r="I86" s="128">
        <f>'Financial impact (cash)'!I20*$C86</f>
        <v>0</v>
      </c>
      <c r="J86" s="213"/>
      <c r="K86" s="213"/>
      <c r="L86" s="213"/>
      <c r="M86" s="213"/>
      <c r="N86" s="213"/>
      <c r="O86" s="213"/>
      <c r="P86" s="213"/>
      <c r="Q86" s="213"/>
      <c r="V86" s="133"/>
      <c r="AJ86" s="285"/>
      <c r="AK86" s="285"/>
      <c r="AL86" s="285"/>
      <c r="AM86" s="285"/>
      <c r="AN86" s="285"/>
    </row>
    <row r="87" spans="1:40" x14ac:dyDescent="0.35">
      <c r="A87" s="302"/>
      <c r="B87" s="348" t="s">
        <v>985</v>
      </c>
      <c r="C87" s="128">
        <v>12</v>
      </c>
      <c r="D87" s="128">
        <f>'Financial impact (cash)'!D21*$C87</f>
        <v>0</v>
      </c>
      <c r="E87" s="128">
        <f>'Financial impact (cash)'!E21*$C87</f>
        <v>0</v>
      </c>
      <c r="F87" s="128">
        <f>'Financial impact (cash)'!F21*$C87</f>
        <v>0</v>
      </c>
      <c r="G87" s="128">
        <f>'Financial impact (cash)'!G21*$C87</f>
        <v>0</v>
      </c>
      <c r="H87" s="128">
        <f>'Financial impact (cash)'!H21*$C87</f>
        <v>0</v>
      </c>
      <c r="I87" s="128">
        <f>'Financial impact (cash)'!I21*$C87</f>
        <v>0</v>
      </c>
      <c r="J87" s="213"/>
      <c r="K87" s="213"/>
      <c r="L87" s="213"/>
      <c r="M87" s="213"/>
      <c r="N87" s="213"/>
      <c r="O87" s="213"/>
      <c r="P87" s="213"/>
      <c r="Q87" s="213"/>
      <c r="V87" s="133"/>
      <c r="AJ87" s="285"/>
      <c r="AK87" s="285"/>
      <c r="AL87" s="285"/>
      <c r="AM87" s="285"/>
      <c r="AN87" s="285"/>
    </row>
    <row r="88" spans="1:40" x14ac:dyDescent="0.35">
      <c r="A88" s="302"/>
      <c r="B88" s="348" t="s">
        <v>986</v>
      </c>
      <c r="C88" s="128">
        <v>12</v>
      </c>
      <c r="D88" s="128">
        <f>'Financial impact (cash)'!D22*$C88</f>
        <v>0</v>
      </c>
      <c r="E88" s="128">
        <f>'Financial impact (cash)'!E22*$C88</f>
        <v>0</v>
      </c>
      <c r="F88" s="128">
        <f>'Financial impact (cash)'!F22*$C88</f>
        <v>0</v>
      </c>
      <c r="G88" s="128">
        <f>'Financial impact (cash)'!G22*$C88</f>
        <v>0</v>
      </c>
      <c r="H88" s="128">
        <f>'Financial impact (cash)'!H22*$C88</f>
        <v>0</v>
      </c>
      <c r="I88" s="128">
        <f>'Financial impact (cash)'!I22*$C88</f>
        <v>0</v>
      </c>
      <c r="J88" s="213"/>
      <c r="K88" s="213"/>
      <c r="L88" s="213"/>
      <c r="M88" s="213"/>
      <c r="N88" s="213"/>
      <c r="O88" s="213"/>
      <c r="P88" s="213"/>
      <c r="Q88" s="213"/>
      <c r="V88" s="133"/>
      <c r="AJ88" s="285"/>
      <c r="AK88" s="285"/>
      <c r="AL88" s="285"/>
      <c r="AM88" s="285"/>
      <c r="AN88" s="285"/>
    </row>
    <row r="89" spans="1:40" x14ac:dyDescent="0.35">
      <c r="A89" s="302"/>
      <c r="B89" s="348" t="s">
        <v>987</v>
      </c>
      <c r="C89" s="128">
        <v>12</v>
      </c>
      <c r="D89" s="128">
        <f>'Financial impact (cash)'!D23*$C89</f>
        <v>0</v>
      </c>
      <c r="E89" s="128">
        <f>'Financial impact (cash)'!E23*$C89</f>
        <v>0</v>
      </c>
      <c r="F89" s="128">
        <f>'Financial impact (cash)'!F23*$C89</f>
        <v>0</v>
      </c>
      <c r="G89" s="128">
        <f>'Financial impact (cash)'!G23*$C89</f>
        <v>0</v>
      </c>
      <c r="H89" s="128">
        <f>'Financial impact (cash)'!H23*$C89</f>
        <v>0</v>
      </c>
      <c r="I89" s="128">
        <f>'Financial impact (cash)'!I23*$C89</f>
        <v>0</v>
      </c>
      <c r="J89" s="213"/>
      <c r="K89" s="213"/>
      <c r="L89" s="213"/>
      <c r="M89" s="213"/>
      <c r="N89" s="213"/>
      <c r="O89" s="213"/>
      <c r="P89" s="213"/>
      <c r="Q89" s="213"/>
      <c r="V89" s="133"/>
      <c r="AJ89" s="285"/>
      <c r="AK89" s="285"/>
      <c r="AL89" s="285"/>
      <c r="AM89" s="285"/>
      <c r="AN89" s="285"/>
    </row>
    <row r="90" spans="1:40" x14ac:dyDescent="0.35">
      <c r="A90" s="302"/>
      <c r="B90" s="348" t="s">
        <v>988</v>
      </c>
      <c r="C90" s="128">
        <v>12</v>
      </c>
      <c r="D90" s="128">
        <f>'Financial impact (cash)'!D24*$C90</f>
        <v>0</v>
      </c>
      <c r="E90" s="128">
        <f>'Financial impact (cash)'!E24*$C90</f>
        <v>0</v>
      </c>
      <c r="F90" s="128">
        <f>'Financial impact (cash)'!F24*$C90</f>
        <v>0</v>
      </c>
      <c r="G90" s="128">
        <f>'Financial impact (cash)'!G24*$C90</f>
        <v>0</v>
      </c>
      <c r="H90" s="128">
        <f>'Financial impact (cash)'!H24*$C90</f>
        <v>0</v>
      </c>
      <c r="I90" s="128">
        <f>'Financial impact (cash)'!I24*$C90</f>
        <v>0</v>
      </c>
      <c r="J90" s="213"/>
      <c r="K90" s="213"/>
      <c r="L90" s="213"/>
      <c r="M90" s="213"/>
      <c r="N90" s="213"/>
      <c r="O90" s="213"/>
      <c r="P90" s="213"/>
      <c r="Q90" s="213"/>
      <c r="V90" s="133"/>
      <c r="AJ90" s="285"/>
      <c r="AK90" s="285"/>
      <c r="AL90" s="285"/>
      <c r="AM90" s="285"/>
      <c r="AN90" s="285"/>
    </row>
    <row r="91" spans="1:40" x14ac:dyDescent="0.35">
      <c r="A91" s="302"/>
      <c r="B91" s="348" t="s">
        <v>989</v>
      </c>
      <c r="C91" s="128">
        <v>12</v>
      </c>
      <c r="D91" s="128">
        <f>'Financial impact (cash)'!D25*$C91</f>
        <v>0</v>
      </c>
      <c r="E91" s="128">
        <f>'Financial impact (cash)'!E25*$C91</f>
        <v>0</v>
      </c>
      <c r="F91" s="128">
        <f>'Financial impact (cash)'!F25*$C91</f>
        <v>0</v>
      </c>
      <c r="G91" s="128">
        <f>'Financial impact (cash)'!G25*$C91</f>
        <v>0</v>
      </c>
      <c r="H91" s="128">
        <f>'Financial impact (cash)'!H25*$C91</f>
        <v>0</v>
      </c>
      <c r="I91" s="128">
        <f>'Financial impact (cash)'!I25*$C91</f>
        <v>0</v>
      </c>
      <c r="J91" s="213"/>
      <c r="K91" s="213"/>
      <c r="L91" s="213"/>
      <c r="M91" s="213"/>
      <c r="N91" s="213"/>
      <c r="O91" s="213"/>
      <c r="P91" s="213"/>
      <c r="Q91" s="213"/>
      <c r="V91" s="133"/>
      <c r="AJ91" s="285"/>
      <c r="AK91" s="285"/>
      <c r="AL91" s="285"/>
      <c r="AM91" s="285"/>
      <c r="AN91" s="285"/>
    </row>
    <row r="92" spans="1:40" x14ac:dyDescent="0.35">
      <c r="A92" s="302"/>
      <c r="B92" s="348" t="s">
        <v>990</v>
      </c>
      <c r="C92" s="128">
        <v>12</v>
      </c>
      <c r="D92" s="128">
        <f>'Financial impact (cash)'!D26*$C92</f>
        <v>0</v>
      </c>
      <c r="E92" s="128">
        <f>'Financial impact (cash)'!E26*$C92</f>
        <v>0</v>
      </c>
      <c r="F92" s="128">
        <f>'Financial impact (cash)'!F26*$C92</f>
        <v>0</v>
      </c>
      <c r="G92" s="128">
        <f>'Financial impact (cash)'!G26*$C92</f>
        <v>0</v>
      </c>
      <c r="H92" s="128">
        <f>'Financial impact (cash)'!H26*$C92</f>
        <v>0</v>
      </c>
      <c r="I92" s="128">
        <f>'Financial impact (cash)'!I26*$C92</f>
        <v>0</v>
      </c>
      <c r="J92" s="213"/>
      <c r="K92" s="213"/>
      <c r="L92" s="213"/>
      <c r="M92" s="213"/>
      <c r="N92" s="213"/>
      <c r="O92" s="213"/>
      <c r="P92" s="213"/>
      <c r="Q92" s="213"/>
      <c r="V92" s="133"/>
      <c r="AJ92" s="285"/>
      <c r="AK92" s="285"/>
      <c r="AL92" s="285"/>
      <c r="AM92" s="285"/>
      <c r="AN92" s="285"/>
    </row>
    <row r="93" spans="1:40" x14ac:dyDescent="0.35">
      <c r="A93" s="302"/>
      <c r="B93" s="348" t="s">
        <v>991</v>
      </c>
      <c r="C93" s="128">
        <v>12</v>
      </c>
      <c r="D93" s="128">
        <f>'Financial impact (cash)'!D27*$C93</f>
        <v>0</v>
      </c>
      <c r="E93" s="128">
        <f>'Financial impact (cash)'!E27*$C93</f>
        <v>0</v>
      </c>
      <c r="F93" s="128">
        <f>'Financial impact (cash)'!F27*$C93</f>
        <v>0</v>
      </c>
      <c r="G93" s="128">
        <f>'Financial impact (cash)'!G27*$C93</f>
        <v>0</v>
      </c>
      <c r="H93" s="128">
        <f>'Financial impact (cash)'!H27*$C93</f>
        <v>0</v>
      </c>
      <c r="I93" s="128">
        <f>'Financial impact (cash)'!I27*$C93</f>
        <v>0</v>
      </c>
      <c r="J93" s="213"/>
      <c r="K93" s="213"/>
      <c r="L93" s="213"/>
      <c r="M93" s="213"/>
      <c r="N93" s="213"/>
      <c r="O93" s="213"/>
      <c r="P93" s="213"/>
      <c r="Q93" s="213"/>
      <c r="V93" s="133"/>
      <c r="AJ93" s="285"/>
      <c r="AK93" s="285"/>
      <c r="AL93" s="285"/>
      <c r="AM93" s="285"/>
      <c r="AN93" s="285"/>
    </row>
    <row r="94" spans="1:40" x14ac:dyDescent="0.35">
      <c r="A94" s="302"/>
      <c r="B94" s="348" t="s">
        <v>992</v>
      </c>
      <c r="C94" s="128">
        <f>'Unit costs'!N96</f>
        <v>13</v>
      </c>
      <c r="D94" s="128">
        <f>'Financial impact (cash)'!D28*$C94</f>
        <v>0</v>
      </c>
      <c r="E94" s="128">
        <f>'Financial impact (cash)'!E28*$C94</f>
        <v>0</v>
      </c>
      <c r="F94" s="128">
        <f>'Financial impact (cash)'!F28*$C94</f>
        <v>0</v>
      </c>
      <c r="G94" s="128">
        <f>'Financial impact (cash)'!G28*$C94</f>
        <v>0</v>
      </c>
      <c r="H94" s="128">
        <f>'Financial impact (cash)'!H28*$C94</f>
        <v>0</v>
      </c>
      <c r="I94" s="128">
        <f>'Financial impact (cash)'!I28*$C94</f>
        <v>0</v>
      </c>
      <c r="J94" s="213"/>
      <c r="K94" s="213"/>
      <c r="L94" s="213"/>
      <c r="M94" s="213"/>
      <c r="N94" s="213"/>
      <c r="O94" s="213"/>
      <c r="P94" s="213"/>
      <c r="Q94" s="213"/>
      <c r="V94" s="133"/>
      <c r="AJ94" s="285"/>
      <c r="AK94" s="285"/>
      <c r="AL94" s="285"/>
      <c r="AM94" s="285"/>
      <c r="AN94" s="285"/>
    </row>
    <row r="95" spans="1:40" x14ac:dyDescent="0.35">
      <c r="A95" s="302"/>
      <c r="B95" s="348" t="s">
        <v>993</v>
      </c>
      <c r="C95" s="128">
        <v>12</v>
      </c>
      <c r="D95" s="128">
        <f>'Financial impact (cash)'!D29*$C95</f>
        <v>0</v>
      </c>
      <c r="E95" s="128">
        <f>'Financial impact (cash)'!E29*$C95</f>
        <v>0</v>
      </c>
      <c r="F95" s="128">
        <f>'Financial impact (cash)'!F29*$C95</f>
        <v>0</v>
      </c>
      <c r="G95" s="128">
        <f>'Financial impact (cash)'!G29*$C95</f>
        <v>0</v>
      </c>
      <c r="H95" s="128">
        <f>'Financial impact (cash)'!H29*$C95</f>
        <v>0</v>
      </c>
      <c r="I95" s="128">
        <f>'Financial impact (cash)'!I29*$C95</f>
        <v>0</v>
      </c>
      <c r="J95" s="213"/>
      <c r="K95" s="213"/>
      <c r="L95" s="213"/>
      <c r="M95" s="213"/>
      <c r="N95" s="213"/>
      <c r="O95" s="213"/>
      <c r="P95" s="213"/>
      <c r="Q95" s="213"/>
      <c r="V95" s="133"/>
      <c r="AJ95" s="285"/>
      <c r="AK95" s="285"/>
      <c r="AL95" s="285"/>
      <c r="AM95" s="285"/>
      <c r="AN95" s="285"/>
    </row>
    <row r="96" spans="1:40" x14ac:dyDescent="0.35">
      <c r="A96" s="302"/>
      <c r="B96" s="348" t="s">
        <v>994</v>
      </c>
      <c r="C96" s="128">
        <v>12</v>
      </c>
      <c r="D96" s="128">
        <f>'Financial impact (cash)'!D30*$C96</f>
        <v>0</v>
      </c>
      <c r="E96" s="128">
        <f>'Financial impact (cash)'!E30*$C96</f>
        <v>0</v>
      </c>
      <c r="F96" s="128">
        <f>'Financial impact (cash)'!F30*$C96</f>
        <v>0</v>
      </c>
      <c r="G96" s="128">
        <f>'Financial impact (cash)'!G30*$C96</f>
        <v>0</v>
      </c>
      <c r="H96" s="128">
        <f>'Financial impact (cash)'!H30*$C96</f>
        <v>0</v>
      </c>
      <c r="I96" s="128">
        <f>'Financial impact (cash)'!I30*$C96</f>
        <v>0</v>
      </c>
      <c r="J96" s="213"/>
      <c r="K96" s="213"/>
      <c r="L96" s="213"/>
      <c r="M96" s="213"/>
      <c r="N96" s="213"/>
      <c r="O96" s="213"/>
      <c r="P96" s="213"/>
      <c r="Q96" s="213"/>
      <c r="V96" s="133"/>
      <c r="AJ96" s="285"/>
      <c r="AK96" s="285"/>
      <c r="AL96" s="285"/>
      <c r="AM96" s="285"/>
      <c r="AN96" s="285"/>
    </row>
    <row r="97" spans="1:40" x14ac:dyDescent="0.35">
      <c r="A97" s="302"/>
      <c r="B97" s="348" t="s">
        <v>750</v>
      </c>
      <c r="C97" s="128">
        <v>0</v>
      </c>
      <c r="D97" s="128">
        <f>'Financial impact (cash)'!D31*$C97</f>
        <v>0</v>
      </c>
      <c r="E97" s="128">
        <f>'Financial impact (cash)'!E31*$C97</f>
        <v>0</v>
      </c>
      <c r="F97" s="128">
        <f>'Financial impact (cash)'!F31*$C97</f>
        <v>0</v>
      </c>
      <c r="G97" s="128">
        <f>'Financial impact (cash)'!G31*$C97</f>
        <v>0</v>
      </c>
      <c r="H97" s="128">
        <f>'Financial impact (cash)'!H31*$C97</f>
        <v>0</v>
      </c>
      <c r="I97" s="128">
        <f>'Financial impact (cash)'!I31*$C97</f>
        <v>0</v>
      </c>
      <c r="J97" s="213"/>
      <c r="K97" s="213"/>
      <c r="L97" s="213"/>
      <c r="M97" s="213"/>
      <c r="N97" s="213"/>
      <c r="O97" s="213"/>
      <c r="P97" s="213"/>
      <c r="Q97" s="213"/>
      <c r="V97" s="133"/>
      <c r="AJ97" s="285"/>
      <c r="AK97" s="285"/>
      <c r="AL97" s="285"/>
      <c r="AM97" s="285"/>
      <c r="AN97" s="285"/>
    </row>
    <row r="98" spans="1:40" x14ac:dyDescent="0.35">
      <c r="A98" s="302"/>
      <c r="B98" s="321"/>
      <c r="C98" s="321"/>
      <c r="D98" s="185">
        <f>SUM(D79:D97)</f>
        <v>0</v>
      </c>
      <c r="E98" s="185">
        <f t="shared" ref="E98:I98" si="42">SUM(E79:E97)</f>
        <v>0</v>
      </c>
      <c r="F98" s="185">
        <f t="shared" si="42"/>
        <v>0</v>
      </c>
      <c r="G98" s="185">
        <f t="shared" si="42"/>
        <v>0</v>
      </c>
      <c r="H98" s="185">
        <f t="shared" si="42"/>
        <v>0</v>
      </c>
      <c r="I98" s="185">
        <f t="shared" si="42"/>
        <v>0</v>
      </c>
      <c r="J98" s="294"/>
      <c r="K98" s="294"/>
      <c r="L98" s="294"/>
      <c r="M98" s="294"/>
      <c r="N98" s="294"/>
      <c r="O98" s="294"/>
      <c r="P98" s="294"/>
      <c r="Q98" s="294"/>
      <c r="V98" s="133"/>
      <c r="AJ98" s="285"/>
      <c r="AK98" s="285"/>
      <c r="AL98" s="285"/>
      <c r="AM98" s="285"/>
      <c r="AN98" s="285"/>
    </row>
    <row r="99" spans="1:40" x14ac:dyDescent="0.35">
      <c r="A99" s="302"/>
      <c r="B99" s="256"/>
      <c r="C99" s="256"/>
      <c r="D99" s="284" t="s">
        <v>995</v>
      </c>
      <c r="E99" s="185">
        <f>E98-$D$98</f>
        <v>0</v>
      </c>
      <c r="F99" s="185">
        <f>F98-$D$98</f>
        <v>0</v>
      </c>
      <c r="G99" s="185">
        <f>G98-$D$98</f>
        <v>0</v>
      </c>
      <c r="H99" s="185">
        <f>H98-$D$98</f>
        <v>0</v>
      </c>
      <c r="I99" s="185">
        <f>I98-$D$98</f>
        <v>0</v>
      </c>
      <c r="J99" s="294"/>
      <c r="K99" s="294"/>
      <c r="L99" s="294"/>
      <c r="M99" s="294"/>
      <c r="N99" s="294"/>
      <c r="O99" s="294"/>
      <c r="P99" s="294"/>
      <c r="Q99" s="294"/>
      <c r="S99" s="133"/>
      <c r="T99" s="133"/>
      <c r="U99" s="133"/>
      <c r="V99" s="133"/>
      <c r="W99" s="133"/>
      <c r="X99" s="133"/>
      <c r="Y99" s="133"/>
      <c r="Z99" s="133"/>
      <c r="AJ99" s="285"/>
      <c r="AK99" s="285"/>
      <c r="AL99" s="285"/>
      <c r="AM99" s="285"/>
      <c r="AN99" s="285"/>
    </row>
    <row r="100" spans="1:40" x14ac:dyDescent="0.35">
      <c r="A100" s="294"/>
      <c r="B100" s="320"/>
      <c r="C100" s="300"/>
      <c r="D100" s="300"/>
      <c r="E100" s="301"/>
      <c r="F100" s="294"/>
      <c r="G100" s="294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S100" s="133"/>
      <c r="T100" s="133"/>
      <c r="U100" s="133"/>
      <c r="V100" s="133"/>
      <c r="W100" s="133"/>
      <c r="X100" s="133"/>
      <c r="Y100" s="133"/>
      <c r="Z100" s="133"/>
      <c r="AJ100" s="285"/>
      <c r="AK100" s="285"/>
      <c r="AL100" s="285"/>
      <c r="AM100" s="285"/>
      <c r="AN100" s="285"/>
    </row>
    <row r="101" spans="1:40" x14ac:dyDescent="0.35">
      <c r="A101" s="286"/>
      <c r="B101" s="322" t="s">
        <v>996</v>
      </c>
      <c r="C101" s="303"/>
      <c r="D101" s="303"/>
      <c r="E101" s="304"/>
      <c r="F101" s="305"/>
      <c r="G101" s="306"/>
      <c r="H101" s="306"/>
      <c r="I101" s="306"/>
      <c r="J101" s="434"/>
      <c r="K101" s="286"/>
      <c r="L101" s="286"/>
      <c r="M101" s="286"/>
      <c r="N101" s="286"/>
      <c r="O101" s="286"/>
      <c r="P101" s="286"/>
      <c r="Q101" s="215"/>
      <c r="V101" s="133"/>
    </row>
    <row r="102" spans="1:40" x14ac:dyDescent="0.35">
      <c r="A102" s="286"/>
      <c r="B102" s="387" t="s">
        <v>997</v>
      </c>
      <c r="C102" s="388"/>
      <c r="D102" s="388"/>
      <c r="E102" s="388"/>
      <c r="F102" s="388"/>
      <c r="G102" s="388"/>
      <c r="H102" s="388"/>
      <c r="I102" s="214"/>
      <c r="J102" s="429"/>
      <c r="K102" s="215"/>
      <c r="L102" s="286"/>
      <c r="M102" s="286"/>
      <c r="N102" s="286"/>
      <c r="O102" s="286"/>
      <c r="P102" s="286"/>
      <c r="Q102" s="215"/>
      <c r="V102" s="133"/>
    </row>
    <row r="103" spans="1:40" ht="43.5" x14ac:dyDescent="0.35">
      <c r="A103" s="286"/>
      <c r="B103" s="281" t="s">
        <v>876</v>
      </c>
      <c r="C103" s="165" t="s">
        <v>998</v>
      </c>
      <c r="D103" s="421" t="s">
        <v>957</v>
      </c>
      <c r="E103" s="255" t="s">
        <v>685</v>
      </c>
      <c r="F103" s="255" t="s">
        <v>686</v>
      </c>
      <c r="G103" s="164" t="s">
        <v>914</v>
      </c>
      <c r="H103" s="164" t="s">
        <v>915</v>
      </c>
      <c r="I103" s="255" t="s">
        <v>916</v>
      </c>
      <c r="J103" s="286"/>
      <c r="K103" s="286"/>
      <c r="L103" s="286"/>
      <c r="M103" s="286"/>
      <c r="N103" s="286"/>
      <c r="O103" s="286"/>
      <c r="P103" s="286"/>
      <c r="Q103" s="215"/>
      <c r="V103" s="133"/>
    </row>
    <row r="104" spans="1:40" x14ac:dyDescent="0.35">
      <c r="A104" s="286"/>
      <c r="B104" s="348" t="s">
        <v>699</v>
      </c>
      <c r="C104" s="149">
        <f>'Inputs and eligible population'!F$111</f>
        <v>120</v>
      </c>
      <c r="D104" s="128">
        <f>('Financial impact (cash)'!D13*$C$104)/60</f>
        <v>0</v>
      </c>
      <c r="E104" s="128">
        <f>('Financial impact (cash)'!E13*$C$104)/60</f>
        <v>0</v>
      </c>
      <c r="F104" s="128">
        <f>('Financial impact (cash)'!F13*$C$104)/60</f>
        <v>0</v>
      </c>
      <c r="G104" s="128">
        <f>('Financial impact (cash)'!G13*$C$104)/60</f>
        <v>0</v>
      </c>
      <c r="H104" s="128">
        <f>('Financial impact (cash)'!H13*$C$104)/60</f>
        <v>0</v>
      </c>
      <c r="I104" s="128">
        <f>('Financial impact (cash)'!I13*$C$104)/60</f>
        <v>0</v>
      </c>
      <c r="J104" s="286"/>
      <c r="K104" s="286"/>
      <c r="L104" s="286"/>
      <c r="M104" s="286"/>
      <c r="N104" s="286"/>
      <c r="O104" s="286"/>
      <c r="P104" s="286"/>
      <c r="Q104" s="215"/>
      <c r="S104" s="133"/>
      <c r="T104" s="133"/>
      <c r="U104" s="133"/>
      <c r="V104" s="133"/>
      <c r="W104" s="133"/>
      <c r="X104" s="133"/>
      <c r="Y104" s="133"/>
      <c r="Z104" s="133"/>
      <c r="AJ104" s="285"/>
      <c r="AK104" s="285"/>
      <c r="AL104" s="285"/>
      <c r="AM104" s="285"/>
      <c r="AN104" s="285"/>
    </row>
    <row r="105" spans="1:40" x14ac:dyDescent="0.35">
      <c r="A105" s="286"/>
      <c r="B105" s="348" t="s">
        <v>701</v>
      </c>
      <c r="C105" s="149">
        <f>'Inputs and eligible population'!G$111</f>
        <v>180</v>
      </c>
      <c r="D105" s="128">
        <f>('Financial impact (cash)'!D14*$C$105)/60</f>
        <v>0</v>
      </c>
      <c r="E105" s="128">
        <f>('Financial impact (cash)'!E14*$C$105)/60</f>
        <v>0</v>
      </c>
      <c r="F105" s="128">
        <f>('Financial impact (cash)'!F14*$C$105)/60</f>
        <v>0</v>
      </c>
      <c r="G105" s="128">
        <f>('Financial impact (cash)'!G14*$C$105)/60</f>
        <v>0</v>
      </c>
      <c r="H105" s="128">
        <f>('Financial impact (cash)'!H14*$C$105)/60</f>
        <v>0</v>
      </c>
      <c r="I105" s="128">
        <f>('Financial impact (cash)'!I14*$C$105)/60</f>
        <v>0</v>
      </c>
      <c r="J105" s="286"/>
      <c r="K105" s="286"/>
      <c r="L105" s="286"/>
      <c r="M105" s="286"/>
      <c r="N105" s="286"/>
      <c r="O105" s="286"/>
      <c r="P105" s="286"/>
      <c r="Q105" s="215"/>
      <c r="S105" s="133"/>
      <c r="T105" s="133"/>
      <c r="U105" s="133"/>
      <c r="V105" s="133"/>
      <c r="W105" s="133"/>
      <c r="X105" s="133"/>
      <c r="Y105" s="133"/>
      <c r="Z105" s="133"/>
      <c r="AJ105" s="285"/>
      <c r="AK105" s="285"/>
      <c r="AL105" s="285"/>
      <c r="AM105" s="285"/>
      <c r="AN105" s="285"/>
    </row>
    <row r="106" spans="1:40" x14ac:dyDescent="0.35">
      <c r="A106" s="286"/>
      <c r="B106" s="348" t="s">
        <v>703</v>
      </c>
      <c r="C106" s="149">
        <f>'Inputs and eligible population'!H$111</f>
        <v>10</v>
      </c>
      <c r="D106" s="128">
        <f>('Financial impact (cash)'!D15*$C$106)/60</f>
        <v>0</v>
      </c>
      <c r="E106" s="128">
        <f>('Financial impact (cash)'!E15*$C$106)/60</f>
        <v>0</v>
      </c>
      <c r="F106" s="128">
        <f>('Financial impact (cash)'!F15*$C$106)/60</f>
        <v>0</v>
      </c>
      <c r="G106" s="128">
        <f>('Financial impact (cash)'!G15*$C$106)/60</f>
        <v>0</v>
      </c>
      <c r="H106" s="128">
        <f>('Financial impact (cash)'!H15*$C$106)/60</f>
        <v>0</v>
      </c>
      <c r="I106" s="128">
        <f>('Financial impact (cash)'!I15*$C$106)/60</f>
        <v>0</v>
      </c>
      <c r="J106" s="286"/>
      <c r="K106" s="286"/>
      <c r="L106" s="286"/>
      <c r="M106" s="286"/>
      <c r="N106" s="286"/>
      <c r="O106" s="286"/>
      <c r="P106" s="286"/>
      <c r="Q106" s="215"/>
      <c r="S106" s="133"/>
      <c r="T106" s="133"/>
      <c r="U106" s="133"/>
      <c r="V106" s="133"/>
      <c r="W106" s="133"/>
      <c r="X106" s="133"/>
      <c r="Y106" s="133"/>
      <c r="Z106" s="133"/>
      <c r="AJ106" s="285"/>
      <c r="AK106" s="285"/>
      <c r="AL106" s="285"/>
      <c r="AM106" s="285"/>
      <c r="AN106" s="285"/>
    </row>
    <row r="107" spans="1:40" x14ac:dyDescent="0.35">
      <c r="A107" s="286"/>
      <c r="B107" s="348" t="s">
        <v>705</v>
      </c>
      <c r="C107" s="149">
        <f>'Inputs and eligible population'!I$111</f>
        <v>0</v>
      </c>
      <c r="D107" s="128">
        <f>('Financial impact (cash)'!D16*$C$107)/60</f>
        <v>0</v>
      </c>
      <c r="E107" s="128">
        <f>('Financial impact (cash)'!E16*$C$107)/60</f>
        <v>0</v>
      </c>
      <c r="F107" s="128">
        <f>('Financial impact (cash)'!F16*$C$107)/60</f>
        <v>0</v>
      </c>
      <c r="G107" s="128">
        <f>('Financial impact (cash)'!G16*$C$107)/60</f>
        <v>0</v>
      </c>
      <c r="H107" s="128">
        <f>('Financial impact (cash)'!H16*$C$107)/60</f>
        <v>0</v>
      </c>
      <c r="I107" s="128">
        <f>('Financial impact (cash)'!I16*$C$107)/60</f>
        <v>0</v>
      </c>
      <c r="J107" s="286"/>
      <c r="K107" s="286"/>
      <c r="L107" s="286"/>
      <c r="M107" s="286"/>
      <c r="N107" s="286"/>
      <c r="O107" s="286"/>
      <c r="P107" s="286"/>
      <c r="Q107" s="215"/>
      <c r="S107" s="133"/>
      <c r="T107" s="133"/>
      <c r="U107" s="133"/>
      <c r="V107" s="133"/>
      <c r="W107" s="133"/>
      <c r="X107" s="133"/>
      <c r="Y107" s="133"/>
      <c r="Z107" s="133"/>
      <c r="AJ107" s="285"/>
      <c r="AK107" s="285"/>
      <c r="AL107" s="285"/>
      <c r="AM107" s="285"/>
      <c r="AN107" s="285"/>
    </row>
    <row r="108" spans="1:40" x14ac:dyDescent="0.35">
      <c r="A108" s="286"/>
      <c r="B108" s="348" t="s">
        <v>749</v>
      </c>
      <c r="C108" s="149">
        <f>'Inputs and eligible population'!J$111</f>
        <v>0</v>
      </c>
      <c r="D108" s="128">
        <f>('Financial impact (cash)'!D17*$C$108)/60</f>
        <v>0</v>
      </c>
      <c r="E108" s="128">
        <f>('Financial impact (cash)'!E17*$C$108)/60</f>
        <v>0</v>
      </c>
      <c r="F108" s="128">
        <f>('Financial impact (cash)'!F17*$C$108)/60</f>
        <v>0</v>
      </c>
      <c r="G108" s="128">
        <f>('Financial impact (cash)'!G17*$C$108)/60</f>
        <v>0</v>
      </c>
      <c r="H108" s="128">
        <f>('Financial impact (cash)'!H17*$C$108)/60</f>
        <v>0</v>
      </c>
      <c r="I108" s="128">
        <f>('Financial impact (cash)'!I17*$C$108)/60</f>
        <v>0</v>
      </c>
      <c r="J108" s="286"/>
      <c r="K108" s="286"/>
      <c r="L108" s="286"/>
      <c r="M108" s="286"/>
      <c r="N108" s="286"/>
      <c r="O108" s="286"/>
      <c r="P108" s="286"/>
      <c r="Q108" s="215"/>
      <c r="S108" s="133"/>
      <c r="T108" s="133"/>
      <c r="U108" s="133"/>
      <c r="V108" s="133"/>
      <c r="W108" s="133"/>
      <c r="X108" s="133"/>
      <c r="Y108" s="133"/>
      <c r="Z108" s="133"/>
      <c r="AJ108" s="285"/>
      <c r="AK108" s="285"/>
      <c r="AL108" s="285"/>
      <c r="AM108" s="285"/>
      <c r="AN108" s="285"/>
    </row>
    <row r="109" spans="1:40" x14ac:dyDescent="0.35">
      <c r="A109" s="286"/>
      <c r="B109" s="348" t="s">
        <v>711</v>
      </c>
      <c r="C109" s="149">
        <f>'Inputs and eligible population'!K$111</f>
        <v>60</v>
      </c>
      <c r="D109" s="128">
        <f>('Financial impact (cash)'!D18*$C$109)/60</f>
        <v>0</v>
      </c>
      <c r="E109" s="128">
        <f>('Financial impact (cash)'!E18*$C$109)/60</f>
        <v>0</v>
      </c>
      <c r="F109" s="128">
        <f>('Financial impact (cash)'!F18*$C$109)/60</f>
        <v>0</v>
      </c>
      <c r="G109" s="128">
        <f>('Financial impact (cash)'!G18*$C$109)/60</f>
        <v>0</v>
      </c>
      <c r="H109" s="128">
        <f>('Financial impact (cash)'!H18*$C$109)/60</f>
        <v>0</v>
      </c>
      <c r="I109" s="128">
        <f>('Financial impact (cash)'!I18*$C$109)/60</f>
        <v>0</v>
      </c>
      <c r="J109" s="286"/>
      <c r="K109" s="286"/>
      <c r="L109" s="286"/>
      <c r="M109" s="286"/>
      <c r="N109" s="286"/>
      <c r="O109" s="286"/>
      <c r="P109" s="286"/>
      <c r="Q109" s="215"/>
      <c r="S109" s="133"/>
      <c r="T109" s="133"/>
      <c r="U109" s="133"/>
      <c r="V109" s="133"/>
      <c r="W109" s="133"/>
      <c r="X109" s="133"/>
      <c r="Y109" s="133"/>
      <c r="Z109" s="133"/>
      <c r="AJ109" s="285"/>
      <c r="AK109" s="285"/>
      <c r="AL109" s="285"/>
      <c r="AM109" s="285"/>
      <c r="AN109" s="285"/>
    </row>
    <row r="110" spans="1:40" x14ac:dyDescent="0.35">
      <c r="A110" s="286"/>
      <c r="B110" s="348" t="s">
        <v>1101</v>
      </c>
      <c r="C110" s="149">
        <f>'Inputs and eligible population'!L$111</f>
        <v>0</v>
      </c>
      <c r="D110" s="128">
        <f>('Financial impact (cash)'!D19*$C$110)/60</f>
        <v>0</v>
      </c>
      <c r="E110" s="128">
        <f>('Financial impact (cash)'!E19*$C$110)/60</f>
        <v>0</v>
      </c>
      <c r="F110" s="128">
        <f>('Financial impact (cash)'!F19*$C$110)/60</f>
        <v>0</v>
      </c>
      <c r="G110" s="128">
        <f>('Financial impact (cash)'!G19*$C$110)/60</f>
        <v>0</v>
      </c>
      <c r="H110" s="128">
        <f>('Financial impact (cash)'!H19*$C$110)/60</f>
        <v>0</v>
      </c>
      <c r="I110" s="128">
        <f>('Financial impact (cash)'!I19*$C$110)/60</f>
        <v>0</v>
      </c>
      <c r="J110" s="286"/>
      <c r="K110" s="286"/>
      <c r="L110" s="286"/>
      <c r="M110" s="286"/>
      <c r="N110" s="286"/>
      <c r="O110" s="286"/>
      <c r="P110" s="286"/>
      <c r="Q110" s="215"/>
      <c r="S110" s="133"/>
      <c r="T110" s="133"/>
      <c r="U110" s="133"/>
      <c r="V110" s="133"/>
      <c r="W110" s="133"/>
      <c r="X110" s="133"/>
      <c r="Y110" s="133"/>
      <c r="Z110" s="133"/>
      <c r="AJ110" s="285"/>
      <c r="AK110" s="285"/>
      <c r="AL110" s="285"/>
      <c r="AM110" s="285"/>
      <c r="AN110" s="285"/>
    </row>
    <row r="111" spans="1:40" x14ac:dyDescent="0.35">
      <c r="A111" s="286"/>
      <c r="B111" s="348" t="s">
        <v>714</v>
      </c>
      <c r="C111" s="149">
        <f>'Inputs and eligible population'!M$111</f>
        <v>0</v>
      </c>
      <c r="D111" s="128">
        <f>('Financial impact (cash)'!D20*$C$111)/60</f>
        <v>0</v>
      </c>
      <c r="E111" s="128">
        <f>('Financial impact (cash)'!E20*$C$111)/60</f>
        <v>0</v>
      </c>
      <c r="F111" s="128">
        <f>('Financial impact (cash)'!F20*$C$111)/60</f>
        <v>0</v>
      </c>
      <c r="G111" s="128">
        <f>('Financial impact (cash)'!G20*$C$111)/60</f>
        <v>0</v>
      </c>
      <c r="H111" s="128">
        <f>('Financial impact (cash)'!H20*$C$111)/60</f>
        <v>0</v>
      </c>
      <c r="I111" s="128">
        <f>('Financial impact (cash)'!I20*$C$111)/60</f>
        <v>0</v>
      </c>
      <c r="J111" s="286"/>
      <c r="K111" s="286"/>
      <c r="L111" s="286"/>
      <c r="M111" s="286"/>
      <c r="N111" s="286"/>
      <c r="O111" s="286"/>
      <c r="P111" s="286"/>
      <c r="Q111" s="215"/>
      <c r="S111" s="133"/>
      <c r="T111" s="133"/>
      <c r="U111" s="133"/>
      <c r="V111" s="133"/>
      <c r="W111" s="133"/>
      <c r="X111" s="133"/>
      <c r="Y111" s="133"/>
      <c r="Z111" s="133"/>
      <c r="AJ111" s="285"/>
      <c r="AK111" s="285"/>
      <c r="AL111" s="285"/>
      <c r="AM111" s="285"/>
      <c r="AN111" s="285"/>
    </row>
    <row r="112" spans="1:40" x14ac:dyDescent="0.35">
      <c r="A112" s="286"/>
      <c r="B112" s="348" t="s">
        <v>717</v>
      </c>
      <c r="C112" s="149">
        <f>'Inputs and eligible population'!N$111</f>
        <v>0</v>
      </c>
      <c r="D112" s="128">
        <f>('Financial impact (cash)'!D21*$C$112)/60</f>
        <v>0</v>
      </c>
      <c r="E112" s="128">
        <f>('Financial impact (cash)'!E21*$C$112)/60</f>
        <v>0</v>
      </c>
      <c r="F112" s="128">
        <f>('Financial impact (cash)'!F21*$C$112)/60</f>
        <v>0</v>
      </c>
      <c r="G112" s="128">
        <f>('Financial impact (cash)'!G21*$C$112)/60</f>
        <v>0</v>
      </c>
      <c r="H112" s="128">
        <f>('Financial impact (cash)'!H21*$C$112)/60</f>
        <v>0</v>
      </c>
      <c r="I112" s="128">
        <f>('Financial impact (cash)'!I21*$C$112)/60</f>
        <v>0</v>
      </c>
      <c r="J112" s="286"/>
      <c r="K112" s="286"/>
      <c r="L112" s="286"/>
      <c r="M112" s="286"/>
      <c r="N112" s="286"/>
      <c r="O112" s="286"/>
      <c r="P112" s="286"/>
      <c r="Q112" s="215"/>
      <c r="S112" s="133"/>
      <c r="T112" s="133"/>
      <c r="U112" s="133"/>
      <c r="V112" s="133"/>
      <c r="W112" s="133"/>
      <c r="X112" s="133"/>
      <c r="Y112" s="133"/>
      <c r="Z112" s="133"/>
      <c r="AJ112" s="285"/>
      <c r="AK112" s="285"/>
      <c r="AL112" s="285"/>
      <c r="AM112" s="285"/>
      <c r="AN112" s="285"/>
    </row>
    <row r="113" spans="1:40" x14ac:dyDescent="0.35">
      <c r="A113" s="286"/>
      <c r="B113" s="348" t="s">
        <v>719</v>
      </c>
      <c r="C113" s="149">
        <f>'Inputs and eligible population'!O$111</f>
        <v>0</v>
      </c>
      <c r="D113" s="128">
        <f>('Financial impact (cash)'!D22*$C$113)/60</f>
        <v>0</v>
      </c>
      <c r="E113" s="128">
        <f>('Financial impact (cash)'!E22*$C$113)/60</f>
        <v>0</v>
      </c>
      <c r="F113" s="128">
        <f>('Financial impact (cash)'!F22*$C$113)/60</f>
        <v>0</v>
      </c>
      <c r="G113" s="128">
        <f>('Financial impact (cash)'!G22*$C$113)/60</f>
        <v>0</v>
      </c>
      <c r="H113" s="128">
        <f>('Financial impact (cash)'!H22*$C$113)/60</f>
        <v>0</v>
      </c>
      <c r="I113" s="128">
        <f>('Financial impact (cash)'!I22*$C$113)/60</f>
        <v>0</v>
      </c>
      <c r="J113" s="286"/>
      <c r="K113" s="286"/>
      <c r="L113" s="286"/>
      <c r="M113" s="286"/>
      <c r="N113" s="286"/>
      <c r="O113" s="286"/>
      <c r="P113" s="286"/>
      <c r="Q113" s="215"/>
      <c r="S113" s="133"/>
      <c r="T113" s="133"/>
      <c r="U113" s="133"/>
      <c r="V113" s="133"/>
      <c r="W113" s="133"/>
      <c r="X113" s="133"/>
      <c r="Y113" s="133"/>
      <c r="Z113" s="133"/>
      <c r="AJ113" s="285"/>
      <c r="AK113" s="285"/>
      <c r="AL113" s="285"/>
      <c r="AM113" s="285"/>
      <c r="AN113" s="285"/>
    </row>
    <row r="114" spans="1:40" x14ac:dyDescent="0.35">
      <c r="A114" s="286"/>
      <c r="B114" s="348" t="s">
        <v>721</v>
      </c>
      <c r="C114" s="149">
        <f>'Inputs and eligible population'!P$111</f>
        <v>0</v>
      </c>
      <c r="D114" s="128">
        <f>('Financial impact (cash)'!D23*$C$114)/60</f>
        <v>0</v>
      </c>
      <c r="E114" s="128">
        <f>('Financial impact (cash)'!E23*$C$114)/60</f>
        <v>0</v>
      </c>
      <c r="F114" s="128">
        <f>('Financial impact (cash)'!F23*$C$114)/60</f>
        <v>0</v>
      </c>
      <c r="G114" s="128">
        <f>('Financial impact (cash)'!G23*$C$114)/60</f>
        <v>0</v>
      </c>
      <c r="H114" s="128">
        <f>('Financial impact (cash)'!H23*$C$114)/60</f>
        <v>0</v>
      </c>
      <c r="I114" s="128">
        <f>('Financial impact (cash)'!I23*$C$114)/60</f>
        <v>0</v>
      </c>
      <c r="J114" s="286"/>
      <c r="K114" s="286"/>
      <c r="L114" s="286"/>
      <c r="M114" s="286"/>
      <c r="N114" s="286"/>
      <c r="O114" s="286"/>
      <c r="P114" s="286"/>
      <c r="Q114" s="215"/>
      <c r="S114" s="133"/>
      <c r="T114" s="133"/>
      <c r="U114" s="133"/>
      <c r="V114" s="133"/>
      <c r="W114" s="133"/>
      <c r="X114" s="133"/>
      <c r="Y114" s="133"/>
      <c r="Z114" s="133"/>
      <c r="AJ114" s="285"/>
      <c r="AK114" s="285"/>
      <c r="AL114" s="285"/>
      <c r="AM114" s="285"/>
      <c r="AN114" s="285"/>
    </row>
    <row r="115" spans="1:40" x14ac:dyDescent="0.35">
      <c r="A115" s="286"/>
      <c r="B115" s="348" t="s">
        <v>723</v>
      </c>
      <c r="C115" s="149">
        <f>'Inputs and eligible population'!Q$111</f>
        <v>0</v>
      </c>
      <c r="D115" s="128">
        <f>('Financial impact (cash)'!D24*$C$115)/60</f>
        <v>0</v>
      </c>
      <c r="E115" s="128">
        <f>('Financial impact (cash)'!E24*$C$115)/60</f>
        <v>0</v>
      </c>
      <c r="F115" s="128">
        <f>('Financial impact (cash)'!F24*$C$115)/60</f>
        <v>0</v>
      </c>
      <c r="G115" s="128">
        <f>('Financial impact (cash)'!G24*$C$115)/60</f>
        <v>0</v>
      </c>
      <c r="H115" s="128">
        <f>('Financial impact (cash)'!H24*$C$115)/60</f>
        <v>0</v>
      </c>
      <c r="I115" s="128">
        <f>('Financial impact (cash)'!I24*$C$115)/60</f>
        <v>0</v>
      </c>
      <c r="J115" s="286"/>
      <c r="K115" s="286"/>
      <c r="L115" s="286"/>
      <c r="M115" s="286"/>
      <c r="N115" s="286"/>
      <c r="O115" s="286"/>
      <c r="P115" s="286"/>
      <c r="Q115" s="215"/>
      <c r="S115" s="133"/>
      <c r="T115" s="133"/>
      <c r="U115" s="133"/>
      <c r="V115" s="133"/>
      <c r="W115" s="133"/>
      <c r="X115" s="133"/>
      <c r="Y115" s="133"/>
      <c r="Z115" s="133"/>
      <c r="AJ115" s="285"/>
      <c r="AK115" s="285"/>
      <c r="AL115" s="285"/>
      <c r="AM115" s="285"/>
      <c r="AN115" s="285"/>
    </row>
    <row r="116" spans="1:40" x14ac:dyDescent="0.35">
      <c r="A116" s="286"/>
      <c r="B116" s="348" t="s">
        <v>725</v>
      </c>
      <c r="C116" s="149">
        <f>'Inputs and eligible population'!R$111</f>
        <v>0</v>
      </c>
      <c r="D116" s="128">
        <f>('Financial impact (cash)'!D25*$C$116)/60</f>
        <v>0</v>
      </c>
      <c r="E116" s="128">
        <f>('Financial impact (cash)'!E25*$C$116)/60</f>
        <v>0</v>
      </c>
      <c r="F116" s="128">
        <f>('Financial impact (cash)'!F25*$C$116)/60</f>
        <v>0</v>
      </c>
      <c r="G116" s="128">
        <f>('Financial impact (cash)'!G25*$C$116)/60</f>
        <v>0</v>
      </c>
      <c r="H116" s="128">
        <f>('Financial impact (cash)'!H25*$C$116)/60</f>
        <v>0</v>
      </c>
      <c r="I116" s="128">
        <f>('Financial impact (cash)'!I25*$C$116)/60</f>
        <v>0</v>
      </c>
      <c r="J116" s="286"/>
      <c r="K116" s="286"/>
      <c r="L116" s="286"/>
      <c r="M116" s="286"/>
      <c r="N116" s="286"/>
      <c r="O116" s="286"/>
      <c r="P116" s="286"/>
      <c r="Q116" s="215"/>
      <c r="S116" s="133"/>
      <c r="T116" s="133"/>
      <c r="U116" s="133"/>
      <c r="V116" s="133"/>
      <c r="W116" s="133"/>
      <c r="X116" s="133"/>
      <c r="Y116" s="133"/>
      <c r="Z116" s="133"/>
      <c r="AJ116" s="285"/>
      <c r="AK116" s="285"/>
      <c r="AL116" s="285"/>
      <c r="AM116" s="285"/>
      <c r="AN116" s="285"/>
    </row>
    <row r="117" spans="1:40" x14ac:dyDescent="0.35">
      <c r="A117" s="286"/>
      <c r="B117" s="348" t="s">
        <v>727</v>
      </c>
      <c r="C117" s="149">
        <f>'Inputs and eligible population'!S$111</f>
        <v>0</v>
      </c>
      <c r="D117" s="128">
        <f>('Financial impact (cash)'!D26*$C$117)/60</f>
        <v>0</v>
      </c>
      <c r="E117" s="128">
        <f>('Financial impact (cash)'!E26*$C$117)/60</f>
        <v>0</v>
      </c>
      <c r="F117" s="128">
        <f>('Financial impact (cash)'!F26*$C$117)/60</f>
        <v>0</v>
      </c>
      <c r="G117" s="128">
        <f>('Financial impact (cash)'!G26*$C$117)/60</f>
        <v>0</v>
      </c>
      <c r="H117" s="128">
        <f>('Financial impact (cash)'!H26*$C$117)/60</f>
        <v>0</v>
      </c>
      <c r="I117" s="128">
        <f>('Financial impact (cash)'!I26*$C$117)/60</f>
        <v>0</v>
      </c>
      <c r="J117" s="286"/>
      <c r="K117" s="286"/>
      <c r="L117" s="286"/>
      <c r="M117" s="286"/>
      <c r="N117" s="286"/>
      <c r="O117" s="286"/>
      <c r="P117" s="286"/>
      <c r="Q117" s="215"/>
      <c r="S117" s="133"/>
      <c r="T117" s="133"/>
      <c r="U117" s="133"/>
      <c r="V117" s="133"/>
      <c r="W117" s="133"/>
      <c r="X117" s="133"/>
      <c r="Y117" s="133"/>
      <c r="Z117" s="133"/>
      <c r="AJ117" s="285"/>
      <c r="AK117" s="285"/>
      <c r="AL117" s="285"/>
      <c r="AM117" s="285"/>
      <c r="AN117" s="285"/>
    </row>
    <row r="118" spans="1:40" x14ac:dyDescent="0.35">
      <c r="A118" s="286"/>
      <c r="B118" s="348" t="s">
        <v>729</v>
      </c>
      <c r="C118" s="149">
        <f>'Inputs and eligible population'!T$111</f>
        <v>0</v>
      </c>
      <c r="D118" s="128">
        <f>('Financial impact (cash)'!D27*$C$118)/60</f>
        <v>0</v>
      </c>
      <c r="E118" s="128">
        <f>('Financial impact (cash)'!E27*$C$118)/60</f>
        <v>0</v>
      </c>
      <c r="F118" s="128">
        <f>('Financial impact (cash)'!F27*$C$118)/60</f>
        <v>0</v>
      </c>
      <c r="G118" s="128">
        <f>('Financial impact (cash)'!G27*$C$118)/60</f>
        <v>0</v>
      </c>
      <c r="H118" s="128">
        <f>('Financial impact (cash)'!H27*$C$118)/60</f>
        <v>0</v>
      </c>
      <c r="I118" s="128">
        <f>('Financial impact (cash)'!I27*$C$118)/60</f>
        <v>0</v>
      </c>
      <c r="J118" s="286"/>
      <c r="K118" s="286"/>
      <c r="L118" s="286"/>
      <c r="M118" s="286"/>
      <c r="N118" s="286"/>
      <c r="O118" s="286"/>
      <c r="P118" s="286"/>
      <c r="Q118" s="215"/>
      <c r="S118" s="133"/>
      <c r="T118" s="133"/>
      <c r="U118" s="133"/>
      <c r="V118" s="133"/>
      <c r="W118" s="133"/>
      <c r="X118" s="133"/>
      <c r="Y118" s="133"/>
      <c r="Z118" s="133"/>
      <c r="AJ118" s="285"/>
      <c r="AK118" s="285"/>
      <c r="AL118" s="285"/>
      <c r="AM118" s="285"/>
      <c r="AN118" s="285"/>
    </row>
    <row r="119" spans="1:40" x14ac:dyDescent="0.35">
      <c r="A119" s="286"/>
      <c r="B119" s="348" t="s">
        <v>731</v>
      </c>
      <c r="C119" s="149">
        <f>'Inputs and eligible population'!U$111</f>
        <v>60</v>
      </c>
      <c r="D119" s="128">
        <f>('Financial impact (cash)'!D28*$C$119)/60</f>
        <v>0</v>
      </c>
      <c r="E119" s="128">
        <f>('Financial impact (cash)'!E28*$C$119)/60</f>
        <v>0</v>
      </c>
      <c r="F119" s="128">
        <f>('Financial impact (cash)'!F28*$C$119)/60</f>
        <v>0</v>
      </c>
      <c r="G119" s="128">
        <f>('Financial impact (cash)'!G28*$C$119)/60</f>
        <v>0</v>
      </c>
      <c r="H119" s="128">
        <f>('Financial impact (cash)'!H28*$C$119)/60</f>
        <v>0</v>
      </c>
      <c r="I119" s="128">
        <f>('Financial impact (cash)'!I28*$C$119)/60</f>
        <v>0</v>
      </c>
      <c r="J119" s="286"/>
      <c r="K119" s="286"/>
      <c r="L119" s="286"/>
      <c r="M119" s="286"/>
      <c r="N119" s="286"/>
      <c r="O119" s="286"/>
      <c r="P119" s="286"/>
      <c r="Q119" s="215"/>
      <c r="S119" s="133"/>
      <c r="T119" s="133"/>
      <c r="U119" s="133"/>
      <c r="V119" s="133"/>
      <c r="W119" s="133"/>
      <c r="X119" s="133"/>
      <c r="Y119" s="133"/>
      <c r="Z119" s="133"/>
      <c r="AJ119" s="285"/>
      <c r="AK119" s="285"/>
      <c r="AL119" s="285"/>
      <c r="AM119" s="285"/>
      <c r="AN119" s="285"/>
    </row>
    <row r="120" spans="1:40" x14ac:dyDescent="0.35">
      <c r="A120" s="286"/>
      <c r="B120" s="348" t="s">
        <v>733</v>
      </c>
      <c r="C120" s="149">
        <f>'Inputs and eligible population'!V$111</f>
        <v>0</v>
      </c>
      <c r="D120" s="128">
        <f>('Financial impact (cash)'!D29*$C$120)/60</f>
        <v>0</v>
      </c>
      <c r="E120" s="128">
        <f>('Financial impact (cash)'!E29*$C$120)/60</f>
        <v>0</v>
      </c>
      <c r="F120" s="128">
        <f>('Financial impact (cash)'!F29*$C$120)/60</f>
        <v>0</v>
      </c>
      <c r="G120" s="128">
        <f>('Financial impact (cash)'!G29*$C$120)/60</f>
        <v>0</v>
      </c>
      <c r="H120" s="128">
        <f>('Financial impact (cash)'!H29*$C$120)/60</f>
        <v>0</v>
      </c>
      <c r="I120" s="128">
        <f>('Financial impact (cash)'!I29*$C$120)/60</f>
        <v>0</v>
      </c>
      <c r="J120" s="286"/>
      <c r="K120" s="286"/>
      <c r="L120" s="286"/>
      <c r="M120" s="286"/>
      <c r="N120" s="286"/>
      <c r="O120" s="286"/>
      <c r="P120" s="286"/>
      <c r="Q120" s="215"/>
      <c r="S120" s="133"/>
      <c r="T120" s="133"/>
      <c r="U120" s="133"/>
      <c r="V120" s="133"/>
      <c r="W120" s="133"/>
      <c r="X120" s="133"/>
      <c r="Y120" s="133"/>
      <c r="Z120" s="133"/>
      <c r="AJ120" s="285"/>
      <c r="AK120" s="285"/>
      <c r="AL120" s="285"/>
      <c r="AM120" s="285"/>
      <c r="AN120" s="285"/>
    </row>
    <row r="121" spans="1:40" x14ac:dyDescent="0.35">
      <c r="A121" s="286"/>
      <c r="B121" s="348" t="s">
        <v>735</v>
      </c>
      <c r="C121" s="149">
        <f>'Inputs and eligible population'!W$111</f>
        <v>0</v>
      </c>
      <c r="D121" s="128">
        <f>('Financial impact (cash)'!D30*$C$121)/60</f>
        <v>0</v>
      </c>
      <c r="E121" s="128">
        <f>('Financial impact (cash)'!E30*$C$121)/60</f>
        <v>0</v>
      </c>
      <c r="F121" s="128">
        <f>('Financial impact (cash)'!F30*$C$121)/60</f>
        <v>0</v>
      </c>
      <c r="G121" s="128">
        <f>('Financial impact (cash)'!G30*$C$121)/60</f>
        <v>0</v>
      </c>
      <c r="H121" s="128">
        <f>('Financial impact (cash)'!H30*$C$121)/60</f>
        <v>0</v>
      </c>
      <c r="I121" s="128">
        <f>('Financial impact (cash)'!I30*$C$121)/60</f>
        <v>0</v>
      </c>
      <c r="J121" s="286"/>
      <c r="K121" s="286"/>
      <c r="L121" s="286"/>
      <c r="M121" s="286"/>
      <c r="N121" s="286"/>
      <c r="O121" s="286"/>
      <c r="P121" s="286"/>
      <c r="Q121" s="215"/>
      <c r="S121" s="133"/>
      <c r="T121" s="133"/>
      <c r="U121" s="133"/>
      <c r="V121" s="133"/>
      <c r="W121" s="133"/>
      <c r="X121" s="133"/>
      <c r="Y121" s="133"/>
      <c r="Z121" s="133"/>
      <c r="AJ121" s="285"/>
      <c r="AK121" s="285"/>
      <c r="AL121" s="285"/>
      <c r="AM121" s="285"/>
      <c r="AN121" s="285"/>
    </row>
    <row r="122" spans="1:40" x14ac:dyDescent="0.35">
      <c r="A122" s="286"/>
      <c r="B122" s="348" t="s">
        <v>750</v>
      </c>
      <c r="C122" s="149">
        <f>'Inputs and eligible population'!X$111</f>
        <v>0</v>
      </c>
      <c r="D122" s="128">
        <f>('Financial impact (cash)'!D31*$C$122)/60</f>
        <v>0</v>
      </c>
      <c r="E122" s="128">
        <f>('Financial impact (cash)'!E31*$C$122)/60</f>
        <v>0</v>
      </c>
      <c r="F122" s="128">
        <f>('Financial impact (cash)'!F31*$C$122)/60</f>
        <v>0</v>
      </c>
      <c r="G122" s="128">
        <f>('Financial impact (cash)'!G31*$C$122)/60</f>
        <v>0</v>
      </c>
      <c r="H122" s="128">
        <f>('Financial impact (cash)'!H31*$C$122)/60</f>
        <v>0</v>
      </c>
      <c r="I122" s="128">
        <f>('Financial impact (cash)'!I31*$C$122)/60</f>
        <v>0</v>
      </c>
      <c r="J122" s="286"/>
      <c r="K122" s="286"/>
      <c r="L122" s="286"/>
      <c r="M122" s="286"/>
      <c r="N122" s="286"/>
      <c r="O122" s="286"/>
      <c r="P122" s="286"/>
      <c r="Q122" s="215"/>
      <c r="S122" s="133"/>
      <c r="T122" s="133"/>
      <c r="U122" s="133"/>
      <c r="V122" s="133"/>
      <c r="W122" s="133"/>
      <c r="X122" s="133"/>
      <c r="Y122" s="133"/>
      <c r="Z122" s="133"/>
      <c r="AJ122" s="285"/>
      <c r="AK122" s="285"/>
      <c r="AL122" s="285"/>
      <c r="AM122" s="285"/>
      <c r="AN122" s="285"/>
    </row>
    <row r="123" spans="1:40" x14ac:dyDescent="0.35">
      <c r="A123" s="286"/>
      <c r="B123" s="282" t="s">
        <v>999</v>
      </c>
      <c r="C123" s="321"/>
      <c r="D123" s="185">
        <f t="shared" ref="D123:I123" si="43">SUM(D104:D122)</f>
        <v>0</v>
      </c>
      <c r="E123" s="185">
        <f t="shared" si="43"/>
        <v>0</v>
      </c>
      <c r="F123" s="185">
        <f t="shared" si="43"/>
        <v>0</v>
      </c>
      <c r="G123" s="185">
        <f t="shared" si="43"/>
        <v>0</v>
      </c>
      <c r="H123" s="185">
        <f t="shared" si="43"/>
        <v>0</v>
      </c>
      <c r="I123" s="185">
        <f t="shared" si="43"/>
        <v>0</v>
      </c>
      <c r="J123" s="286"/>
      <c r="K123" s="286"/>
      <c r="L123" s="286"/>
      <c r="M123" s="286"/>
      <c r="N123" s="286"/>
      <c r="O123" s="286"/>
      <c r="P123" s="286"/>
      <c r="Q123" s="215"/>
      <c r="S123" s="133"/>
      <c r="T123" s="133"/>
      <c r="U123" s="133"/>
      <c r="V123" s="133"/>
      <c r="W123" s="133"/>
      <c r="X123" s="133"/>
      <c r="Y123" s="133"/>
      <c r="Z123" s="133"/>
      <c r="AJ123" s="285"/>
      <c r="AK123" s="285"/>
      <c r="AL123" s="285"/>
      <c r="AM123" s="285"/>
      <c r="AN123" s="285"/>
    </row>
    <row r="124" spans="1:40" x14ac:dyDescent="0.35">
      <c r="A124" s="286"/>
      <c r="B124" s="307"/>
      <c r="C124" s="256"/>
      <c r="D124" s="284" t="s">
        <v>1000</v>
      </c>
      <c r="E124" s="185">
        <f>E123-$D$123</f>
        <v>0</v>
      </c>
      <c r="F124" s="185">
        <f>F123-$D$123</f>
        <v>0</v>
      </c>
      <c r="G124" s="185">
        <f>G123-$D$123</f>
        <v>0</v>
      </c>
      <c r="H124" s="185">
        <f>H123-$D$123</f>
        <v>0</v>
      </c>
      <c r="I124" s="185">
        <f>I123-$D$123</f>
        <v>0</v>
      </c>
      <c r="J124" s="286"/>
      <c r="K124" s="286"/>
      <c r="L124" s="286"/>
      <c r="M124" s="286"/>
      <c r="N124" s="286"/>
      <c r="O124" s="286"/>
      <c r="P124" s="286"/>
      <c r="Q124" s="215"/>
      <c r="S124" s="133"/>
      <c r="T124" s="133"/>
      <c r="U124" s="133"/>
      <c r="V124" s="133"/>
      <c r="W124" s="133"/>
      <c r="X124" s="133"/>
      <c r="Y124" s="133"/>
      <c r="Z124" s="133"/>
      <c r="AJ124" s="285"/>
      <c r="AK124" s="285"/>
      <c r="AL124" s="285"/>
      <c r="AM124" s="285"/>
      <c r="AN124" s="285"/>
    </row>
    <row r="125" spans="1:40" x14ac:dyDescent="0.35">
      <c r="A125" s="286"/>
      <c r="B125" s="323"/>
      <c r="C125" s="215"/>
      <c r="D125" s="215"/>
      <c r="E125" s="215"/>
      <c r="F125" s="215"/>
      <c r="G125" s="215"/>
      <c r="H125" s="215"/>
      <c r="I125" s="215"/>
      <c r="J125" s="215"/>
      <c r="K125" s="215"/>
      <c r="L125" s="286"/>
      <c r="M125" s="286"/>
      <c r="N125" s="286"/>
      <c r="O125" s="286"/>
      <c r="P125" s="286"/>
      <c r="Q125" s="215"/>
      <c r="S125" s="133"/>
      <c r="T125" s="133"/>
      <c r="U125" s="133"/>
      <c r="V125" s="133"/>
      <c r="W125" s="133"/>
      <c r="X125" s="133"/>
      <c r="Y125" s="133"/>
      <c r="Z125" s="133"/>
      <c r="AJ125" s="285"/>
      <c r="AK125" s="285"/>
      <c r="AL125" s="285"/>
      <c r="AM125" s="285"/>
      <c r="AN125" s="285"/>
    </row>
    <row r="126" spans="1:40" x14ac:dyDescent="0.35">
      <c r="A126" s="286"/>
      <c r="B126" s="389" t="s">
        <v>1001</v>
      </c>
      <c r="C126" s="388"/>
      <c r="D126" s="388"/>
      <c r="E126" s="388"/>
      <c r="F126" s="388"/>
      <c r="G126" s="388"/>
      <c r="H126" s="388"/>
      <c r="I126" s="214"/>
      <c r="J126" s="429"/>
      <c r="K126" s="215"/>
      <c r="L126" s="286"/>
      <c r="M126" s="286"/>
      <c r="N126" s="286"/>
      <c r="O126" s="286"/>
      <c r="P126" s="286"/>
      <c r="Q126" s="215"/>
      <c r="S126" s="133"/>
      <c r="T126" s="133"/>
      <c r="U126" s="133"/>
      <c r="V126" s="133"/>
      <c r="W126" s="133"/>
      <c r="X126" s="133"/>
      <c r="Y126" s="133"/>
      <c r="Z126" s="133"/>
      <c r="AJ126" s="285"/>
      <c r="AK126" s="285"/>
      <c r="AL126" s="285"/>
      <c r="AM126" s="285"/>
      <c r="AN126" s="285"/>
    </row>
    <row r="127" spans="1:40" ht="58" x14ac:dyDescent="0.35">
      <c r="A127" s="286"/>
      <c r="B127" s="281" t="s">
        <v>876</v>
      </c>
      <c r="C127" s="165" t="s">
        <v>775</v>
      </c>
      <c r="D127" s="421" t="s">
        <v>957</v>
      </c>
      <c r="E127" s="255" t="s">
        <v>685</v>
      </c>
      <c r="F127" s="255" t="s">
        <v>686</v>
      </c>
      <c r="G127" s="164" t="s">
        <v>914</v>
      </c>
      <c r="H127" s="164" t="s">
        <v>915</v>
      </c>
      <c r="I127" s="255" t="s">
        <v>916</v>
      </c>
      <c r="J127" s="286"/>
      <c r="K127" s="286"/>
      <c r="L127" s="286"/>
      <c r="M127" s="286"/>
      <c r="N127" s="286"/>
      <c r="O127" s="286"/>
      <c r="P127" s="286"/>
      <c r="Q127" s="215"/>
      <c r="S127" s="133"/>
      <c r="T127" s="133"/>
      <c r="U127" s="133"/>
      <c r="V127" s="133"/>
      <c r="W127" s="133"/>
      <c r="X127" s="133"/>
      <c r="Y127" s="133"/>
      <c r="Z127" s="133"/>
      <c r="AJ127" s="285"/>
      <c r="AK127" s="285"/>
      <c r="AL127" s="285"/>
      <c r="AM127" s="285"/>
      <c r="AN127" s="285"/>
    </row>
    <row r="128" spans="1:40" x14ac:dyDescent="0.35">
      <c r="A128" s="286"/>
      <c r="B128" s="348" t="str">
        <f>B104</f>
        <v>Ublituximab</v>
      </c>
      <c r="C128" s="149">
        <f>'Inputs and eligible population'!F$112</f>
        <v>60</v>
      </c>
      <c r="D128" s="128">
        <f>('Financial impact (cash)'!D13*$C128)/60</f>
        <v>0</v>
      </c>
      <c r="E128" s="128">
        <f>('Financial impact (cash)'!E13*$C128)/60</f>
        <v>0</v>
      </c>
      <c r="F128" s="128">
        <f>('Financial impact (cash)'!F13*$C128)/60</f>
        <v>0</v>
      </c>
      <c r="G128" s="128">
        <f>('Financial impact (cash)'!G13*$C128)/60</f>
        <v>0</v>
      </c>
      <c r="H128" s="128">
        <f>('Financial impact (cash)'!H13*$C128)/60</f>
        <v>0</v>
      </c>
      <c r="I128" s="128">
        <f>('Financial impact (cash)'!I13*$C128)/60</f>
        <v>0</v>
      </c>
      <c r="J128" s="286"/>
      <c r="K128" s="286"/>
      <c r="L128" s="286"/>
      <c r="M128" s="286"/>
      <c r="N128" s="286"/>
      <c r="O128" s="286"/>
      <c r="P128" s="286"/>
      <c r="Q128" s="215"/>
      <c r="S128" s="133"/>
      <c r="T128" s="133"/>
      <c r="U128" s="133"/>
      <c r="V128" s="133"/>
      <c r="W128" s="133"/>
      <c r="X128" s="133"/>
      <c r="Y128" s="133"/>
      <c r="Z128" s="133"/>
      <c r="AJ128" s="285"/>
      <c r="AK128" s="285"/>
      <c r="AL128" s="285"/>
      <c r="AM128" s="285"/>
      <c r="AN128" s="285"/>
    </row>
    <row r="129" spans="1:40" x14ac:dyDescent="0.35">
      <c r="A129" s="286"/>
      <c r="B129" s="348" t="s">
        <v>701</v>
      </c>
      <c r="C129" s="149">
        <f>'Inputs and eligible population'!G$112</f>
        <v>60</v>
      </c>
      <c r="D129" s="128">
        <f>('Financial impact (cash)'!D14*$C129)/60</f>
        <v>0</v>
      </c>
      <c r="E129" s="128">
        <f>('Financial impact (cash)'!E14*$C129)/60</f>
        <v>0</v>
      </c>
      <c r="F129" s="128">
        <f>('Financial impact (cash)'!F14*$C129)/60</f>
        <v>0</v>
      </c>
      <c r="G129" s="128">
        <f>('Financial impact (cash)'!G14*$C129)/60</f>
        <v>0</v>
      </c>
      <c r="H129" s="128">
        <f>('Financial impact (cash)'!H14*$C129)/60</f>
        <v>0</v>
      </c>
      <c r="I129" s="128">
        <f>('Financial impact (cash)'!I14*$C129)/60</f>
        <v>0</v>
      </c>
      <c r="J129" s="286"/>
      <c r="K129" s="286"/>
      <c r="L129" s="286"/>
      <c r="M129" s="286"/>
      <c r="N129" s="286"/>
      <c r="O129" s="286"/>
      <c r="P129" s="286"/>
      <c r="Q129" s="215"/>
      <c r="S129" s="133"/>
      <c r="T129" s="133"/>
      <c r="U129" s="133"/>
      <c r="V129" s="133"/>
      <c r="W129" s="133"/>
      <c r="X129" s="133"/>
      <c r="Y129" s="133"/>
      <c r="Z129" s="133"/>
      <c r="AJ129" s="285"/>
      <c r="AK129" s="285"/>
      <c r="AL129" s="285"/>
      <c r="AM129" s="285"/>
      <c r="AN129" s="285"/>
    </row>
    <row r="130" spans="1:40" x14ac:dyDescent="0.35">
      <c r="A130" s="286"/>
      <c r="B130" s="348" t="s">
        <v>703</v>
      </c>
      <c r="C130" s="149">
        <f>'Inputs and eligible population'!H$112</f>
        <v>10</v>
      </c>
      <c r="D130" s="128">
        <f>('Financial impact (cash)'!D15*$C130)/60</f>
        <v>0</v>
      </c>
      <c r="E130" s="128">
        <f>('Financial impact (cash)'!E15*$C130)/60</f>
        <v>0</v>
      </c>
      <c r="F130" s="128">
        <f>('Financial impact (cash)'!F15*$C130)/60</f>
        <v>0</v>
      </c>
      <c r="G130" s="128">
        <f>('Financial impact (cash)'!G15*$C130)/60</f>
        <v>0</v>
      </c>
      <c r="H130" s="128">
        <f>('Financial impact (cash)'!H15*$C130)/60</f>
        <v>0</v>
      </c>
      <c r="I130" s="128">
        <f>('Financial impact (cash)'!I15*$C130)/60</f>
        <v>0</v>
      </c>
      <c r="J130" s="286"/>
      <c r="K130" s="286"/>
      <c r="L130" s="286"/>
      <c r="M130" s="286"/>
      <c r="N130" s="286"/>
      <c r="O130" s="286"/>
      <c r="P130" s="286"/>
      <c r="Q130" s="215"/>
      <c r="S130" s="133"/>
      <c r="T130" s="133"/>
      <c r="U130" s="133"/>
      <c r="V130" s="133"/>
      <c r="W130" s="133"/>
      <c r="X130" s="133"/>
      <c r="Y130" s="133"/>
      <c r="Z130" s="133"/>
      <c r="AJ130" s="285"/>
      <c r="AK130" s="285"/>
      <c r="AL130" s="285"/>
      <c r="AM130" s="285"/>
      <c r="AN130" s="285"/>
    </row>
    <row r="131" spans="1:40" x14ac:dyDescent="0.35">
      <c r="A131" s="286"/>
      <c r="B131" s="348" t="str">
        <f>B107</f>
        <v>Ofatumumab</v>
      </c>
      <c r="C131" s="149">
        <f>'Inputs and eligible population'!I$112</f>
        <v>0</v>
      </c>
      <c r="D131" s="128">
        <f>('Financial impact (cash)'!D16*$C131)/60</f>
        <v>0</v>
      </c>
      <c r="E131" s="128">
        <f>('Financial impact (cash)'!E16*$C131)/60</f>
        <v>0</v>
      </c>
      <c r="F131" s="128">
        <f>('Financial impact (cash)'!F16*$C131)/60</f>
        <v>0</v>
      </c>
      <c r="G131" s="128">
        <f>('Financial impact (cash)'!G16*$C131)/60</f>
        <v>0</v>
      </c>
      <c r="H131" s="128">
        <f>('Financial impact (cash)'!H16*$C131)/60</f>
        <v>0</v>
      </c>
      <c r="I131" s="128">
        <f>('Financial impact (cash)'!I16*$C131)/60</f>
        <v>0</v>
      </c>
      <c r="J131" s="286"/>
      <c r="K131" s="286"/>
      <c r="L131" s="286"/>
      <c r="M131" s="286"/>
      <c r="N131" s="286"/>
      <c r="O131" s="286"/>
      <c r="P131" s="286"/>
      <c r="Q131" s="215"/>
      <c r="S131" s="133"/>
      <c r="T131" s="133"/>
      <c r="U131" s="133"/>
      <c r="V131" s="133"/>
      <c r="W131" s="133"/>
      <c r="X131" s="133"/>
      <c r="Y131" s="133"/>
      <c r="Z131" s="133"/>
      <c r="AJ131" s="285"/>
      <c r="AK131" s="285"/>
      <c r="AL131" s="285"/>
      <c r="AM131" s="285"/>
      <c r="AN131" s="285"/>
    </row>
    <row r="132" spans="1:40" x14ac:dyDescent="0.35">
      <c r="A132" s="286"/>
      <c r="B132" s="348" t="str">
        <f>B108</f>
        <v xml:space="preserve">Ponesimod </v>
      </c>
      <c r="C132" s="149">
        <f>'Inputs and eligible population'!J$112</f>
        <v>0</v>
      </c>
      <c r="D132" s="128">
        <f>('Financial impact (cash)'!D17*$C132)/60</f>
        <v>0</v>
      </c>
      <c r="E132" s="128">
        <f>('Financial impact (cash)'!E17*$C132)/60</f>
        <v>0</v>
      </c>
      <c r="F132" s="128">
        <f>('Financial impact (cash)'!F17*$C132)/60</f>
        <v>0</v>
      </c>
      <c r="G132" s="128">
        <f>('Financial impact (cash)'!G17*$C132)/60</f>
        <v>0</v>
      </c>
      <c r="H132" s="128">
        <f>('Financial impact (cash)'!H17*$C132)/60</f>
        <v>0</v>
      </c>
      <c r="I132" s="128">
        <f>('Financial impact (cash)'!I17*$C132)/60</f>
        <v>0</v>
      </c>
      <c r="J132" s="286"/>
      <c r="K132" s="286"/>
      <c r="L132" s="286"/>
      <c r="M132" s="286"/>
      <c r="N132" s="286"/>
      <c r="O132" s="286"/>
      <c r="P132" s="286"/>
      <c r="Q132" s="215"/>
      <c r="S132" s="133"/>
      <c r="T132" s="133"/>
      <c r="U132" s="133"/>
      <c r="V132" s="133"/>
      <c r="W132" s="133"/>
      <c r="X132" s="133"/>
      <c r="Y132" s="133"/>
      <c r="Z132" s="133"/>
      <c r="AJ132" s="285"/>
      <c r="AK132" s="285"/>
      <c r="AL132" s="285"/>
      <c r="AM132" s="285"/>
      <c r="AN132" s="285"/>
    </row>
    <row r="133" spans="1:40" x14ac:dyDescent="0.35">
      <c r="A133" s="286"/>
      <c r="B133" s="348" t="str">
        <f>B109</f>
        <v>Alemtuzumab</v>
      </c>
      <c r="C133" s="149">
        <f>'Inputs and eligible population'!K$112</f>
        <v>30</v>
      </c>
      <c r="D133" s="128">
        <f>('Financial impact (cash)'!D18*$C133)/60</f>
        <v>0</v>
      </c>
      <c r="E133" s="128">
        <f>('Financial impact (cash)'!E18*$C133)/60</f>
        <v>0</v>
      </c>
      <c r="F133" s="128">
        <f>('Financial impact (cash)'!F18*$C133)/60</f>
        <v>0</v>
      </c>
      <c r="G133" s="128">
        <f>('Financial impact (cash)'!G18*$C133)/60</f>
        <v>0</v>
      </c>
      <c r="H133" s="128">
        <f>('Financial impact (cash)'!H18*$C133)/60</f>
        <v>0</v>
      </c>
      <c r="I133" s="128">
        <f>('Financial impact (cash)'!I18*$C133)/60</f>
        <v>0</v>
      </c>
      <c r="J133" s="286"/>
      <c r="K133" s="286"/>
      <c r="L133" s="286"/>
      <c r="M133" s="286"/>
      <c r="N133" s="286"/>
      <c r="O133" s="286"/>
      <c r="P133" s="286"/>
      <c r="Q133" s="215"/>
      <c r="S133" s="133"/>
      <c r="T133" s="133"/>
      <c r="U133" s="133"/>
      <c r="V133" s="133"/>
      <c r="W133" s="133"/>
      <c r="X133" s="133"/>
      <c r="Y133" s="133"/>
      <c r="Z133" s="133"/>
      <c r="AJ133" s="285"/>
      <c r="AK133" s="285"/>
      <c r="AL133" s="285"/>
      <c r="AM133" s="285"/>
      <c r="AN133" s="285"/>
    </row>
    <row r="134" spans="1:40" x14ac:dyDescent="0.35">
      <c r="A134" s="286"/>
      <c r="B134" s="348" t="s">
        <v>1101</v>
      </c>
      <c r="C134" s="149">
        <f>'Inputs and eligible population'!L$112</f>
        <v>0</v>
      </c>
      <c r="D134" s="128">
        <f>('Financial impact (cash)'!D19*$C134)/60</f>
        <v>0</v>
      </c>
      <c r="E134" s="128">
        <f>('Financial impact (cash)'!E19*$C134)/60</f>
        <v>0</v>
      </c>
      <c r="F134" s="128">
        <f>('Financial impact (cash)'!F19*$C134)/60</f>
        <v>0</v>
      </c>
      <c r="G134" s="128">
        <f>('Financial impact (cash)'!G19*$C134)/60</f>
        <v>0</v>
      </c>
      <c r="H134" s="128">
        <f>('Financial impact (cash)'!H19*$C134)/60</f>
        <v>0</v>
      </c>
      <c r="I134" s="128">
        <f>('Financial impact (cash)'!I19*$C134)/60</f>
        <v>0</v>
      </c>
      <c r="J134" s="286"/>
      <c r="K134" s="286"/>
      <c r="L134" s="286"/>
      <c r="M134" s="286"/>
      <c r="N134" s="286"/>
      <c r="O134" s="286"/>
      <c r="P134" s="286"/>
      <c r="Q134" s="215"/>
      <c r="S134" s="133"/>
      <c r="T134" s="133"/>
      <c r="U134" s="133"/>
      <c r="V134" s="133"/>
      <c r="W134" s="133"/>
      <c r="X134" s="133"/>
      <c r="Y134" s="133"/>
      <c r="Z134" s="133"/>
      <c r="AJ134" s="285"/>
      <c r="AK134" s="285"/>
      <c r="AL134" s="285"/>
      <c r="AM134" s="285"/>
      <c r="AN134" s="285"/>
    </row>
    <row r="135" spans="1:40" x14ac:dyDescent="0.35">
      <c r="A135" s="286"/>
      <c r="B135" s="348" t="str">
        <f t="shared" ref="B135:B146" si="44">B111</f>
        <v>Dimethyl fumarate</v>
      </c>
      <c r="C135" s="149">
        <f>'Inputs and eligible population'!M$112</f>
        <v>0</v>
      </c>
      <c r="D135" s="128">
        <f>('Financial impact (cash)'!D20*$C135)/60</f>
        <v>0</v>
      </c>
      <c r="E135" s="128">
        <f>('Financial impact (cash)'!E20*$C135)/60</f>
        <v>0</v>
      </c>
      <c r="F135" s="128">
        <f>('Financial impact (cash)'!F20*$C135)/60</f>
        <v>0</v>
      </c>
      <c r="G135" s="128">
        <f>('Financial impact (cash)'!G20*$C135)/60</f>
        <v>0</v>
      </c>
      <c r="H135" s="128">
        <f>('Financial impact (cash)'!H20*$C135)/60</f>
        <v>0</v>
      </c>
      <c r="I135" s="128">
        <f>('Financial impact (cash)'!I20*$C135)/60</f>
        <v>0</v>
      </c>
      <c r="J135" s="286"/>
      <c r="K135" s="286"/>
      <c r="L135" s="286"/>
      <c r="M135" s="286"/>
      <c r="N135" s="286"/>
      <c r="O135" s="286"/>
      <c r="P135" s="286"/>
      <c r="Q135" s="215"/>
      <c r="S135" s="133"/>
      <c r="T135" s="133"/>
      <c r="U135" s="133"/>
      <c r="V135" s="133"/>
      <c r="W135" s="133"/>
      <c r="X135" s="133"/>
      <c r="Y135" s="133"/>
      <c r="Z135" s="133"/>
      <c r="AJ135" s="285"/>
      <c r="AK135" s="285"/>
      <c r="AL135" s="285"/>
      <c r="AM135" s="285"/>
      <c r="AN135" s="285"/>
    </row>
    <row r="136" spans="1:40" x14ac:dyDescent="0.35">
      <c r="A136" s="286"/>
      <c r="B136" s="348" t="str">
        <f t="shared" si="44"/>
        <v>Diroximel fumarate</v>
      </c>
      <c r="C136" s="149">
        <f>'Inputs and eligible population'!N$112</f>
        <v>0</v>
      </c>
      <c r="D136" s="128">
        <f>('Financial impact (cash)'!D21*$C136)/60</f>
        <v>0</v>
      </c>
      <c r="E136" s="128">
        <f>('Financial impact (cash)'!E21*$C136)/60</f>
        <v>0</v>
      </c>
      <c r="F136" s="128">
        <f>('Financial impact (cash)'!F21*$C136)/60</f>
        <v>0</v>
      </c>
      <c r="G136" s="128">
        <f>('Financial impact (cash)'!G21*$C136)/60</f>
        <v>0</v>
      </c>
      <c r="H136" s="128">
        <f>('Financial impact (cash)'!H21*$C136)/60</f>
        <v>0</v>
      </c>
      <c r="I136" s="128">
        <f>('Financial impact (cash)'!I21*$C136)/60</f>
        <v>0</v>
      </c>
      <c r="J136" s="286"/>
      <c r="K136" s="286"/>
      <c r="L136" s="286"/>
      <c r="M136" s="286"/>
      <c r="N136" s="286"/>
      <c r="O136" s="286"/>
      <c r="P136" s="286"/>
      <c r="Q136" s="215"/>
      <c r="S136" s="133"/>
      <c r="T136" s="133"/>
      <c r="U136" s="133"/>
      <c r="V136" s="133"/>
      <c r="W136" s="133"/>
      <c r="X136" s="133"/>
      <c r="Y136" s="133"/>
      <c r="Z136" s="133"/>
      <c r="AJ136" s="285"/>
      <c r="AK136" s="285"/>
      <c r="AL136" s="285"/>
      <c r="AM136" s="285"/>
      <c r="AN136" s="285"/>
    </row>
    <row r="137" spans="1:40" x14ac:dyDescent="0.35">
      <c r="A137" s="286"/>
      <c r="B137" s="348" t="str">
        <f t="shared" si="44"/>
        <v>Fingolimod</v>
      </c>
      <c r="C137" s="149">
        <f>'Inputs and eligible population'!O$112</f>
        <v>0</v>
      </c>
      <c r="D137" s="128">
        <f>('Financial impact (cash)'!D22*$C137)/60</f>
        <v>0</v>
      </c>
      <c r="E137" s="128">
        <f>('Financial impact (cash)'!E22*$C137)/60</f>
        <v>0</v>
      </c>
      <c r="F137" s="128">
        <f>('Financial impact (cash)'!F22*$C137)/60</f>
        <v>0</v>
      </c>
      <c r="G137" s="128">
        <f>('Financial impact (cash)'!G22*$C137)/60</f>
        <v>0</v>
      </c>
      <c r="H137" s="128">
        <f>('Financial impact (cash)'!H22*$C137)/60</f>
        <v>0</v>
      </c>
      <c r="I137" s="128">
        <f>('Financial impact (cash)'!I22*$C137)/60</f>
        <v>0</v>
      </c>
      <c r="J137" s="286"/>
      <c r="K137" s="286"/>
      <c r="L137" s="286"/>
      <c r="M137" s="286"/>
      <c r="N137" s="286"/>
      <c r="O137" s="286"/>
      <c r="P137" s="286"/>
      <c r="Q137" s="215"/>
      <c r="S137" s="133"/>
      <c r="T137" s="133"/>
      <c r="U137" s="133"/>
      <c r="V137" s="133"/>
      <c r="W137" s="133"/>
      <c r="X137" s="133"/>
      <c r="Y137" s="133"/>
      <c r="Z137" s="133"/>
      <c r="AJ137" s="285"/>
      <c r="AK137" s="285"/>
      <c r="AL137" s="285"/>
      <c r="AM137" s="285"/>
      <c r="AN137" s="285"/>
    </row>
    <row r="138" spans="1:40" x14ac:dyDescent="0.35">
      <c r="A138" s="286"/>
      <c r="B138" s="348" t="str">
        <f t="shared" si="44"/>
        <v>Glatiramer acetate</v>
      </c>
      <c r="C138" s="149">
        <f>'Inputs and eligible population'!P$112</f>
        <v>0</v>
      </c>
      <c r="D138" s="128">
        <f>('Financial impact (cash)'!D23*$C138)/60</f>
        <v>0</v>
      </c>
      <c r="E138" s="128">
        <f>('Financial impact (cash)'!E23*$C138)/60</f>
        <v>0</v>
      </c>
      <c r="F138" s="128">
        <f>('Financial impact (cash)'!F23*$C138)/60</f>
        <v>0</v>
      </c>
      <c r="G138" s="128">
        <f>('Financial impact (cash)'!G23*$C138)/60</f>
        <v>0</v>
      </c>
      <c r="H138" s="128">
        <f>('Financial impact (cash)'!H23*$C138)/60</f>
        <v>0</v>
      </c>
      <c r="I138" s="128">
        <f>('Financial impact (cash)'!I23*$C138)/60</f>
        <v>0</v>
      </c>
      <c r="J138" s="286"/>
      <c r="K138" s="286"/>
      <c r="L138" s="286"/>
      <c r="M138" s="286"/>
      <c r="N138" s="286"/>
      <c r="O138" s="286"/>
      <c r="P138" s="286"/>
      <c r="Q138" s="215"/>
      <c r="S138" s="133"/>
      <c r="T138" s="133"/>
      <c r="U138" s="133"/>
      <c r="V138" s="133"/>
      <c r="W138" s="133"/>
      <c r="X138" s="133"/>
      <c r="Y138" s="133"/>
      <c r="Z138" s="133"/>
      <c r="AJ138" s="285"/>
      <c r="AK138" s="285"/>
      <c r="AL138" s="285"/>
      <c r="AM138" s="285"/>
      <c r="AN138" s="285"/>
    </row>
    <row r="139" spans="1:40" x14ac:dyDescent="0.35">
      <c r="A139" s="286"/>
      <c r="B139" s="348" t="str">
        <f t="shared" si="44"/>
        <v>Interferon beta-1a 22 mcg</v>
      </c>
      <c r="C139" s="149">
        <f>'Inputs and eligible population'!Q$112</f>
        <v>0</v>
      </c>
      <c r="D139" s="128">
        <f>('Financial impact (cash)'!D24*$C139)/60</f>
        <v>0</v>
      </c>
      <c r="E139" s="128">
        <f>('Financial impact (cash)'!E24*$C139)/60</f>
        <v>0</v>
      </c>
      <c r="F139" s="128">
        <f>('Financial impact (cash)'!F24*$C139)/60</f>
        <v>0</v>
      </c>
      <c r="G139" s="128">
        <f>('Financial impact (cash)'!G24*$C139)/60</f>
        <v>0</v>
      </c>
      <c r="H139" s="128">
        <f>('Financial impact (cash)'!H24*$C139)/60</f>
        <v>0</v>
      </c>
      <c r="I139" s="128">
        <f>('Financial impact (cash)'!I24*$C139)/60</f>
        <v>0</v>
      </c>
      <c r="J139" s="286"/>
      <c r="K139" s="286"/>
      <c r="L139" s="286"/>
      <c r="M139" s="286"/>
      <c r="N139" s="286"/>
      <c r="O139" s="286"/>
      <c r="P139" s="286"/>
      <c r="Q139" s="215"/>
      <c r="S139" s="133"/>
      <c r="T139" s="133"/>
      <c r="U139" s="133"/>
      <c r="V139" s="133"/>
      <c r="W139" s="133"/>
      <c r="X139" s="133"/>
      <c r="Y139" s="133"/>
      <c r="Z139" s="133"/>
      <c r="AJ139" s="285"/>
      <c r="AK139" s="285"/>
      <c r="AL139" s="285"/>
      <c r="AM139" s="285"/>
      <c r="AN139" s="285"/>
    </row>
    <row r="140" spans="1:40" x14ac:dyDescent="0.35">
      <c r="A140" s="286"/>
      <c r="B140" s="348" t="str">
        <f t="shared" si="44"/>
        <v>Interferon beta-1a 30 mcg</v>
      </c>
      <c r="C140" s="149">
        <f>'Inputs and eligible population'!R$112</f>
        <v>0</v>
      </c>
      <c r="D140" s="128">
        <f>('Financial impact (cash)'!D25*$C140)/60</f>
        <v>0</v>
      </c>
      <c r="E140" s="128">
        <f>('Financial impact (cash)'!E25*$C140)/60</f>
        <v>0</v>
      </c>
      <c r="F140" s="128">
        <f>('Financial impact (cash)'!F25*$C140)/60</f>
        <v>0</v>
      </c>
      <c r="G140" s="128">
        <f>('Financial impact (cash)'!G25*$C140)/60</f>
        <v>0</v>
      </c>
      <c r="H140" s="128">
        <f>('Financial impact (cash)'!H25*$C140)/60</f>
        <v>0</v>
      </c>
      <c r="I140" s="128">
        <f>('Financial impact (cash)'!I25*$C140)/60</f>
        <v>0</v>
      </c>
      <c r="J140" s="286"/>
      <c r="K140" s="286"/>
      <c r="L140" s="286"/>
      <c r="M140" s="286"/>
      <c r="N140" s="286"/>
      <c r="O140" s="286"/>
      <c r="P140" s="286"/>
      <c r="Q140" s="215"/>
      <c r="S140" s="133"/>
      <c r="T140" s="133"/>
      <c r="U140" s="133"/>
      <c r="V140" s="133"/>
      <c r="W140" s="133"/>
      <c r="X140" s="133"/>
      <c r="Y140" s="133"/>
      <c r="Z140" s="133"/>
      <c r="AJ140" s="285"/>
      <c r="AK140" s="285"/>
      <c r="AL140" s="285"/>
      <c r="AM140" s="285"/>
      <c r="AN140" s="285"/>
    </row>
    <row r="141" spans="1:40" x14ac:dyDescent="0.35">
      <c r="A141" s="286"/>
      <c r="B141" s="348" t="str">
        <f t="shared" si="44"/>
        <v>Interferon beta-1a 44mcg SC</v>
      </c>
      <c r="C141" s="149">
        <f>'Inputs and eligible population'!S$112</f>
        <v>0</v>
      </c>
      <c r="D141" s="128">
        <f>('Financial impact (cash)'!D26*$C141)/60</f>
        <v>0</v>
      </c>
      <c r="E141" s="128">
        <f>('Financial impact (cash)'!E26*$C141)/60</f>
        <v>0</v>
      </c>
      <c r="F141" s="128">
        <f>('Financial impact (cash)'!F26*$C141)/60</f>
        <v>0</v>
      </c>
      <c r="G141" s="128">
        <f>('Financial impact (cash)'!G26*$C141)/60</f>
        <v>0</v>
      </c>
      <c r="H141" s="128">
        <f>('Financial impact (cash)'!H26*$C141)/60</f>
        <v>0</v>
      </c>
      <c r="I141" s="128">
        <f>('Financial impact (cash)'!I26*$C141)/60</f>
        <v>0</v>
      </c>
      <c r="J141" s="286"/>
      <c r="K141" s="286"/>
      <c r="L141" s="286"/>
      <c r="M141" s="286"/>
      <c r="N141" s="286"/>
      <c r="O141" s="286"/>
      <c r="P141" s="286"/>
      <c r="Q141" s="215"/>
      <c r="S141" s="133"/>
      <c r="T141" s="133"/>
      <c r="U141" s="133"/>
      <c r="V141" s="133"/>
      <c r="W141" s="133"/>
      <c r="X141" s="133"/>
      <c r="Y141" s="133"/>
      <c r="Z141" s="133"/>
      <c r="AJ141" s="285"/>
      <c r="AK141" s="285"/>
      <c r="AL141" s="285"/>
      <c r="AM141" s="285"/>
      <c r="AN141" s="285"/>
    </row>
    <row r="142" spans="1:40" x14ac:dyDescent="0.35">
      <c r="A142" s="286"/>
      <c r="B142" s="348" t="str">
        <f t="shared" si="44"/>
        <v>Interferon beta-1b 250mcg SC</v>
      </c>
      <c r="C142" s="149">
        <f>'Inputs and eligible population'!T$112</f>
        <v>0</v>
      </c>
      <c r="D142" s="128">
        <f>('Financial impact (cash)'!D27*$C142)/60</f>
        <v>0</v>
      </c>
      <c r="E142" s="128">
        <f>('Financial impact (cash)'!E27*$C142)/60</f>
        <v>0</v>
      </c>
      <c r="F142" s="128">
        <f>('Financial impact (cash)'!F27*$C142)/60</f>
        <v>0</v>
      </c>
      <c r="G142" s="128">
        <f>('Financial impact (cash)'!G27*$C142)/60</f>
        <v>0</v>
      </c>
      <c r="H142" s="128">
        <f>('Financial impact (cash)'!H27*$C142)/60</f>
        <v>0</v>
      </c>
      <c r="I142" s="128">
        <f>('Financial impact (cash)'!I27*$C142)/60</f>
        <v>0</v>
      </c>
      <c r="J142" s="286"/>
      <c r="K142" s="286"/>
      <c r="L142" s="286"/>
      <c r="M142" s="286"/>
      <c r="N142" s="286"/>
      <c r="O142" s="286"/>
      <c r="P142" s="286"/>
      <c r="Q142" s="215"/>
      <c r="S142" s="133"/>
      <c r="T142" s="133"/>
      <c r="U142" s="133"/>
      <c r="V142" s="133"/>
      <c r="W142" s="133"/>
      <c r="X142" s="133"/>
      <c r="Y142" s="133"/>
      <c r="Z142" s="133"/>
      <c r="AJ142" s="285"/>
      <c r="AK142" s="285"/>
      <c r="AL142" s="285"/>
      <c r="AM142" s="285"/>
      <c r="AN142" s="285"/>
    </row>
    <row r="143" spans="1:40" x14ac:dyDescent="0.35">
      <c r="A143" s="286"/>
      <c r="B143" s="348" t="str">
        <f t="shared" si="44"/>
        <v>Natalizumab</v>
      </c>
      <c r="C143" s="149">
        <f>'Inputs and eligible population'!U$112</f>
        <v>30</v>
      </c>
      <c r="D143" s="128">
        <f>('Financial impact (cash)'!D28*$C143)/60</f>
        <v>0</v>
      </c>
      <c r="E143" s="128">
        <f>('Financial impact (cash)'!E28*$C143)/60</f>
        <v>0</v>
      </c>
      <c r="F143" s="128">
        <f>('Financial impact (cash)'!F28*$C143)/60</f>
        <v>0</v>
      </c>
      <c r="G143" s="128">
        <f>('Financial impact (cash)'!G28*$C143)/60</f>
        <v>0</v>
      </c>
      <c r="H143" s="128">
        <f>('Financial impact (cash)'!H28*$C143)/60</f>
        <v>0</v>
      </c>
      <c r="I143" s="128">
        <f>('Financial impact (cash)'!I28*$C143)/60</f>
        <v>0</v>
      </c>
      <c r="J143" s="286"/>
      <c r="K143" s="286"/>
      <c r="L143" s="286"/>
      <c r="M143" s="286"/>
      <c r="N143" s="286"/>
      <c r="O143" s="286"/>
      <c r="P143" s="286"/>
      <c r="Q143" s="215"/>
      <c r="S143" s="133"/>
      <c r="T143" s="133"/>
      <c r="U143" s="133"/>
      <c r="V143" s="133"/>
      <c r="W143" s="133"/>
      <c r="X143" s="133"/>
      <c r="Y143" s="133"/>
      <c r="Z143" s="133"/>
      <c r="AJ143" s="285"/>
      <c r="AK143" s="285"/>
      <c r="AL143" s="285"/>
      <c r="AM143" s="285"/>
      <c r="AN143" s="285"/>
    </row>
    <row r="144" spans="1:40" x14ac:dyDescent="0.35">
      <c r="A144" s="286"/>
      <c r="B144" s="348" t="str">
        <f t="shared" si="44"/>
        <v>Peginterferon beta-1a</v>
      </c>
      <c r="C144" s="149">
        <f>'Inputs and eligible population'!V$112</f>
        <v>0</v>
      </c>
      <c r="D144" s="128">
        <f>('Financial impact (cash)'!D29*$C144)/60</f>
        <v>0</v>
      </c>
      <c r="E144" s="128">
        <f>('Financial impact (cash)'!E29*$C144)/60</f>
        <v>0</v>
      </c>
      <c r="F144" s="128">
        <f>('Financial impact (cash)'!F29*$C144)/60</f>
        <v>0</v>
      </c>
      <c r="G144" s="128">
        <f>('Financial impact (cash)'!G29*$C144)/60</f>
        <v>0</v>
      </c>
      <c r="H144" s="128">
        <f>('Financial impact (cash)'!H29*$C144)/60</f>
        <v>0</v>
      </c>
      <c r="I144" s="128">
        <f>('Financial impact (cash)'!I29*$C144)/60</f>
        <v>0</v>
      </c>
      <c r="J144" s="286"/>
      <c r="K144" s="286"/>
      <c r="L144" s="286"/>
      <c r="M144" s="286"/>
      <c r="N144" s="286"/>
      <c r="O144" s="286"/>
      <c r="P144" s="286"/>
      <c r="Q144" s="215"/>
      <c r="S144" s="133"/>
      <c r="T144" s="133"/>
      <c r="U144" s="133"/>
      <c r="V144" s="133"/>
      <c r="W144" s="133"/>
      <c r="X144" s="133"/>
      <c r="Y144" s="133"/>
      <c r="Z144" s="133"/>
      <c r="AJ144" s="285"/>
      <c r="AK144" s="285"/>
      <c r="AL144" s="285"/>
      <c r="AM144" s="285"/>
      <c r="AN144" s="285"/>
    </row>
    <row r="145" spans="1:40" x14ac:dyDescent="0.35">
      <c r="A145" s="286"/>
      <c r="B145" s="348" t="str">
        <f t="shared" si="44"/>
        <v>Teriflunomide</v>
      </c>
      <c r="C145" s="149">
        <f>'Inputs and eligible population'!W$112</f>
        <v>0</v>
      </c>
      <c r="D145" s="128">
        <f>('Financial impact (cash)'!D30*$C145)/60</f>
        <v>0</v>
      </c>
      <c r="E145" s="128">
        <f>('Financial impact (cash)'!E30*$C145)/60</f>
        <v>0</v>
      </c>
      <c r="F145" s="128">
        <f>('Financial impact (cash)'!F30*$C145)/60</f>
        <v>0</v>
      </c>
      <c r="G145" s="128">
        <f>('Financial impact (cash)'!G30*$C145)/60</f>
        <v>0</v>
      </c>
      <c r="H145" s="128">
        <f>('Financial impact (cash)'!H30*$C145)/60</f>
        <v>0</v>
      </c>
      <c r="I145" s="128">
        <f>('Financial impact (cash)'!I30*$C145)/60</f>
        <v>0</v>
      </c>
      <c r="J145" s="286"/>
      <c r="K145" s="286"/>
      <c r="L145" s="286"/>
      <c r="M145" s="286"/>
      <c r="N145" s="286"/>
      <c r="O145" s="286"/>
      <c r="P145" s="286"/>
      <c r="Q145" s="215"/>
      <c r="S145" s="133"/>
      <c r="T145" s="133"/>
      <c r="U145" s="133"/>
      <c r="V145" s="133"/>
      <c r="W145" s="133"/>
      <c r="X145" s="133"/>
      <c r="Y145" s="133"/>
      <c r="Z145" s="133"/>
      <c r="AJ145" s="285"/>
      <c r="AK145" s="285"/>
      <c r="AL145" s="285"/>
      <c r="AM145" s="285"/>
      <c r="AN145" s="285"/>
    </row>
    <row r="146" spans="1:40" x14ac:dyDescent="0.35">
      <c r="A146" s="286"/>
      <c r="B146" s="348" t="str">
        <f t="shared" si="44"/>
        <v>Best supportive care</v>
      </c>
      <c r="C146" s="149">
        <f>'Inputs and eligible population'!X$112</f>
        <v>0</v>
      </c>
      <c r="D146" s="128">
        <f>('Financial impact (cash)'!D31*$C146)/60</f>
        <v>0</v>
      </c>
      <c r="E146" s="128">
        <f>('Financial impact (cash)'!E31*$C146)/60</f>
        <v>0</v>
      </c>
      <c r="F146" s="128">
        <f>('Financial impact (cash)'!F31*$C146)/60</f>
        <v>0</v>
      </c>
      <c r="G146" s="128">
        <f>('Financial impact (cash)'!G31*$C146)/60</f>
        <v>0</v>
      </c>
      <c r="H146" s="128">
        <f>('Financial impact (cash)'!H31*$C146)/60</f>
        <v>0</v>
      </c>
      <c r="I146" s="128">
        <f>('Financial impact (cash)'!I31*$C146)/60</f>
        <v>0</v>
      </c>
      <c r="J146" s="286"/>
      <c r="K146" s="286"/>
      <c r="L146" s="286"/>
      <c r="M146" s="286"/>
      <c r="N146" s="286"/>
      <c r="O146" s="286"/>
      <c r="P146" s="286"/>
      <c r="Q146" s="215"/>
      <c r="S146" s="133"/>
      <c r="T146" s="133"/>
      <c r="U146" s="133"/>
      <c r="V146" s="133"/>
      <c r="W146" s="133"/>
      <c r="X146" s="133"/>
      <c r="Y146" s="133"/>
      <c r="Z146" s="133"/>
      <c r="AJ146" s="285"/>
      <c r="AK146" s="285"/>
      <c r="AL146" s="285"/>
      <c r="AM146" s="285"/>
      <c r="AN146" s="285"/>
    </row>
    <row r="147" spans="1:40" x14ac:dyDescent="0.35">
      <c r="A147" s="286"/>
      <c r="B147" s="282"/>
      <c r="C147" s="282"/>
      <c r="D147" s="185">
        <f t="shared" ref="D147:I147" si="45">SUM(D128:D146)</f>
        <v>0</v>
      </c>
      <c r="E147" s="185">
        <f t="shared" si="45"/>
        <v>0</v>
      </c>
      <c r="F147" s="185">
        <f t="shared" si="45"/>
        <v>0</v>
      </c>
      <c r="G147" s="185">
        <f t="shared" si="45"/>
        <v>0</v>
      </c>
      <c r="H147" s="185">
        <f t="shared" si="45"/>
        <v>0</v>
      </c>
      <c r="I147" s="185">
        <f t="shared" si="45"/>
        <v>0</v>
      </c>
      <c r="J147" s="286"/>
      <c r="K147" s="286"/>
      <c r="L147" s="286"/>
      <c r="M147" s="286"/>
      <c r="N147" s="286"/>
      <c r="O147" s="286"/>
      <c r="P147" s="286"/>
      <c r="Q147" s="215"/>
      <c r="S147" s="133"/>
      <c r="T147" s="133"/>
      <c r="U147" s="133"/>
      <c r="V147" s="133"/>
      <c r="W147" s="133"/>
      <c r="X147" s="133"/>
      <c r="Y147" s="133"/>
      <c r="Z147" s="133"/>
      <c r="AJ147" s="285"/>
      <c r="AK147" s="285"/>
      <c r="AL147" s="285"/>
      <c r="AM147" s="285"/>
      <c r="AN147" s="285"/>
    </row>
    <row r="148" spans="1:40" x14ac:dyDescent="0.35">
      <c r="A148" s="286"/>
      <c r="B148" s="282"/>
      <c r="C148" s="282"/>
      <c r="D148" s="284" t="s">
        <v>1002</v>
      </c>
      <c r="E148" s="185">
        <f>E147-$D$147</f>
        <v>0</v>
      </c>
      <c r="F148" s="185">
        <f>F147-$D$147</f>
        <v>0</v>
      </c>
      <c r="G148" s="185">
        <f>G147-$D$147</f>
        <v>0</v>
      </c>
      <c r="H148" s="185">
        <f>H147-$D$147</f>
        <v>0</v>
      </c>
      <c r="I148" s="185">
        <f>I147-$D$147</f>
        <v>0</v>
      </c>
      <c r="J148" s="286"/>
      <c r="K148" s="286"/>
      <c r="L148" s="286"/>
      <c r="M148" s="286"/>
      <c r="N148" s="286"/>
      <c r="O148" s="286"/>
      <c r="P148" s="286"/>
      <c r="Q148" s="215"/>
      <c r="S148" s="133"/>
      <c r="T148" s="133"/>
      <c r="U148" s="133"/>
      <c r="V148" s="133"/>
      <c r="W148" s="133"/>
      <c r="X148" s="133"/>
      <c r="Y148" s="133"/>
      <c r="Z148" s="133"/>
      <c r="AJ148" s="285"/>
      <c r="AK148" s="285"/>
      <c r="AL148" s="285"/>
      <c r="AM148" s="285"/>
      <c r="AN148" s="285"/>
    </row>
    <row r="149" spans="1:40" x14ac:dyDescent="0.35">
      <c r="A149" s="286"/>
      <c r="B149" s="323"/>
      <c r="C149" s="215"/>
      <c r="D149" s="215"/>
      <c r="E149" s="215"/>
      <c r="F149" s="215"/>
      <c r="G149" s="215"/>
      <c r="H149" s="215"/>
      <c r="I149" s="215"/>
      <c r="J149" s="215"/>
      <c r="K149" s="215"/>
      <c r="L149" s="286"/>
      <c r="M149" s="286"/>
      <c r="N149" s="286"/>
      <c r="O149" s="286"/>
      <c r="P149" s="286"/>
      <c r="Q149" s="215"/>
      <c r="S149" s="133"/>
      <c r="T149" s="133"/>
      <c r="U149" s="133"/>
      <c r="V149" s="133"/>
      <c r="W149" s="133"/>
      <c r="X149" s="133"/>
      <c r="Y149" s="133"/>
      <c r="Z149" s="133"/>
      <c r="AJ149" s="285"/>
      <c r="AK149" s="285"/>
      <c r="AL149" s="285"/>
      <c r="AM149" s="285"/>
      <c r="AN149" s="285"/>
    </row>
    <row r="150" spans="1:40" x14ac:dyDescent="0.35">
      <c r="A150" s="286"/>
      <c r="B150" s="389" t="s">
        <v>943</v>
      </c>
      <c r="C150" s="388"/>
      <c r="D150" s="388"/>
      <c r="E150" s="388"/>
      <c r="F150" s="388"/>
      <c r="G150" s="388"/>
      <c r="H150" s="388"/>
      <c r="I150" s="214"/>
      <c r="J150" s="429"/>
      <c r="K150" s="215"/>
      <c r="L150" s="286"/>
      <c r="M150" s="286"/>
      <c r="N150" s="286"/>
      <c r="O150" s="286"/>
      <c r="P150" s="286"/>
      <c r="Q150" s="215"/>
      <c r="V150" s="133"/>
      <c r="AJ150" s="285"/>
      <c r="AK150" s="285"/>
      <c r="AL150" s="285"/>
      <c r="AM150" s="285"/>
      <c r="AN150" s="285"/>
    </row>
    <row r="151" spans="1:40" ht="58" x14ac:dyDescent="0.35">
      <c r="A151" s="286"/>
      <c r="B151" s="281" t="s">
        <v>876</v>
      </c>
      <c r="C151" s="165" t="s">
        <v>776</v>
      </c>
      <c r="D151" s="421" t="s">
        <v>957</v>
      </c>
      <c r="E151" s="255" t="s">
        <v>685</v>
      </c>
      <c r="F151" s="255" t="s">
        <v>686</v>
      </c>
      <c r="G151" s="164" t="s">
        <v>914</v>
      </c>
      <c r="H151" s="164" t="s">
        <v>915</v>
      </c>
      <c r="I151" s="255" t="s">
        <v>916</v>
      </c>
      <c r="J151" s="286"/>
      <c r="K151" s="286"/>
      <c r="L151" s="286"/>
      <c r="M151" s="286"/>
      <c r="N151" s="286"/>
      <c r="O151" s="286"/>
      <c r="P151" s="286"/>
      <c r="Q151" s="215"/>
      <c r="V151" s="133"/>
      <c r="AJ151" s="285"/>
      <c r="AK151" s="285"/>
      <c r="AL151" s="285"/>
      <c r="AM151" s="285"/>
      <c r="AN151" s="285"/>
    </row>
    <row r="152" spans="1:40" x14ac:dyDescent="0.35">
      <c r="A152" s="286"/>
      <c r="B152" s="348" t="str">
        <f>B128</f>
        <v>Ublituximab</v>
      </c>
      <c r="C152" s="149">
        <f>'Inputs and eligible population'!F$113</f>
        <v>60</v>
      </c>
      <c r="D152" s="128">
        <f>('Financial impact (cash)'!D13*$C152)/60</f>
        <v>0</v>
      </c>
      <c r="E152" s="128">
        <f>('Financial impact (cash)'!E13*$C152)/60</f>
        <v>0</v>
      </c>
      <c r="F152" s="128">
        <f>('Financial impact (cash)'!F13*$C152)/60</f>
        <v>0</v>
      </c>
      <c r="G152" s="128">
        <f>('Financial impact (cash)'!G13*$C152)/60</f>
        <v>0</v>
      </c>
      <c r="H152" s="128">
        <f>('Financial impact (cash)'!H13*$C152)/60</f>
        <v>0</v>
      </c>
      <c r="I152" s="128">
        <f>('Financial impact (cash)'!I13*$C152)/60</f>
        <v>0</v>
      </c>
      <c r="J152" s="286"/>
      <c r="K152" s="286"/>
      <c r="L152" s="286"/>
      <c r="M152" s="286"/>
      <c r="N152" s="286"/>
      <c r="O152" s="286"/>
      <c r="P152" s="286"/>
      <c r="Q152" s="215"/>
      <c r="V152" s="133"/>
      <c r="AJ152" s="285"/>
      <c r="AK152" s="285"/>
      <c r="AL152" s="285"/>
      <c r="AM152" s="285"/>
      <c r="AN152" s="285"/>
    </row>
    <row r="153" spans="1:40" x14ac:dyDescent="0.35">
      <c r="A153" s="286"/>
      <c r="B153" s="348" t="s">
        <v>701</v>
      </c>
      <c r="C153" s="149">
        <f>'Inputs and eligible population'!G$113</f>
        <v>60</v>
      </c>
      <c r="D153" s="128">
        <f>('Financial impact (cash)'!D14*$C153)/60</f>
        <v>0</v>
      </c>
      <c r="E153" s="128">
        <f>('Financial impact (cash)'!E14*$C153)/60</f>
        <v>0</v>
      </c>
      <c r="F153" s="128">
        <f>('Financial impact (cash)'!F14*$C153)/60</f>
        <v>0</v>
      </c>
      <c r="G153" s="128">
        <f>('Financial impact (cash)'!G14*$C153)/60</f>
        <v>0</v>
      </c>
      <c r="H153" s="128">
        <f>('Financial impact (cash)'!H14*$C153)/60</f>
        <v>0</v>
      </c>
      <c r="I153" s="128">
        <f>('Financial impact (cash)'!I14*$C153)/60</f>
        <v>0</v>
      </c>
      <c r="J153" s="286"/>
      <c r="K153" s="286"/>
      <c r="L153" s="286"/>
      <c r="M153" s="286"/>
      <c r="N153" s="286"/>
      <c r="O153" s="286"/>
      <c r="P153" s="286"/>
      <c r="Q153" s="215"/>
      <c r="V153" s="133"/>
      <c r="AJ153" s="285"/>
      <c r="AK153" s="285"/>
      <c r="AL153" s="285"/>
      <c r="AM153" s="285"/>
      <c r="AN153" s="285"/>
    </row>
    <row r="154" spans="1:40" x14ac:dyDescent="0.35">
      <c r="A154" s="286"/>
      <c r="B154" s="348" t="s">
        <v>703</v>
      </c>
      <c r="C154" s="149">
        <f>'Inputs and eligible population'!H$113</f>
        <v>10</v>
      </c>
      <c r="D154" s="128">
        <f>('Financial impact (cash)'!D15*$C154)/60</f>
        <v>0</v>
      </c>
      <c r="E154" s="128">
        <f>('Financial impact (cash)'!E15*$C154)/60</f>
        <v>0</v>
      </c>
      <c r="F154" s="128">
        <f>('Financial impact (cash)'!F15*$C154)/60</f>
        <v>0</v>
      </c>
      <c r="G154" s="128">
        <f>('Financial impact (cash)'!G15*$C154)/60</f>
        <v>0</v>
      </c>
      <c r="H154" s="128">
        <f>('Financial impact (cash)'!H15*$C154)/60</f>
        <v>0</v>
      </c>
      <c r="I154" s="128">
        <f>('Financial impact (cash)'!I15*$C154)/60</f>
        <v>0</v>
      </c>
      <c r="J154" s="286"/>
      <c r="K154" s="286"/>
      <c r="L154" s="286"/>
      <c r="M154" s="286"/>
      <c r="N154" s="286"/>
      <c r="O154" s="286"/>
      <c r="P154" s="286"/>
      <c r="Q154" s="215"/>
      <c r="V154" s="133"/>
      <c r="AJ154" s="285"/>
      <c r="AK154" s="285"/>
      <c r="AL154" s="285"/>
      <c r="AM154" s="285"/>
      <c r="AN154" s="285"/>
    </row>
    <row r="155" spans="1:40" x14ac:dyDescent="0.35">
      <c r="A155" s="286"/>
      <c r="B155" s="348" t="str">
        <f>B131</f>
        <v>Ofatumumab</v>
      </c>
      <c r="C155" s="149">
        <f>'Inputs and eligible population'!I$113</f>
        <v>0</v>
      </c>
      <c r="D155" s="128">
        <f>('Financial impact (cash)'!D16*$C155)/60</f>
        <v>0</v>
      </c>
      <c r="E155" s="128">
        <f>('Financial impact (cash)'!E16*$C155)/60</f>
        <v>0</v>
      </c>
      <c r="F155" s="128">
        <f>('Financial impact (cash)'!F16*$C155)/60</f>
        <v>0</v>
      </c>
      <c r="G155" s="128">
        <f>('Financial impact (cash)'!G16*$C155)/60</f>
        <v>0</v>
      </c>
      <c r="H155" s="128">
        <f>('Financial impact (cash)'!H16*$C155)/60</f>
        <v>0</v>
      </c>
      <c r="I155" s="128">
        <f>('Financial impact (cash)'!I16*$C155)/60</f>
        <v>0</v>
      </c>
      <c r="J155" s="286"/>
      <c r="K155" s="286"/>
      <c r="L155" s="286"/>
      <c r="M155" s="286"/>
      <c r="N155" s="286"/>
      <c r="O155" s="286"/>
      <c r="P155" s="286"/>
      <c r="Q155" s="215"/>
      <c r="V155" s="133"/>
      <c r="AJ155" s="285"/>
      <c r="AK155" s="285"/>
      <c r="AL155" s="285"/>
      <c r="AM155" s="285"/>
      <c r="AN155" s="285"/>
    </row>
    <row r="156" spans="1:40" x14ac:dyDescent="0.35">
      <c r="A156" s="286"/>
      <c r="B156" s="348" t="str">
        <f>B132</f>
        <v xml:space="preserve">Ponesimod </v>
      </c>
      <c r="C156" s="149">
        <f>'Inputs and eligible population'!J$113</f>
        <v>0</v>
      </c>
      <c r="D156" s="128">
        <f>('Financial impact (cash)'!D17*$C156)/60</f>
        <v>0</v>
      </c>
      <c r="E156" s="128">
        <f>('Financial impact (cash)'!E17*$C156)/60</f>
        <v>0</v>
      </c>
      <c r="F156" s="128">
        <f>('Financial impact (cash)'!F17*$C156)/60</f>
        <v>0</v>
      </c>
      <c r="G156" s="128">
        <f>('Financial impact (cash)'!G17*$C156)/60</f>
        <v>0</v>
      </c>
      <c r="H156" s="128">
        <f>('Financial impact (cash)'!H17*$C156)/60</f>
        <v>0</v>
      </c>
      <c r="I156" s="128">
        <f>('Financial impact (cash)'!I17*$C156)/60</f>
        <v>0</v>
      </c>
      <c r="J156" s="286"/>
      <c r="K156" s="286"/>
      <c r="L156" s="286"/>
      <c r="M156" s="286"/>
      <c r="N156" s="286"/>
      <c r="O156" s="286"/>
      <c r="P156" s="286"/>
      <c r="Q156" s="215"/>
      <c r="V156" s="133"/>
      <c r="AJ156" s="285"/>
      <c r="AK156" s="285"/>
      <c r="AL156" s="285"/>
      <c r="AM156" s="285"/>
      <c r="AN156" s="285"/>
    </row>
    <row r="157" spans="1:40" x14ac:dyDescent="0.35">
      <c r="A157" s="286"/>
      <c r="B157" s="348" t="str">
        <f>B133</f>
        <v>Alemtuzumab</v>
      </c>
      <c r="C157" s="149">
        <f>'Inputs and eligible population'!K$113</f>
        <v>30</v>
      </c>
      <c r="D157" s="128">
        <f>('Financial impact (cash)'!D18*$C157)/60</f>
        <v>0</v>
      </c>
      <c r="E157" s="128">
        <f>('Financial impact (cash)'!E18*$C157)/60</f>
        <v>0</v>
      </c>
      <c r="F157" s="128">
        <f>('Financial impact (cash)'!F18*$C157)/60</f>
        <v>0</v>
      </c>
      <c r="G157" s="128">
        <f>('Financial impact (cash)'!G18*$C157)/60</f>
        <v>0</v>
      </c>
      <c r="H157" s="128">
        <f>('Financial impact (cash)'!H18*$C157)/60</f>
        <v>0</v>
      </c>
      <c r="I157" s="128">
        <f>('Financial impact (cash)'!I18*$C157)/60</f>
        <v>0</v>
      </c>
      <c r="J157" s="286"/>
      <c r="K157" s="286"/>
      <c r="L157" s="286"/>
      <c r="M157" s="286"/>
      <c r="N157" s="286"/>
      <c r="O157" s="286"/>
      <c r="P157" s="286"/>
      <c r="Q157" s="215"/>
      <c r="V157" s="133"/>
      <c r="AJ157" s="285"/>
      <c r="AK157" s="285"/>
      <c r="AL157" s="285"/>
      <c r="AM157" s="285"/>
      <c r="AN157" s="285"/>
    </row>
    <row r="158" spans="1:40" x14ac:dyDescent="0.35">
      <c r="A158" s="286"/>
      <c r="B158" s="348" t="s">
        <v>1101</v>
      </c>
      <c r="C158" s="149">
        <f>'Inputs and eligible population'!L$113</f>
        <v>0</v>
      </c>
      <c r="D158" s="128">
        <f>('Financial impact (cash)'!D19*$C158)/60</f>
        <v>0</v>
      </c>
      <c r="E158" s="128">
        <f>('Financial impact (cash)'!E19*$C158)/60</f>
        <v>0</v>
      </c>
      <c r="F158" s="128">
        <f>('Financial impact (cash)'!F19*$C158)/60</f>
        <v>0</v>
      </c>
      <c r="G158" s="128">
        <f>('Financial impact (cash)'!G19*$C158)/60</f>
        <v>0</v>
      </c>
      <c r="H158" s="128">
        <f>('Financial impact (cash)'!H19*$C158)/60</f>
        <v>0</v>
      </c>
      <c r="I158" s="128">
        <f>('Financial impact (cash)'!I19*$C158)/60</f>
        <v>0</v>
      </c>
      <c r="J158" s="286"/>
      <c r="K158" s="286"/>
      <c r="L158" s="286"/>
      <c r="M158" s="286"/>
      <c r="N158" s="286"/>
      <c r="O158" s="286"/>
      <c r="P158" s="286"/>
      <c r="Q158" s="215"/>
      <c r="V158" s="133"/>
      <c r="AJ158" s="285"/>
      <c r="AK158" s="285"/>
      <c r="AL158" s="285"/>
      <c r="AM158" s="285"/>
      <c r="AN158" s="285"/>
    </row>
    <row r="159" spans="1:40" x14ac:dyDescent="0.35">
      <c r="A159" s="286"/>
      <c r="B159" s="348" t="str">
        <f t="shared" ref="B159:B170" si="46">B135</f>
        <v>Dimethyl fumarate</v>
      </c>
      <c r="C159" s="149">
        <f>'Inputs and eligible population'!M$113</f>
        <v>0</v>
      </c>
      <c r="D159" s="128">
        <f>('Financial impact (cash)'!D20*$C159)/60</f>
        <v>0</v>
      </c>
      <c r="E159" s="128">
        <f>('Financial impact (cash)'!E20*$C159)/60</f>
        <v>0</v>
      </c>
      <c r="F159" s="128">
        <f>('Financial impact (cash)'!F20*$C159)/60</f>
        <v>0</v>
      </c>
      <c r="G159" s="128">
        <f>('Financial impact (cash)'!G20*$C159)/60</f>
        <v>0</v>
      </c>
      <c r="H159" s="128">
        <f>('Financial impact (cash)'!H20*$C159)/60</f>
        <v>0</v>
      </c>
      <c r="I159" s="128">
        <f>('Financial impact (cash)'!I20*$C159)/60</f>
        <v>0</v>
      </c>
      <c r="J159" s="286"/>
      <c r="K159" s="286"/>
      <c r="L159" s="286"/>
      <c r="M159" s="286"/>
      <c r="N159" s="286"/>
      <c r="O159" s="286"/>
      <c r="P159" s="286"/>
      <c r="Q159" s="215"/>
      <c r="V159" s="133"/>
      <c r="AJ159" s="285"/>
      <c r="AK159" s="285"/>
      <c r="AL159" s="285"/>
      <c r="AM159" s="285"/>
      <c r="AN159" s="285"/>
    </row>
    <row r="160" spans="1:40" x14ac:dyDescent="0.35">
      <c r="A160" s="286"/>
      <c r="B160" s="348" t="str">
        <f t="shared" si="46"/>
        <v>Diroximel fumarate</v>
      </c>
      <c r="C160" s="149">
        <f>'Inputs and eligible population'!N$113</f>
        <v>0</v>
      </c>
      <c r="D160" s="128">
        <f>('Financial impact (cash)'!D21*$C160)/60</f>
        <v>0</v>
      </c>
      <c r="E160" s="128">
        <f>('Financial impact (cash)'!E21*$C160)/60</f>
        <v>0</v>
      </c>
      <c r="F160" s="128">
        <f>('Financial impact (cash)'!F21*$C160)/60</f>
        <v>0</v>
      </c>
      <c r="G160" s="128">
        <f>('Financial impact (cash)'!G21*$C160)/60</f>
        <v>0</v>
      </c>
      <c r="H160" s="128">
        <f>('Financial impact (cash)'!H21*$C160)/60</f>
        <v>0</v>
      </c>
      <c r="I160" s="128">
        <f>('Financial impact (cash)'!I21*$C160)/60</f>
        <v>0</v>
      </c>
      <c r="J160" s="286"/>
      <c r="K160" s="286"/>
      <c r="L160" s="286"/>
      <c r="M160" s="286"/>
      <c r="N160" s="286"/>
      <c r="O160" s="286"/>
      <c r="P160" s="286"/>
      <c r="Q160" s="215"/>
      <c r="V160" s="133"/>
      <c r="AJ160" s="285"/>
      <c r="AK160" s="285"/>
      <c r="AL160" s="285"/>
      <c r="AM160" s="285"/>
      <c r="AN160" s="285"/>
    </row>
    <row r="161" spans="1:40" x14ac:dyDescent="0.35">
      <c r="A161" s="286"/>
      <c r="B161" s="348" t="str">
        <f t="shared" si="46"/>
        <v>Fingolimod</v>
      </c>
      <c r="C161" s="149">
        <f>'Inputs and eligible population'!O$113</f>
        <v>0</v>
      </c>
      <c r="D161" s="128">
        <f>('Financial impact (cash)'!D22*$C161)/60</f>
        <v>0</v>
      </c>
      <c r="E161" s="128">
        <f>('Financial impact (cash)'!E22*$C161)/60</f>
        <v>0</v>
      </c>
      <c r="F161" s="128">
        <f>('Financial impact (cash)'!F22*$C161)/60</f>
        <v>0</v>
      </c>
      <c r="G161" s="128">
        <f>('Financial impact (cash)'!G22*$C161)/60</f>
        <v>0</v>
      </c>
      <c r="H161" s="128">
        <f>('Financial impact (cash)'!H22*$C161)/60</f>
        <v>0</v>
      </c>
      <c r="I161" s="128">
        <f>('Financial impact (cash)'!I22*$C161)/60</f>
        <v>0</v>
      </c>
      <c r="J161" s="286"/>
      <c r="K161" s="286"/>
      <c r="L161" s="286"/>
      <c r="M161" s="286"/>
      <c r="N161" s="286"/>
      <c r="O161" s="286"/>
      <c r="P161" s="286"/>
      <c r="Q161" s="215"/>
      <c r="V161" s="133"/>
      <c r="AJ161" s="285"/>
      <c r="AK161" s="285"/>
      <c r="AL161" s="285"/>
      <c r="AM161" s="285"/>
      <c r="AN161" s="285"/>
    </row>
    <row r="162" spans="1:40" x14ac:dyDescent="0.35">
      <c r="A162" s="286"/>
      <c r="B162" s="348" t="str">
        <f t="shared" si="46"/>
        <v>Glatiramer acetate</v>
      </c>
      <c r="C162" s="149">
        <f>'Inputs and eligible population'!P$113</f>
        <v>0</v>
      </c>
      <c r="D162" s="128">
        <f>('Financial impact (cash)'!D23*$C162)/60</f>
        <v>0</v>
      </c>
      <c r="E162" s="128">
        <f>('Financial impact (cash)'!E23*$C162)/60</f>
        <v>0</v>
      </c>
      <c r="F162" s="128">
        <f>('Financial impact (cash)'!F23*$C162)/60</f>
        <v>0</v>
      </c>
      <c r="G162" s="128">
        <f>('Financial impact (cash)'!G23*$C162)/60</f>
        <v>0</v>
      </c>
      <c r="H162" s="128">
        <f>('Financial impact (cash)'!H23*$C162)/60</f>
        <v>0</v>
      </c>
      <c r="I162" s="128">
        <f>('Financial impact (cash)'!I23*$C162)/60</f>
        <v>0</v>
      </c>
      <c r="J162" s="286"/>
      <c r="K162" s="286"/>
      <c r="L162" s="286"/>
      <c r="M162" s="286"/>
      <c r="N162" s="286"/>
      <c r="O162" s="286"/>
      <c r="P162" s="286"/>
      <c r="Q162" s="215"/>
      <c r="V162" s="133"/>
      <c r="AJ162" s="285"/>
      <c r="AK162" s="285"/>
      <c r="AL162" s="285"/>
      <c r="AM162" s="285"/>
      <c r="AN162" s="285"/>
    </row>
    <row r="163" spans="1:40" x14ac:dyDescent="0.35">
      <c r="A163" s="286"/>
      <c r="B163" s="348" t="str">
        <f t="shared" si="46"/>
        <v>Interferon beta-1a 22 mcg</v>
      </c>
      <c r="C163" s="149">
        <f>'Inputs and eligible population'!Q$113</f>
        <v>0</v>
      </c>
      <c r="D163" s="128">
        <f>('Financial impact (cash)'!D24*$C163)/60</f>
        <v>0</v>
      </c>
      <c r="E163" s="128">
        <f>('Financial impact (cash)'!E24*$C163)/60</f>
        <v>0</v>
      </c>
      <c r="F163" s="128">
        <f>('Financial impact (cash)'!F24*$C163)/60</f>
        <v>0</v>
      </c>
      <c r="G163" s="128">
        <f>('Financial impact (cash)'!G24*$C163)/60</f>
        <v>0</v>
      </c>
      <c r="H163" s="128">
        <f>('Financial impact (cash)'!H24*$C163)/60</f>
        <v>0</v>
      </c>
      <c r="I163" s="128">
        <f>('Financial impact (cash)'!I24*$C163)/60</f>
        <v>0</v>
      </c>
      <c r="J163" s="286"/>
      <c r="K163" s="286"/>
      <c r="L163" s="286"/>
      <c r="M163" s="286"/>
      <c r="N163" s="286"/>
      <c r="O163" s="286"/>
      <c r="P163" s="286"/>
      <c r="Q163" s="215"/>
      <c r="V163" s="133"/>
      <c r="AJ163" s="285"/>
      <c r="AK163" s="285"/>
      <c r="AL163" s="285"/>
      <c r="AM163" s="285"/>
      <c r="AN163" s="285"/>
    </row>
    <row r="164" spans="1:40" x14ac:dyDescent="0.35">
      <c r="A164" s="286"/>
      <c r="B164" s="348" t="str">
        <f t="shared" si="46"/>
        <v>Interferon beta-1a 30 mcg</v>
      </c>
      <c r="C164" s="149">
        <f>'Inputs and eligible population'!R$113</f>
        <v>0</v>
      </c>
      <c r="D164" s="128">
        <f>('Financial impact (cash)'!D25*$C164)/60</f>
        <v>0</v>
      </c>
      <c r="E164" s="128">
        <f>('Financial impact (cash)'!E25*$C164)/60</f>
        <v>0</v>
      </c>
      <c r="F164" s="128">
        <f>('Financial impact (cash)'!F25*$C164)/60</f>
        <v>0</v>
      </c>
      <c r="G164" s="128">
        <f>('Financial impact (cash)'!G25*$C164)/60</f>
        <v>0</v>
      </c>
      <c r="H164" s="128">
        <f>('Financial impact (cash)'!H25*$C164)/60</f>
        <v>0</v>
      </c>
      <c r="I164" s="128">
        <f>('Financial impact (cash)'!I25*$C164)/60</f>
        <v>0</v>
      </c>
      <c r="J164" s="286"/>
      <c r="K164" s="286"/>
      <c r="L164" s="286"/>
      <c r="M164" s="286"/>
      <c r="N164" s="286"/>
      <c r="O164" s="286"/>
      <c r="P164" s="286"/>
      <c r="Q164" s="215"/>
      <c r="V164" s="133"/>
      <c r="AJ164" s="285"/>
      <c r="AK164" s="285"/>
      <c r="AL164" s="285"/>
      <c r="AM164" s="285"/>
      <c r="AN164" s="285"/>
    </row>
    <row r="165" spans="1:40" x14ac:dyDescent="0.35">
      <c r="A165" s="286"/>
      <c r="B165" s="348" t="str">
        <f t="shared" si="46"/>
        <v>Interferon beta-1a 44mcg SC</v>
      </c>
      <c r="C165" s="149">
        <f>'Inputs and eligible population'!S$113</f>
        <v>0</v>
      </c>
      <c r="D165" s="128">
        <f>('Financial impact (cash)'!D26*$C165)/60</f>
        <v>0</v>
      </c>
      <c r="E165" s="128">
        <f>('Financial impact (cash)'!E26*$C165)/60</f>
        <v>0</v>
      </c>
      <c r="F165" s="128">
        <f>('Financial impact (cash)'!F26*$C165)/60</f>
        <v>0</v>
      </c>
      <c r="G165" s="128">
        <f>('Financial impact (cash)'!G26*$C165)/60</f>
        <v>0</v>
      </c>
      <c r="H165" s="128">
        <f>('Financial impact (cash)'!H26*$C165)/60</f>
        <v>0</v>
      </c>
      <c r="I165" s="128">
        <f>('Financial impact (cash)'!I26*$C165)/60</f>
        <v>0</v>
      </c>
      <c r="J165" s="286"/>
      <c r="K165" s="286"/>
      <c r="L165" s="286"/>
      <c r="M165" s="286"/>
      <c r="N165" s="286"/>
      <c r="O165" s="286"/>
      <c r="P165" s="286"/>
      <c r="Q165" s="215"/>
      <c r="V165" s="133"/>
      <c r="AJ165" s="285"/>
      <c r="AK165" s="285"/>
      <c r="AL165" s="285"/>
      <c r="AM165" s="285"/>
      <c r="AN165" s="285"/>
    </row>
    <row r="166" spans="1:40" x14ac:dyDescent="0.35">
      <c r="A166" s="286"/>
      <c r="B166" s="348" t="str">
        <f t="shared" si="46"/>
        <v>Interferon beta-1b 250mcg SC</v>
      </c>
      <c r="C166" s="149">
        <f>'Inputs and eligible population'!T$113</f>
        <v>0</v>
      </c>
      <c r="D166" s="128">
        <f>('Financial impact (cash)'!D27*$C166)/60</f>
        <v>0</v>
      </c>
      <c r="E166" s="128">
        <f>('Financial impact (cash)'!E27*$C166)/60</f>
        <v>0</v>
      </c>
      <c r="F166" s="128">
        <f>('Financial impact (cash)'!F27*$C166)/60</f>
        <v>0</v>
      </c>
      <c r="G166" s="128">
        <f>('Financial impact (cash)'!G27*$C166)/60</f>
        <v>0</v>
      </c>
      <c r="H166" s="128">
        <f>('Financial impact (cash)'!H27*$C166)/60</f>
        <v>0</v>
      </c>
      <c r="I166" s="128">
        <f>('Financial impact (cash)'!I27*$C166)/60</f>
        <v>0</v>
      </c>
      <c r="J166" s="286"/>
      <c r="K166" s="286"/>
      <c r="L166" s="286"/>
      <c r="M166" s="286"/>
      <c r="N166" s="286"/>
      <c r="O166" s="286"/>
      <c r="P166" s="286"/>
      <c r="Q166" s="215"/>
      <c r="V166" s="133"/>
      <c r="AJ166" s="285"/>
      <c r="AK166" s="285"/>
      <c r="AL166" s="285"/>
      <c r="AM166" s="285"/>
      <c r="AN166" s="285"/>
    </row>
    <row r="167" spans="1:40" x14ac:dyDescent="0.35">
      <c r="A167" s="286"/>
      <c r="B167" s="348" t="str">
        <f t="shared" si="46"/>
        <v>Natalizumab</v>
      </c>
      <c r="C167" s="149">
        <f>'Inputs and eligible population'!U$113</f>
        <v>30</v>
      </c>
      <c r="D167" s="128">
        <f>('Financial impact (cash)'!D28*$C167)/60</f>
        <v>0</v>
      </c>
      <c r="E167" s="128">
        <f>('Financial impact (cash)'!E28*$C167)/60</f>
        <v>0</v>
      </c>
      <c r="F167" s="128">
        <f>('Financial impact (cash)'!F28*$C167)/60</f>
        <v>0</v>
      </c>
      <c r="G167" s="128">
        <f>('Financial impact (cash)'!G28*$C167)/60</f>
        <v>0</v>
      </c>
      <c r="H167" s="128">
        <f>('Financial impact (cash)'!H28*$C167)/60</f>
        <v>0</v>
      </c>
      <c r="I167" s="128">
        <f>('Financial impact (cash)'!I28*$C167)/60</f>
        <v>0</v>
      </c>
      <c r="J167" s="286"/>
      <c r="K167" s="286"/>
      <c r="L167" s="286"/>
      <c r="M167" s="286"/>
      <c r="N167" s="286"/>
      <c r="O167" s="286"/>
      <c r="P167" s="286"/>
      <c r="Q167" s="215"/>
      <c r="V167" s="133"/>
      <c r="AJ167" s="285"/>
      <c r="AK167" s="285"/>
      <c r="AL167" s="285"/>
      <c r="AM167" s="285"/>
      <c r="AN167" s="285"/>
    </row>
    <row r="168" spans="1:40" x14ac:dyDescent="0.35">
      <c r="A168" s="286"/>
      <c r="B168" s="348" t="str">
        <f t="shared" si="46"/>
        <v>Peginterferon beta-1a</v>
      </c>
      <c r="C168" s="149">
        <f>'Inputs and eligible population'!V$113</f>
        <v>0</v>
      </c>
      <c r="D168" s="128">
        <f>('Financial impact (cash)'!D29*$C168)/60</f>
        <v>0</v>
      </c>
      <c r="E168" s="128">
        <f>('Financial impact (cash)'!E29*$C168)/60</f>
        <v>0</v>
      </c>
      <c r="F168" s="128">
        <f>('Financial impact (cash)'!F29*$C168)/60</f>
        <v>0</v>
      </c>
      <c r="G168" s="128">
        <f>('Financial impact (cash)'!G29*$C168)/60</f>
        <v>0</v>
      </c>
      <c r="H168" s="128">
        <f>('Financial impact (cash)'!H29*$C168)/60</f>
        <v>0</v>
      </c>
      <c r="I168" s="128">
        <f>('Financial impact (cash)'!I29*$C168)/60</f>
        <v>0</v>
      </c>
      <c r="J168" s="286"/>
      <c r="K168" s="286"/>
      <c r="L168" s="286"/>
      <c r="M168" s="286"/>
      <c r="N168" s="286"/>
      <c r="O168" s="286"/>
      <c r="P168" s="286"/>
      <c r="Q168" s="215"/>
      <c r="V168" s="133"/>
      <c r="AJ168" s="285"/>
      <c r="AK168" s="285"/>
      <c r="AL168" s="285"/>
      <c r="AM168" s="285"/>
      <c r="AN168" s="285"/>
    </row>
    <row r="169" spans="1:40" x14ac:dyDescent="0.35">
      <c r="A169" s="286"/>
      <c r="B169" s="348" t="str">
        <f t="shared" si="46"/>
        <v>Teriflunomide</v>
      </c>
      <c r="C169" s="149">
        <f>'Inputs and eligible population'!W$113</f>
        <v>0</v>
      </c>
      <c r="D169" s="128">
        <f>('Financial impact (cash)'!D30*$C169)/60</f>
        <v>0</v>
      </c>
      <c r="E169" s="128">
        <f>('Financial impact (cash)'!E30*$C169)/60</f>
        <v>0</v>
      </c>
      <c r="F169" s="128">
        <f>('Financial impact (cash)'!F30*$C169)/60</f>
        <v>0</v>
      </c>
      <c r="G169" s="128">
        <f>('Financial impact (cash)'!G30*$C169)/60</f>
        <v>0</v>
      </c>
      <c r="H169" s="128">
        <f>('Financial impact (cash)'!H30*$C169)/60</f>
        <v>0</v>
      </c>
      <c r="I169" s="128">
        <f>('Financial impact (cash)'!I30*$C169)/60</f>
        <v>0</v>
      </c>
      <c r="J169" s="286"/>
      <c r="K169" s="286"/>
      <c r="L169" s="286"/>
      <c r="M169" s="286"/>
      <c r="N169" s="286"/>
      <c r="O169" s="286"/>
      <c r="P169" s="286"/>
      <c r="Q169" s="215"/>
      <c r="V169" s="133"/>
      <c r="AJ169" s="285"/>
      <c r="AK169" s="285"/>
      <c r="AL169" s="285"/>
      <c r="AM169" s="285"/>
      <c r="AN169" s="285"/>
    </row>
    <row r="170" spans="1:40" x14ac:dyDescent="0.35">
      <c r="A170" s="286"/>
      <c r="B170" s="348" t="str">
        <f t="shared" si="46"/>
        <v>Best supportive care</v>
      </c>
      <c r="C170" s="149">
        <f>'Inputs and eligible population'!X$113</f>
        <v>0</v>
      </c>
      <c r="D170" s="128">
        <f>('Financial impact (cash)'!D31*$C170)/60</f>
        <v>0</v>
      </c>
      <c r="E170" s="128">
        <f>('Financial impact (cash)'!E31*$C170)/60</f>
        <v>0</v>
      </c>
      <c r="F170" s="128">
        <f>('Financial impact (cash)'!F31*$C170)/60</f>
        <v>0</v>
      </c>
      <c r="G170" s="128">
        <f>('Financial impact (cash)'!G31*$C170)/60</f>
        <v>0</v>
      </c>
      <c r="H170" s="128">
        <f>('Financial impact (cash)'!H31*$C170)/60</f>
        <v>0</v>
      </c>
      <c r="I170" s="128">
        <f>('Financial impact (cash)'!I31*$C170)/60</f>
        <v>0</v>
      </c>
      <c r="J170" s="286"/>
      <c r="K170" s="286"/>
      <c r="L170" s="286"/>
      <c r="M170" s="286"/>
      <c r="N170" s="286"/>
      <c r="O170" s="286"/>
      <c r="P170" s="286"/>
      <c r="Q170" s="215"/>
      <c r="V170" s="133"/>
      <c r="AJ170" s="285"/>
      <c r="AK170" s="285"/>
      <c r="AL170" s="285"/>
      <c r="AM170" s="285"/>
      <c r="AN170" s="285"/>
    </row>
    <row r="171" spans="1:40" x14ac:dyDescent="0.35">
      <c r="A171" s="286"/>
      <c r="B171" s="282"/>
      <c r="C171" s="282"/>
      <c r="D171" s="185">
        <f t="shared" ref="D171:I171" si="47">SUM(D152:D170)</f>
        <v>0</v>
      </c>
      <c r="E171" s="185">
        <f t="shared" si="47"/>
        <v>0</v>
      </c>
      <c r="F171" s="185">
        <f t="shared" si="47"/>
        <v>0</v>
      </c>
      <c r="G171" s="185">
        <f t="shared" si="47"/>
        <v>0</v>
      </c>
      <c r="H171" s="185">
        <f t="shared" si="47"/>
        <v>0</v>
      </c>
      <c r="I171" s="185">
        <f t="shared" si="47"/>
        <v>0</v>
      </c>
      <c r="J171" s="286"/>
      <c r="K171" s="286"/>
      <c r="L171" s="286"/>
      <c r="M171" s="286"/>
      <c r="N171" s="286"/>
      <c r="O171" s="286"/>
      <c r="P171" s="286"/>
      <c r="Q171" s="215"/>
      <c r="R171" s="133"/>
      <c r="S171" s="133"/>
      <c r="T171" s="133"/>
      <c r="U171" s="133"/>
      <c r="V171" s="133"/>
      <c r="W171" s="133"/>
      <c r="X171" s="133"/>
      <c r="Y171" s="133"/>
      <c r="Z171" s="133"/>
      <c r="AJ171" s="285"/>
      <c r="AK171" s="285"/>
      <c r="AL171" s="285"/>
      <c r="AM171" s="285"/>
      <c r="AN171" s="285"/>
    </row>
    <row r="172" spans="1:40" x14ac:dyDescent="0.35">
      <c r="A172" s="286"/>
      <c r="B172" s="307"/>
      <c r="C172" s="282"/>
      <c r="D172" s="284" t="s">
        <v>1003</v>
      </c>
      <c r="E172" s="185">
        <f>E171-$D$171</f>
        <v>0</v>
      </c>
      <c r="F172" s="185">
        <f>F171-$D$171</f>
        <v>0</v>
      </c>
      <c r="G172" s="185">
        <f>G171-$D$171</f>
        <v>0</v>
      </c>
      <c r="H172" s="185">
        <f>H171-$D$171</f>
        <v>0</v>
      </c>
      <c r="I172" s="185">
        <f>I171-$D$171</f>
        <v>0</v>
      </c>
      <c r="J172" s="286"/>
      <c r="K172" s="286"/>
      <c r="L172" s="286"/>
      <c r="M172" s="286"/>
      <c r="N172" s="286"/>
      <c r="O172" s="286"/>
      <c r="P172" s="286"/>
      <c r="Q172" s="215"/>
      <c r="R172" s="133"/>
      <c r="S172" s="133"/>
      <c r="T172" s="133"/>
      <c r="U172" s="133"/>
      <c r="V172" s="133"/>
      <c r="W172" s="133"/>
      <c r="X172" s="133"/>
      <c r="Y172" s="133"/>
      <c r="Z172" s="133"/>
      <c r="AJ172" s="285"/>
      <c r="AK172" s="285"/>
      <c r="AL172" s="285"/>
      <c r="AM172" s="285"/>
      <c r="AN172" s="285"/>
    </row>
    <row r="173" spans="1:40" x14ac:dyDescent="0.35">
      <c r="A173" s="286"/>
      <c r="B173" s="323"/>
      <c r="C173" s="215"/>
      <c r="D173" s="215"/>
      <c r="E173" s="215"/>
      <c r="F173" s="215"/>
      <c r="G173" s="215"/>
      <c r="H173" s="215"/>
      <c r="I173" s="215"/>
      <c r="J173" s="286"/>
      <c r="K173" s="286"/>
      <c r="L173" s="286"/>
      <c r="M173" s="286"/>
      <c r="N173" s="286"/>
      <c r="O173" s="286"/>
      <c r="P173" s="286"/>
      <c r="Q173" s="215"/>
      <c r="R173" s="133"/>
      <c r="S173" s="133"/>
      <c r="T173" s="133"/>
      <c r="U173" s="133"/>
      <c r="V173" s="133"/>
      <c r="W173" s="133"/>
      <c r="X173" s="133"/>
      <c r="Y173" s="133"/>
      <c r="Z173" s="133"/>
      <c r="AJ173" s="285"/>
      <c r="AK173" s="285"/>
      <c r="AL173" s="285"/>
      <c r="AM173" s="285"/>
      <c r="AN173" s="285"/>
    </row>
    <row r="174" spans="1:40" hidden="1" x14ac:dyDescent="0.35">
      <c r="A174" s="702"/>
      <c r="B174" s="708" t="s">
        <v>1004</v>
      </c>
      <c r="C174" s="703"/>
      <c r="D174" s="704"/>
      <c r="E174" s="703"/>
      <c r="F174" s="705"/>
      <c r="G174" s="706"/>
      <c r="H174" s="706"/>
      <c r="I174" s="707"/>
      <c r="J174" s="702"/>
      <c r="K174" s="702"/>
      <c r="L174" s="702"/>
      <c r="M174" s="702"/>
      <c r="N174" s="702"/>
      <c r="O174" s="702"/>
      <c r="P174" s="288"/>
      <c r="Q174" s="288"/>
      <c r="R174" s="133"/>
      <c r="S174" s="133"/>
      <c r="T174" s="133"/>
      <c r="U174" s="133"/>
      <c r="V174" s="133"/>
      <c r="W174" s="133"/>
      <c r="X174" s="133"/>
      <c r="Y174" s="133"/>
      <c r="Z174" s="133"/>
      <c r="AJ174" s="285"/>
      <c r="AK174" s="285"/>
      <c r="AL174" s="285"/>
      <c r="AM174" s="285"/>
      <c r="AN174" s="285"/>
    </row>
    <row r="175" spans="1:40" hidden="1" x14ac:dyDescent="0.35">
      <c r="A175" s="288"/>
      <c r="B175" s="390" t="s">
        <v>1005</v>
      </c>
      <c r="C175" s="391"/>
      <c r="D175" s="391"/>
      <c r="E175" s="391"/>
      <c r="F175" s="391"/>
      <c r="G175" s="391"/>
      <c r="H175" s="391"/>
      <c r="I175" s="218"/>
      <c r="J175" s="288"/>
      <c r="K175" s="288"/>
      <c r="L175" s="219"/>
      <c r="M175" s="219"/>
      <c r="N175" s="288"/>
      <c r="O175" s="219"/>
      <c r="P175" s="219"/>
      <c r="Q175" s="219"/>
      <c r="V175" s="133"/>
    </row>
    <row r="176" spans="1:40" ht="43.5" hidden="1" x14ac:dyDescent="0.35">
      <c r="A176" s="288"/>
      <c r="B176" s="278" t="s">
        <v>876</v>
      </c>
      <c r="C176" s="165" t="s">
        <v>1006</v>
      </c>
      <c r="D176" s="421" t="s">
        <v>957</v>
      </c>
      <c r="E176" s="255" t="s">
        <v>685</v>
      </c>
      <c r="F176" s="255" t="s">
        <v>686</v>
      </c>
      <c r="G176" s="164" t="s">
        <v>914</v>
      </c>
      <c r="H176" s="164" t="s">
        <v>915</v>
      </c>
      <c r="I176" s="255" t="s">
        <v>916</v>
      </c>
      <c r="J176" s="288"/>
      <c r="K176" s="288"/>
      <c r="L176" s="219"/>
      <c r="M176" s="219"/>
      <c r="N176" s="288"/>
      <c r="O176" s="219"/>
      <c r="P176" s="219"/>
      <c r="Q176" s="219"/>
      <c r="V176" s="133"/>
    </row>
    <row r="177" spans="1:40" hidden="1" x14ac:dyDescent="0.35">
      <c r="A177" s="288"/>
      <c r="B177" s="348"/>
      <c r="C177" s="149">
        <f>'Inputs and eligible population'!F114</f>
        <v>0</v>
      </c>
      <c r="D177" s="128"/>
      <c r="E177" s="128"/>
      <c r="F177" s="128"/>
      <c r="G177" s="128"/>
      <c r="H177" s="128"/>
      <c r="I177" s="128"/>
      <c r="J177" s="288"/>
      <c r="K177" s="288"/>
      <c r="L177" s="219"/>
      <c r="M177" s="219"/>
      <c r="N177" s="288"/>
      <c r="O177" s="219"/>
      <c r="P177" s="219"/>
      <c r="Q177" s="219"/>
      <c r="V177" s="133"/>
    </row>
    <row r="178" spans="1:40" hidden="1" x14ac:dyDescent="0.35">
      <c r="A178" s="288"/>
      <c r="B178" s="348"/>
      <c r="C178" s="149">
        <f>'Inputs and eligible population'!G114</f>
        <v>0</v>
      </c>
      <c r="D178" s="128"/>
      <c r="E178" s="128"/>
      <c r="F178" s="128"/>
      <c r="G178" s="128"/>
      <c r="H178" s="128"/>
      <c r="I178" s="128"/>
      <c r="J178" s="288"/>
      <c r="K178" s="288"/>
      <c r="L178" s="219"/>
      <c r="M178" s="219"/>
      <c r="N178" s="288"/>
      <c r="O178" s="219"/>
      <c r="P178" s="219"/>
      <c r="Q178" s="219"/>
      <c r="V178" s="133"/>
    </row>
    <row r="179" spans="1:40" hidden="1" x14ac:dyDescent="0.35">
      <c r="A179" s="288"/>
      <c r="B179" s="348"/>
      <c r="C179" s="149">
        <f>'Inputs and eligible population'!I114</f>
        <v>0</v>
      </c>
      <c r="D179" s="128"/>
      <c r="E179" s="128"/>
      <c r="F179" s="128"/>
      <c r="G179" s="128"/>
      <c r="H179" s="128"/>
      <c r="I179" s="128"/>
      <c r="J179" s="288"/>
      <c r="K179" s="288"/>
      <c r="L179" s="219"/>
      <c r="M179" s="219"/>
      <c r="N179" s="288"/>
      <c r="O179" s="219"/>
      <c r="P179" s="219"/>
      <c r="Q179" s="219"/>
      <c r="V179" s="133"/>
    </row>
    <row r="180" spans="1:40" hidden="1" x14ac:dyDescent="0.35">
      <c r="A180" s="288"/>
      <c r="B180" s="282"/>
      <c r="C180" s="205"/>
      <c r="D180" s="185">
        <f t="shared" ref="D180:I180" si="48">SUM(D177:D179)</f>
        <v>0</v>
      </c>
      <c r="E180" s="185">
        <f t="shared" si="48"/>
        <v>0</v>
      </c>
      <c r="F180" s="185">
        <f t="shared" si="48"/>
        <v>0</v>
      </c>
      <c r="G180" s="185">
        <f t="shared" si="48"/>
        <v>0</v>
      </c>
      <c r="H180" s="185">
        <f t="shared" si="48"/>
        <v>0</v>
      </c>
      <c r="I180" s="185">
        <f t="shared" si="48"/>
        <v>0</v>
      </c>
      <c r="J180" s="288"/>
      <c r="K180" s="288"/>
      <c r="L180" s="219"/>
      <c r="M180" s="219"/>
      <c r="N180" s="288"/>
      <c r="O180" s="219"/>
      <c r="P180" s="219"/>
      <c r="Q180" s="219"/>
      <c r="V180" s="133"/>
    </row>
    <row r="181" spans="1:40" hidden="1" x14ac:dyDescent="0.35">
      <c r="A181" s="288"/>
      <c r="B181" s="307"/>
      <c r="C181" s="223"/>
      <c r="D181" s="284" t="s">
        <v>945</v>
      </c>
      <c r="E181" s="185">
        <f>E180-$D$180</f>
        <v>0</v>
      </c>
      <c r="F181" s="185">
        <f>F180-$D$180</f>
        <v>0</v>
      </c>
      <c r="G181" s="185">
        <f>G180-$D$180</f>
        <v>0</v>
      </c>
      <c r="H181" s="185">
        <f>H180-$D$180</f>
        <v>0</v>
      </c>
      <c r="I181" s="185">
        <f>I180-$D$180</f>
        <v>0</v>
      </c>
      <c r="J181" s="288"/>
      <c r="K181" s="288"/>
      <c r="L181" s="219"/>
      <c r="M181" s="219"/>
      <c r="N181" s="288"/>
      <c r="O181" s="219"/>
      <c r="P181" s="219"/>
      <c r="Q181" s="219"/>
      <c r="V181" s="133"/>
    </row>
    <row r="182" spans="1:40" hidden="1" x14ac:dyDescent="0.35">
      <c r="A182" s="288"/>
      <c r="B182" s="324"/>
      <c r="C182" s="391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88"/>
      <c r="O182" s="219"/>
      <c r="P182" s="219"/>
      <c r="Q182" s="219"/>
      <c r="R182" s="133"/>
      <c r="S182" s="133"/>
      <c r="T182" s="133"/>
      <c r="U182" s="133"/>
      <c r="V182" s="133"/>
      <c r="W182" s="133"/>
      <c r="X182" s="133"/>
      <c r="Y182" s="133"/>
      <c r="Z182" s="133"/>
      <c r="AJ182" s="285"/>
      <c r="AK182" s="285"/>
      <c r="AL182" s="285"/>
      <c r="AM182" s="285"/>
      <c r="AN182" s="285"/>
    </row>
    <row r="183" spans="1:40" hidden="1" x14ac:dyDescent="0.35">
      <c r="A183" s="329"/>
      <c r="B183" s="330" t="s">
        <v>1007</v>
      </c>
      <c r="C183" s="331"/>
      <c r="D183" s="331"/>
      <c r="E183" s="332"/>
      <c r="F183" s="333"/>
      <c r="G183" s="334"/>
      <c r="H183" s="334"/>
      <c r="I183" s="384"/>
      <c r="J183" s="329"/>
      <c r="K183" s="329"/>
      <c r="L183" s="329"/>
      <c r="M183" s="329"/>
      <c r="N183" s="329"/>
      <c r="O183" s="329"/>
      <c r="P183" s="329"/>
      <c r="Q183" s="405"/>
      <c r="R183" s="133"/>
      <c r="S183" s="133"/>
      <c r="T183" s="133"/>
      <c r="U183" s="133"/>
      <c r="V183" s="133"/>
      <c r="W183" s="133"/>
      <c r="X183" s="133"/>
      <c r="Y183" s="133"/>
      <c r="Z183" s="133"/>
      <c r="AJ183" s="285"/>
      <c r="AK183" s="285"/>
      <c r="AL183" s="285"/>
      <c r="AM183" s="285"/>
      <c r="AN183" s="285"/>
    </row>
    <row r="184" spans="1:40" hidden="1" x14ac:dyDescent="0.35">
      <c r="A184" s="329"/>
      <c r="B184" s="394" t="s">
        <v>1008</v>
      </c>
      <c r="C184" s="395"/>
      <c r="D184" s="395"/>
      <c r="E184" s="395"/>
      <c r="F184" s="395"/>
      <c r="G184" s="395"/>
      <c r="H184" s="395"/>
      <c r="I184" s="335"/>
      <c r="J184" s="405"/>
      <c r="K184" s="405"/>
      <c r="L184" s="435"/>
      <c r="M184" s="435"/>
      <c r="N184" s="435"/>
      <c r="O184" s="435"/>
      <c r="P184" s="435"/>
      <c r="Q184" s="435"/>
      <c r="R184" s="133"/>
      <c r="S184" s="133"/>
      <c r="T184" s="133"/>
      <c r="U184" s="133"/>
      <c r="V184" s="133"/>
      <c r="W184" s="133"/>
      <c r="X184" s="133"/>
      <c r="Y184" s="133"/>
      <c r="Z184" s="133"/>
      <c r="AJ184" s="285"/>
      <c r="AK184" s="285"/>
      <c r="AL184" s="285"/>
      <c r="AM184" s="285"/>
      <c r="AN184" s="285"/>
    </row>
    <row r="185" spans="1:40" ht="43.5" hidden="1" x14ac:dyDescent="0.35">
      <c r="A185" s="329"/>
      <c r="B185" s="278" t="s">
        <v>876</v>
      </c>
      <c r="C185" s="165" t="s">
        <v>781</v>
      </c>
      <c r="D185" s="421" t="s">
        <v>957</v>
      </c>
      <c r="E185" s="255" t="s">
        <v>685</v>
      </c>
      <c r="F185" s="255" t="s">
        <v>686</v>
      </c>
      <c r="G185" s="164" t="s">
        <v>914</v>
      </c>
      <c r="H185" s="164" t="s">
        <v>915</v>
      </c>
      <c r="I185" s="255" t="s">
        <v>916</v>
      </c>
      <c r="J185" s="329"/>
      <c r="K185" s="556" t="s">
        <v>1015</v>
      </c>
      <c r="L185" s="421" t="s">
        <v>957</v>
      </c>
      <c r="M185" s="255" t="s">
        <v>685</v>
      </c>
      <c r="N185" s="255" t="s">
        <v>686</v>
      </c>
      <c r="O185" s="164" t="s">
        <v>914</v>
      </c>
      <c r="P185" s="164" t="s">
        <v>915</v>
      </c>
      <c r="Q185" s="255" t="s">
        <v>916</v>
      </c>
      <c r="R185" s="133"/>
      <c r="S185" s="133"/>
      <c r="T185" s="133"/>
      <c r="U185" s="133"/>
      <c r="V185" s="133"/>
      <c r="W185" s="133"/>
      <c r="X185" s="133"/>
      <c r="Y185" s="133"/>
      <c r="Z185" s="133"/>
      <c r="AJ185" s="285"/>
      <c r="AK185" s="285"/>
      <c r="AL185" s="285"/>
      <c r="AM185" s="285"/>
      <c r="AN185" s="285"/>
    </row>
    <row r="186" spans="1:40" hidden="1" x14ac:dyDescent="0.35">
      <c r="A186" s="329"/>
      <c r="B186" s="348"/>
      <c r="C186" s="149">
        <f>'Inputs and eligible population'!F115</f>
        <v>0</v>
      </c>
      <c r="D186" s="128">
        <f>'Financial impact (cash)'!D13*'Capacity (national prices)'!$C186</f>
        <v>0</v>
      </c>
      <c r="E186" s="128">
        <f>'Financial impact (cash)'!E13*'Capacity (national prices)'!$C186</f>
        <v>0</v>
      </c>
      <c r="F186" s="128">
        <f>'Financial impact (cash)'!F13*'Capacity (national prices)'!$C186</f>
        <v>0</v>
      </c>
      <c r="G186" s="128">
        <f>'Financial impact (cash)'!G13*'Capacity (national prices)'!$C186</f>
        <v>0</v>
      </c>
      <c r="H186" s="128">
        <f>'Financial impact (cash)'!H13*'Capacity (national prices)'!$C186</f>
        <v>0</v>
      </c>
      <c r="I186" s="128">
        <f>'Financial impact (cash)'!I13*'Capacity (national prices)'!$C186</f>
        <v>0</v>
      </c>
      <c r="J186" s="329"/>
      <c r="K186" s="291" t="e">
        <f>(C186*'Unit costs'!#REF!)/1000</f>
        <v>#REF!</v>
      </c>
      <c r="L186" s="291">
        <f>(D186*'Unit costs'!$N$142)/1000</f>
        <v>0</v>
      </c>
      <c r="M186" s="291">
        <f>(E186*'Unit costs'!$N$142)/1000</f>
        <v>0</v>
      </c>
      <c r="N186" s="291">
        <f>(F186*'Unit costs'!$N$142)/1000</f>
        <v>0</v>
      </c>
      <c r="O186" s="291">
        <f>(G186*'Unit costs'!$N$142)/1000</f>
        <v>0</v>
      </c>
      <c r="P186" s="291">
        <f>(H186*'Unit costs'!$N$142)/1000</f>
        <v>0</v>
      </c>
      <c r="Q186" s="291">
        <f>(I186*'Unit costs'!$N$142)/1000</f>
        <v>0</v>
      </c>
      <c r="R186" s="133"/>
      <c r="S186" s="133"/>
      <c r="T186" s="133"/>
      <c r="U186" s="133"/>
      <c r="V186" s="133"/>
      <c r="W186" s="133"/>
      <c r="X186" s="133"/>
      <c r="Y186" s="133"/>
      <c r="Z186" s="133"/>
      <c r="AJ186" s="285"/>
      <c r="AK186" s="285"/>
      <c r="AL186" s="285"/>
      <c r="AM186" s="285"/>
      <c r="AN186" s="285"/>
    </row>
    <row r="187" spans="1:40" hidden="1" x14ac:dyDescent="0.35">
      <c r="A187" s="329"/>
      <c r="B187" s="348"/>
      <c r="C187" s="149">
        <f>'Inputs and eligible population'!G115</f>
        <v>0</v>
      </c>
      <c r="D187" s="128">
        <f>'Financial impact (cash)'!D14*'Capacity (national prices)'!$C187</f>
        <v>0</v>
      </c>
      <c r="E187" s="128">
        <f>'Financial impact (cash)'!E14*'Capacity (national prices)'!$C187</f>
        <v>0</v>
      </c>
      <c r="F187" s="128">
        <f>'Financial impact (cash)'!F14*'Capacity (national prices)'!$C187</f>
        <v>0</v>
      </c>
      <c r="G187" s="128">
        <f>'Financial impact (cash)'!G14*'Capacity (national prices)'!$C187</f>
        <v>0</v>
      </c>
      <c r="H187" s="128">
        <f>'Financial impact (cash)'!H14*'Capacity (national prices)'!$C187</f>
        <v>0</v>
      </c>
      <c r="I187" s="128">
        <f>'Financial impact (cash)'!I14*'Capacity (national prices)'!$C187</f>
        <v>0</v>
      </c>
      <c r="J187" s="329"/>
      <c r="K187" s="291" t="e">
        <f>(C187*'Unit costs'!#REF!)/1000</f>
        <v>#REF!</v>
      </c>
      <c r="L187" s="291">
        <f>(D187*'Unit costs'!$N$142)/1000</f>
        <v>0</v>
      </c>
      <c r="M187" s="291">
        <f>(E187*'Unit costs'!$N$142)/1000</f>
        <v>0</v>
      </c>
      <c r="N187" s="291">
        <f>(F187*'Unit costs'!$N$142)/1000</f>
        <v>0</v>
      </c>
      <c r="O187" s="291">
        <f>(G187*'Unit costs'!$N$142)/1000</f>
        <v>0</v>
      </c>
      <c r="P187" s="291">
        <f>(H187*'Unit costs'!$N$142)/1000</f>
        <v>0</v>
      </c>
      <c r="Q187" s="291">
        <f>(I187*'Unit costs'!$N$142)/1000</f>
        <v>0</v>
      </c>
      <c r="R187" s="133"/>
      <c r="S187" s="133"/>
      <c r="T187" s="133"/>
      <c r="U187" s="133"/>
      <c r="V187" s="133"/>
      <c r="W187" s="133"/>
      <c r="X187" s="133"/>
      <c r="Y187" s="133"/>
      <c r="Z187" s="133"/>
      <c r="AJ187" s="285"/>
      <c r="AK187" s="285"/>
      <c r="AL187" s="285"/>
      <c r="AM187" s="285"/>
      <c r="AN187" s="285"/>
    </row>
    <row r="188" spans="1:40" hidden="1" x14ac:dyDescent="0.35">
      <c r="A188" s="329"/>
      <c r="B188" s="348"/>
      <c r="C188" s="149">
        <f>'Inputs and eligible population'!I115</f>
        <v>0</v>
      </c>
      <c r="D188" s="128">
        <f>'Financial impact (cash)'!D16*'Capacity (national prices)'!$C188</f>
        <v>0</v>
      </c>
      <c r="E188" s="128">
        <f>'Financial impact (cash)'!E16*'Capacity (national prices)'!$C188</f>
        <v>0</v>
      </c>
      <c r="F188" s="128">
        <f>'Financial impact (cash)'!F16*'Capacity (national prices)'!$C188</f>
        <v>0</v>
      </c>
      <c r="G188" s="128">
        <f>'Financial impact (cash)'!G16*'Capacity (national prices)'!$C188</f>
        <v>0</v>
      </c>
      <c r="H188" s="128">
        <f>'Financial impact (cash)'!H16*'Capacity (national prices)'!$C188</f>
        <v>0</v>
      </c>
      <c r="I188" s="128">
        <f>'Financial impact (cash)'!I16*'Capacity (national prices)'!$C188</f>
        <v>0</v>
      </c>
      <c r="J188" s="329"/>
      <c r="K188" s="291" t="e">
        <f>(C188*'Unit costs'!#REF!)/1000</f>
        <v>#REF!</v>
      </c>
      <c r="L188" s="291">
        <f>(D188*'Unit costs'!$N$142)/1000</f>
        <v>0</v>
      </c>
      <c r="M188" s="291">
        <f>(E188*'Unit costs'!$N$142)/1000</f>
        <v>0</v>
      </c>
      <c r="N188" s="291">
        <f>(F188*'Unit costs'!$N$142)/1000</f>
        <v>0</v>
      </c>
      <c r="O188" s="291">
        <f>(G188*'Unit costs'!$N$142)/1000</f>
        <v>0</v>
      </c>
      <c r="P188" s="291">
        <f>(H188*'Unit costs'!$N$142)/1000</f>
        <v>0</v>
      </c>
      <c r="Q188" s="291">
        <f>(I188*'Unit costs'!$N$142)/1000</f>
        <v>0</v>
      </c>
      <c r="R188" s="133"/>
      <c r="S188" s="133"/>
      <c r="T188" s="133"/>
      <c r="U188" s="133"/>
      <c r="V188" s="133"/>
      <c r="W188" s="133"/>
      <c r="X188" s="133"/>
      <c r="Y188" s="133"/>
      <c r="Z188" s="133"/>
      <c r="AJ188" s="285"/>
      <c r="AK188" s="285"/>
      <c r="AL188" s="285"/>
      <c r="AM188" s="285"/>
      <c r="AN188" s="285"/>
    </row>
    <row r="189" spans="1:40" hidden="1" x14ac:dyDescent="0.35">
      <c r="A189" s="329"/>
      <c r="B189" s="282"/>
      <c r="C189" s="205"/>
      <c r="D189" s="185">
        <f t="shared" ref="D189:I189" si="49">SUM(D186:D188)</f>
        <v>0</v>
      </c>
      <c r="E189" s="185">
        <f t="shared" si="49"/>
        <v>0</v>
      </c>
      <c r="F189" s="185">
        <f t="shared" si="49"/>
        <v>0</v>
      </c>
      <c r="G189" s="185">
        <f t="shared" si="49"/>
        <v>0</v>
      </c>
      <c r="H189" s="185">
        <f t="shared" si="49"/>
        <v>0</v>
      </c>
      <c r="I189" s="185">
        <f t="shared" si="49"/>
        <v>0</v>
      </c>
      <c r="J189" s="329"/>
      <c r="K189" s="292" t="e">
        <f t="shared" ref="K189:Q189" si="50">SUM(K186:K188)</f>
        <v>#REF!</v>
      </c>
      <c r="L189" s="292">
        <f t="shared" si="50"/>
        <v>0</v>
      </c>
      <c r="M189" s="292">
        <f t="shared" si="50"/>
        <v>0</v>
      </c>
      <c r="N189" s="292">
        <f t="shared" si="50"/>
        <v>0</v>
      </c>
      <c r="O189" s="292">
        <f t="shared" si="50"/>
        <v>0</v>
      </c>
      <c r="P189" s="292">
        <f t="shared" si="50"/>
        <v>0</v>
      </c>
      <c r="Q189" s="292">
        <f t="shared" si="50"/>
        <v>0</v>
      </c>
      <c r="R189" s="133"/>
      <c r="S189" s="133"/>
      <c r="T189" s="133"/>
      <c r="U189" s="133"/>
      <c r="V189" s="133"/>
      <c r="W189" s="133"/>
      <c r="X189" s="133"/>
      <c r="Y189" s="133"/>
      <c r="Z189" s="133"/>
      <c r="AJ189" s="285"/>
      <c r="AK189" s="285"/>
      <c r="AL189" s="285"/>
      <c r="AM189" s="285"/>
      <c r="AN189" s="285"/>
    </row>
    <row r="190" spans="1:40" hidden="1" x14ac:dyDescent="0.35">
      <c r="A190" s="329"/>
      <c r="B190" s="307"/>
      <c r="C190" s="256"/>
      <c r="D190" s="284" t="s">
        <v>1009</v>
      </c>
      <c r="E190" s="185">
        <f>E189-$D$189</f>
        <v>0</v>
      </c>
      <c r="F190" s="185">
        <f>F189-$D$189</f>
        <v>0</v>
      </c>
      <c r="G190" s="185">
        <f>G189-$D$189</f>
        <v>0</v>
      </c>
      <c r="H190" s="185">
        <f>H189-$D$189</f>
        <v>0</v>
      </c>
      <c r="I190" s="185">
        <f>I189-$D$189</f>
        <v>0</v>
      </c>
      <c r="J190" s="329"/>
      <c r="K190" s="329"/>
      <c r="L190" s="544"/>
      <c r="M190" s="292">
        <f>M189-$L$189</f>
        <v>0</v>
      </c>
      <c r="N190" s="292">
        <f>N189-$L$189</f>
        <v>0</v>
      </c>
      <c r="O190" s="292">
        <f>O189-$L$189</f>
        <v>0</v>
      </c>
      <c r="P190" s="292">
        <f>P189-$L$189</f>
        <v>0</v>
      </c>
      <c r="Q190" s="292">
        <f>Q189-$L$189</f>
        <v>0</v>
      </c>
      <c r="V190" s="133"/>
    </row>
    <row r="191" spans="1:40" hidden="1" x14ac:dyDescent="0.35">
      <c r="A191" s="329"/>
      <c r="B191" s="329"/>
      <c r="C191" s="329"/>
      <c r="D191" s="329"/>
      <c r="E191" s="329"/>
      <c r="F191" s="329"/>
      <c r="G191" s="329"/>
      <c r="H191" s="329"/>
      <c r="I191" s="329"/>
      <c r="J191" s="329"/>
      <c r="K191" s="329"/>
      <c r="L191" s="329"/>
      <c r="M191" s="329"/>
      <c r="N191" s="329"/>
      <c r="O191" s="329"/>
      <c r="P191" s="329"/>
      <c r="Q191" s="329"/>
      <c r="V191" s="133"/>
    </row>
    <row r="192" spans="1:40" x14ac:dyDescent="0.35">
      <c r="A192" s="289"/>
      <c r="B192" s="325" t="s">
        <v>1010</v>
      </c>
      <c r="C192" s="309"/>
      <c r="D192" s="310"/>
      <c r="E192" s="311"/>
      <c r="F192" s="312"/>
      <c r="G192" s="312"/>
      <c r="H192" s="312"/>
      <c r="I192" s="436"/>
      <c r="J192" s="289"/>
      <c r="K192" s="289"/>
      <c r="L192" s="289"/>
      <c r="M192" s="289"/>
      <c r="N192" s="289"/>
      <c r="O192" s="289"/>
      <c r="P192" s="289"/>
      <c r="Q192" s="221"/>
      <c r="R192" s="133"/>
      <c r="S192" s="133"/>
      <c r="T192" s="133"/>
      <c r="U192" s="133"/>
      <c r="V192" s="133"/>
      <c r="W192" s="133"/>
      <c r="X192" s="133"/>
      <c r="Y192" s="133"/>
      <c r="Z192" s="133"/>
      <c r="AJ192" s="285"/>
      <c r="AK192" s="285"/>
      <c r="AL192" s="285"/>
      <c r="AM192" s="285"/>
      <c r="AN192" s="285"/>
    </row>
    <row r="193" spans="1:40" x14ac:dyDescent="0.35">
      <c r="A193" s="289"/>
      <c r="B193" s="396" t="s">
        <v>784</v>
      </c>
      <c r="C193" s="397"/>
      <c r="D193" s="397"/>
      <c r="E193" s="397"/>
      <c r="F193" s="397"/>
      <c r="G193" s="397"/>
      <c r="H193" s="397"/>
      <c r="I193" s="220"/>
      <c r="J193" s="221"/>
      <c r="K193" s="289"/>
      <c r="L193" s="221"/>
      <c r="M193" s="221"/>
      <c r="N193" s="221"/>
      <c r="O193" s="221"/>
      <c r="P193" s="221"/>
      <c r="Q193" s="221"/>
      <c r="R193" s="133"/>
      <c r="S193" s="133"/>
      <c r="T193" s="133"/>
      <c r="U193" s="133"/>
      <c r="V193" s="133"/>
      <c r="W193" s="133"/>
      <c r="X193" s="133"/>
      <c r="Y193" s="133"/>
      <c r="Z193" s="133"/>
      <c r="AJ193" s="285"/>
      <c r="AK193" s="285"/>
      <c r="AL193" s="285"/>
      <c r="AM193" s="285"/>
      <c r="AN193" s="285"/>
    </row>
    <row r="194" spans="1:40" ht="43.5" x14ac:dyDescent="0.35">
      <c r="A194" s="289"/>
      <c r="B194" s="278" t="s">
        <v>876</v>
      </c>
      <c r="C194" s="165" t="s">
        <v>784</v>
      </c>
      <c r="D194" s="421" t="s">
        <v>957</v>
      </c>
      <c r="E194" s="255" t="s">
        <v>685</v>
      </c>
      <c r="F194" s="255" t="s">
        <v>686</v>
      </c>
      <c r="G194" s="164" t="s">
        <v>914</v>
      </c>
      <c r="H194" s="164" t="s">
        <v>915</v>
      </c>
      <c r="I194" s="255" t="s">
        <v>916</v>
      </c>
      <c r="J194" s="289"/>
      <c r="K194" s="289"/>
      <c r="L194" s="221"/>
      <c r="M194" s="221"/>
      <c r="N194" s="221"/>
      <c r="O194" s="221"/>
      <c r="P194" s="221"/>
      <c r="Q194" s="221"/>
      <c r="R194" s="133"/>
      <c r="S194" s="133"/>
      <c r="T194" s="133"/>
      <c r="U194" s="133"/>
      <c r="V194" s="133"/>
      <c r="W194" s="133"/>
      <c r="X194" s="133"/>
      <c r="Y194" s="133"/>
      <c r="Z194" s="133"/>
      <c r="AJ194" s="285"/>
      <c r="AK194" s="285"/>
      <c r="AL194" s="285"/>
      <c r="AM194" s="285"/>
      <c r="AN194" s="285"/>
    </row>
    <row r="195" spans="1:40" x14ac:dyDescent="0.35">
      <c r="A195" s="289"/>
      <c r="B195" s="348" t="s">
        <v>699</v>
      </c>
      <c r="C195" s="149">
        <f>'Inputs and eligible population'!F$117</f>
        <v>2</v>
      </c>
      <c r="D195" s="128">
        <f>('Financial impact (cash)'!D13*$C195)/60</f>
        <v>0</v>
      </c>
      <c r="E195" s="128">
        <f>('Financial impact (cash)'!E13*$C195)/60</f>
        <v>0</v>
      </c>
      <c r="F195" s="128">
        <f>('Financial impact (cash)'!F13*$C195)/60</f>
        <v>0</v>
      </c>
      <c r="G195" s="128">
        <f>('Financial impact (cash)'!G13*$C195)/60</f>
        <v>0</v>
      </c>
      <c r="H195" s="128">
        <f>('Financial impact (cash)'!H13*$C195)/60</f>
        <v>0</v>
      </c>
      <c r="I195" s="128">
        <f>('Financial impact (cash)'!I13*$C195)/60</f>
        <v>0</v>
      </c>
      <c r="J195" s="289"/>
      <c r="K195" s="289"/>
      <c r="L195" s="221"/>
      <c r="M195" s="221"/>
      <c r="N195" s="221"/>
      <c r="O195" s="221"/>
      <c r="P195" s="221"/>
      <c r="Q195" s="221"/>
      <c r="R195" s="133"/>
      <c r="S195" s="133"/>
      <c r="T195" s="133"/>
      <c r="U195" s="133"/>
      <c r="V195" s="133"/>
      <c r="W195" s="133"/>
      <c r="X195" s="133"/>
      <c r="Y195" s="133"/>
      <c r="Z195" s="133"/>
      <c r="AJ195" s="285"/>
      <c r="AK195" s="285"/>
      <c r="AL195" s="285"/>
      <c r="AM195" s="285"/>
      <c r="AN195" s="285"/>
    </row>
    <row r="196" spans="1:40" x14ac:dyDescent="0.35">
      <c r="A196" s="289"/>
      <c r="B196" s="348" t="s">
        <v>701</v>
      </c>
      <c r="C196" s="149">
        <f>'Inputs and eligible population'!G$117</f>
        <v>2</v>
      </c>
      <c r="D196" s="128">
        <f>('Financial impact (cash)'!D14*$C196)/60</f>
        <v>0</v>
      </c>
      <c r="E196" s="128">
        <f>('Financial impact (cash)'!E14*$C196)/60</f>
        <v>0</v>
      </c>
      <c r="F196" s="128">
        <f>('Financial impact (cash)'!F14*$C196)/60</f>
        <v>0</v>
      </c>
      <c r="G196" s="128">
        <f>('Financial impact (cash)'!G14*$C196)/60</f>
        <v>0</v>
      </c>
      <c r="H196" s="128">
        <f>('Financial impact (cash)'!H14*$C196)/60</f>
        <v>0</v>
      </c>
      <c r="I196" s="128">
        <f>('Financial impact (cash)'!I14*$C196)/60</f>
        <v>0</v>
      </c>
      <c r="J196" s="289"/>
      <c r="K196" s="289"/>
      <c r="L196" s="221"/>
      <c r="M196" s="221"/>
      <c r="N196" s="221"/>
      <c r="O196" s="221"/>
      <c r="P196" s="221"/>
      <c r="Q196" s="221"/>
      <c r="R196" s="133"/>
      <c r="S196" s="133"/>
      <c r="T196" s="133"/>
      <c r="U196" s="133"/>
      <c r="V196" s="133"/>
      <c r="W196" s="133"/>
      <c r="X196" s="133"/>
      <c r="Y196" s="133"/>
      <c r="Z196" s="133"/>
      <c r="AJ196" s="285"/>
      <c r="AK196" s="285"/>
      <c r="AL196" s="285"/>
      <c r="AM196" s="285"/>
      <c r="AN196" s="285"/>
    </row>
    <row r="197" spans="1:40" x14ac:dyDescent="0.35">
      <c r="A197" s="289"/>
      <c r="B197" s="348" t="s">
        <v>703</v>
      </c>
      <c r="C197" s="149">
        <f>'Inputs and eligible population'!H$117</f>
        <v>2</v>
      </c>
      <c r="D197" s="128">
        <f>('Financial impact (cash)'!D15*$C197)/60</f>
        <v>0</v>
      </c>
      <c r="E197" s="128">
        <f>('Financial impact (cash)'!E15*$C197)/60</f>
        <v>0</v>
      </c>
      <c r="F197" s="128">
        <f>('Financial impact (cash)'!F15*$C197)/60</f>
        <v>0</v>
      </c>
      <c r="G197" s="128">
        <f>('Financial impact (cash)'!G15*$C197)/60</f>
        <v>0</v>
      </c>
      <c r="H197" s="128">
        <f>('Financial impact (cash)'!H15*$C197)/60</f>
        <v>0</v>
      </c>
      <c r="I197" s="128">
        <f>('Financial impact (cash)'!I15*$C197)/60</f>
        <v>0</v>
      </c>
      <c r="J197" s="289"/>
      <c r="K197" s="289"/>
      <c r="L197" s="221"/>
      <c r="M197" s="221"/>
      <c r="N197" s="221"/>
      <c r="O197" s="221"/>
      <c r="P197" s="221"/>
      <c r="Q197" s="221"/>
      <c r="R197" s="133"/>
      <c r="S197" s="133"/>
      <c r="T197" s="133"/>
      <c r="U197" s="133"/>
      <c r="V197" s="133"/>
      <c r="W197" s="133"/>
      <c r="X197" s="133"/>
      <c r="Y197" s="133"/>
      <c r="Z197" s="133"/>
      <c r="AJ197" s="285"/>
      <c r="AK197" s="285"/>
      <c r="AL197" s="285"/>
      <c r="AM197" s="285"/>
      <c r="AN197" s="285"/>
    </row>
    <row r="198" spans="1:40" x14ac:dyDescent="0.35">
      <c r="A198" s="289"/>
      <c r="B198" s="348" t="s">
        <v>705</v>
      </c>
      <c r="C198" s="149">
        <f>'Inputs and eligible population'!I$117</f>
        <v>1</v>
      </c>
      <c r="D198" s="128">
        <f>('Financial impact (cash)'!D16*$C198)/60</f>
        <v>0</v>
      </c>
      <c r="E198" s="128">
        <f>('Financial impact (cash)'!E16*$C198)/60</f>
        <v>0</v>
      </c>
      <c r="F198" s="128">
        <f>('Financial impact (cash)'!F16*$C198)/60</f>
        <v>0</v>
      </c>
      <c r="G198" s="128">
        <f>('Financial impact (cash)'!G16*$C198)/60</f>
        <v>0</v>
      </c>
      <c r="H198" s="128">
        <f>('Financial impact (cash)'!H16*$C198)/60</f>
        <v>0</v>
      </c>
      <c r="I198" s="128">
        <f>('Financial impact (cash)'!I16*$C198)/60</f>
        <v>0</v>
      </c>
      <c r="J198" s="289"/>
      <c r="K198" s="289"/>
      <c r="L198" s="221"/>
      <c r="M198" s="221"/>
      <c r="N198" s="221"/>
      <c r="O198" s="221"/>
      <c r="P198" s="221"/>
      <c r="Q198" s="221"/>
      <c r="R198" s="133"/>
      <c r="S198" s="133"/>
      <c r="T198" s="133"/>
      <c r="U198" s="133"/>
      <c r="V198" s="133"/>
      <c r="W198" s="133"/>
      <c r="X198" s="133"/>
      <c r="Y198" s="133"/>
      <c r="Z198" s="133"/>
      <c r="AJ198" s="285"/>
      <c r="AK198" s="285"/>
      <c r="AL198" s="285"/>
      <c r="AM198" s="285"/>
      <c r="AN198" s="285"/>
    </row>
    <row r="199" spans="1:40" x14ac:dyDescent="0.35">
      <c r="A199" s="289"/>
      <c r="B199" s="348" t="s">
        <v>749</v>
      </c>
      <c r="C199" s="149">
        <f>'Inputs and eligible population'!J$117</f>
        <v>2</v>
      </c>
      <c r="D199" s="128">
        <f>('Financial impact (cash)'!D17*$C199)/60</f>
        <v>0</v>
      </c>
      <c r="E199" s="128">
        <f>('Financial impact (cash)'!E17*$C199)/60</f>
        <v>0</v>
      </c>
      <c r="F199" s="128">
        <f>('Financial impact (cash)'!F17*$C199)/60</f>
        <v>0</v>
      </c>
      <c r="G199" s="128">
        <f>('Financial impact (cash)'!G17*$C199)/60</f>
        <v>0</v>
      </c>
      <c r="H199" s="128">
        <f>('Financial impact (cash)'!H17*$C199)/60</f>
        <v>0</v>
      </c>
      <c r="I199" s="128">
        <f>('Financial impact (cash)'!I17*$C199)/60</f>
        <v>0</v>
      </c>
      <c r="J199" s="289"/>
      <c r="K199" s="289"/>
      <c r="L199" s="221"/>
      <c r="M199" s="221"/>
      <c r="N199" s="221"/>
      <c r="O199" s="221"/>
      <c r="P199" s="221"/>
      <c r="Q199" s="221"/>
      <c r="R199" s="133"/>
      <c r="S199" s="133"/>
      <c r="T199" s="133"/>
      <c r="U199" s="133"/>
      <c r="V199" s="133"/>
      <c r="W199" s="133"/>
      <c r="X199" s="133"/>
      <c r="Y199" s="133"/>
      <c r="Z199" s="133"/>
      <c r="AJ199" s="285"/>
      <c r="AK199" s="285"/>
      <c r="AL199" s="285"/>
      <c r="AM199" s="285"/>
      <c r="AN199" s="285"/>
    </row>
    <row r="200" spans="1:40" x14ac:dyDescent="0.35">
      <c r="A200" s="289"/>
      <c r="B200" s="348" t="s">
        <v>711</v>
      </c>
      <c r="C200" s="149">
        <f>'Inputs and eligible population'!K$117</f>
        <v>2</v>
      </c>
      <c r="D200" s="128">
        <f>('Financial impact (cash)'!D18*$C200)/60</f>
        <v>0</v>
      </c>
      <c r="E200" s="128">
        <f>('Financial impact (cash)'!E18*$C200)/60</f>
        <v>0</v>
      </c>
      <c r="F200" s="128">
        <f>('Financial impact (cash)'!F18*$C200)/60</f>
        <v>0</v>
      </c>
      <c r="G200" s="128">
        <f>('Financial impact (cash)'!G18*$C200)/60</f>
        <v>0</v>
      </c>
      <c r="H200" s="128">
        <f>('Financial impact (cash)'!H18*$C200)/60</f>
        <v>0</v>
      </c>
      <c r="I200" s="128">
        <f>('Financial impact (cash)'!I18*$C200)/60</f>
        <v>0</v>
      </c>
      <c r="J200" s="289"/>
      <c r="K200" s="289"/>
      <c r="L200" s="221"/>
      <c r="M200" s="221"/>
      <c r="N200" s="221"/>
      <c r="O200" s="221"/>
      <c r="P200" s="221"/>
      <c r="Q200" s="221"/>
      <c r="R200" s="133"/>
      <c r="S200" s="133"/>
      <c r="T200" s="133"/>
      <c r="U200" s="133"/>
      <c r="V200" s="133"/>
      <c r="W200" s="133"/>
      <c r="X200" s="133"/>
      <c r="Y200" s="133"/>
      <c r="Z200" s="133"/>
      <c r="AJ200" s="285"/>
      <c r="AK200" s="285"/>
      <c r="AL200" s="285"/>
      <c r="AM200" s="285"/>
      <c r="AN200" s="285"/>
    </row>
    <row r="201" spans="1:40" x14ac:dyDescent="0.35">
      <c r="A201" s="289"/>
      <c r="B201" s="348" t="s">
        <v>1101</v>
      </c>
      <c r="C201" s="149">
        <f>'Inputs and eligible population'!L$117</f>
        <v>2</v>
      </c>
      <c r="D201" s="128">
        <f>('Financial impact (cash)'!D19*$C201)/60</f>
        <v>0</v>
      </c>
      <c r="E201" s="128">
        <f>('Financial impact (cash)'!E19*$C201)/60</f>
        <v>0</v>
      </c>
      <c r="F201" s="128">
        <f>('Financial impact (cash)'!F19*$C201)/60</f>
        <v>0</v>
      </c>
      <c r="G201" s="128">
        <f>('Financial impact (cash)'!G19*$C201)/60</f>
        <v>0</v>
      </c>
      <c r="H201" s="128">
        <f>('Financial impact (cash)'!H19*$C201)/60</f>
        <v>0</v>
      </c>
      <c r="I201" s="128">
        <f>('Financial impact (cash)'!I19*$C201)/60</f>
        <v>0</v>
      </c>
      <c r="J201" s="289"/>
      <c r="K201" s="289"/>
      <c r="L201" s="221"/>
      <c r="M201" s="221"/>
      <c r="N201" s="221"/>
      <c r="O201" s="221"/>
      <c r="P201" s="221"/>
      <c r="Q201" s="221"/>
      <c r="R201" s="133"/>
      <c r="S201" s="133"/>
      <c r="T201" s="133"/>
      <c r="U201" s="133"/>
      <c r="V201" s="133"/>
      <c r="W201" s="133"/>
      <c r="X201" s="133"/>
      <c r="Y201" s="133"/>
      <c r="Z201" s="133"/>
      <c r="AJ201" s="285"/>
      <c r="AK201" s="285"/>
      <c r="AL201" s="285"/>
      <c r="AM201" s="285"/>
      <c r="AN201" s="285"/>
    </row>
    <row r="202" spans="1:40" x14ac:dyDescent="0.35">
      <c r="A202" s="289"/>
      <c r="B202" s="348" t="s">
        <v>714</v>
      </c>
      <c r="C202" s="149">
        <f>'Inputs and eligible population'!M$117</f>
        <v>4</v>
      </c>
      <c r="D202" s="128">
        <f>('Financial impact (cash)'!D20*$C202)/60</f>
        <v>0</v>
      </c>
      <c r="E202" s="128">
        <f>('Financial impact (cash)'!E20*$C202)/60</f>
        <v>0</v>
      </c>
      <c r="F202" s="128">
        <f>('Financial impact (cash)'!F20*$C202)/60</f>
        <v>0</v>
      </c>
      <c r="G202" s="128">
        <f>('Financial impact (cash)'!G20*$C202)/60</f>
        <v>0</v>
      </c>
      <c r="H202" s="128">
        <f>('Financial impact (cash)'!H20*$C202)/60</f>
        <v>0</v>
      </c>
      <c r="I202" s="128">
        <f>('Financial impact (cash)'!I20*$C202)/60</f>
        <v>0</v>
      </c>
      <c r="J202" s="289"/>
      <c r="K202" s="289"/>
      <c r="L202" s="221"/>
      <c r="M202" s="221"/>
      <c r="N202" s="221"/>
      <c r="O202" s="221"/>
      <c r="P202" s="221"/>
      <c r="Q202" s="221"/>
      <c r="R202" s="133"/>
      <c r="S202" s="133"/>
      <c r="T202" s="133"/>
      <c r="U202" s="133"/>
      <c r="V202" s="133"/>
      <c r="W202" s="133"/>
      <c r="X202" s="133"/>
      <c r="Y202" s="133"/>
      <c r="Z202" s="133"/>
      <c r="AJ202" s="285"/>
      <c r="AK202" s="285"/>
      <c r="AL202" s="285"/>
      <c r="AM202" s="285"/>
      <c r="AN202" s="285"/>
    </row>
    <row r="203" spans="1:40" x14ac:dyDescent="0.35">
      <c r="A203" s="289"/>
      <c r="B203" s="348" t="s">
        <v>717</v>
      </c>
      <c r="C203" s="149">
        <f>'Inputs and eligible population'!N$117</f>
        <v>4</v>
      </c>
      <c r="D203" s="128">
        <f>('Financial impact (cash)'!D21*$C203)/60</f>
        <v>0</v>
      </c>
      <c r="E203" s="128">
        <f>('Financial impact (cash)'!E21*$C203)/60</f>
        <v>0</v>
      </c>
      <c r="F203" s="128">
        <f>('Financial impact (cash)'!F21*$C203)/60</f>
        <v>0</v>
      </c>
      <c r="G203" s="128">
        <f>('Financial impact (cash)'!G21*$C203)/60</f>
        <v>0</v>
      </c>
      <c r="H203" s="128">
        <f>('Financial impact (cash)'!H21*$C203)/60</f>
        <v>0</v>
      </c>
      <c r="I203" s="128">
        <f>('Financial impact (cash)'!I21*$C203)/60</f>
        <v>0</v>
      </c>
      <c r="J203" s="289"/>
      <c r="K203" s="289"/>
      <c r="L203" s="221"/>
      <c r="M203" s="221"/>
      <c r="N203" s="221"/>
      <c r="O203" s="221"/>
      <c r="P203" s="221"/>
      <c r="Q203" s="221"/>
      <c r="R203" s="133"/>
      <c r="S203" s="133"/>
      <c r="T203" s="133"/>
      <c r="U203" s="133"/>
      <c r="V203" s="133"/>
      <c r="W203" s="133"/>
      <c r="X203" s="133"/>
      <c r="Y203" s="133"/>
      <c r="Z203" s="133"/>
      <c r="AJ203" s="285"/>
      <c r="AK203" s="285"/>
      <c r="AL203" s="285"/>
      <c r="AM203" s="285"/>
      <c r="AN203" s="285"/>
    </row>
    <row r="204" spans="1:40" x14ac:dyDescent="0.35">
      <c r="A204" s="289"/>
      <c r="B204" s="348" t="s">
        <v>719</v>
      </c>
      <c r="C204" s="149">
        <f>'Inputs and eligible population'!O$117</f>
        <v>2</v>
      </c>
      <c r="D204" s="128">
        <f>('Financial impact (cash)'!D22*$C204)/60</f>
        <v>0</v>
      </c>
      <c r="E204" s="128">
        <f>('Financial impact (cash)'!E22*$C204)/60</f>
        <v>0</v>
      </c>
      <c r="F204" s="128">
        <f>('Financial impact (cash)'!F22*$C204)/60</f>
        <v>0</v>
      </c>
      <c r="G204" s="128">
        <f>('Financial impact (cash)'!G22*$C204)/60</f>
        <v>0</v>
      </c>
      <c r="H204" s="128">
        <f>('Financial impact (cash)'!H22*$C204)/60</f>
        <v>0</v>
      </c>
      <c r="I204" s="128">
        <f>('Financial impact (cash)'!I22*$C204)/60</f>
        <v>0</v>
      </c>
      <c r="J204" s="289"/>
      <c r="K204" s="289"/>
      <c r="L204" s="221"/>
      <c r="M204" s="221"/>
      <c r="N204" s="221"/>
      <c r="O204" s="221"/>
      <c r="P204" s="221"/>
      <c r="Q204" s="221"/>
      <c r="R204" s="133"/>
      <c r="S204" s="133"/>
      <c r="T204" s="133"/>
      <c r="U204" s="133"/>
      <c r="V204" s="133"/>
      <c r="W204" s="133"/>
      <c r="X204" s="133"/>
      <c r="Y204" s="133"/>
      <c r="Z204" s="133"/>
      <c r="AJ204" s="285"/>
      <c r="AK204" s="285"/>
      <c r="AL204" s="285"/>
      <c r="AM204" s="285"/>
      <c r="AN204" s="285"/>
    </row>
    <row r="205" spans="1:40" x14ac:dyDescent="0.35">
      <c r="A205" s="289"/>
      <c r="B205" s="348" t="s">
        <v>721</v>
      </c>
      <c r="C205" s="149">
        <f>'Inputs and eligible population'!P$117</f>
        <v>1</v>
      </c>
      <c r="D205" s="128">
        <f>('Financial impact (cash)'!D23*$C205)/60</f>
        <v>0</v>
      </c>
      <c r="E205" s="128">
        <f>('Financial impact (cash)'!E23*$C205)/60</f>
        <v>0</v>
      </c>
      <c r="F205" s="128">
        <f>('Financial impact (cash)'!F23*$C205)/60</f>
        <v>0</v>
      </c>
      <c r="G205" s="128">
        <f>('Financial impact (cash)'!G23*$C205)/60</f>
        <v>0</v>
      </c>
      <c r="H205" s="128">
        <f>('Financial impact (cash)'!H23*$C205)/60</f>
        <v>0</v>
      </c>
      <c r="I205" s="128">
        <f>('Financial impact (cash)'!I23*$C205)/60</f>
        <v>0</v>
      </c>
      <c r="J205" s="289"/>
      <c r="K205" s="289"/>
      <c r="L205" s="221"/>
      <c r="M205" s="221"/>
      <c r="N205" s="221"/>
      <c r="O205" s="221"/>
      <c r="P205" s="221"/>
      <c r="Q205" s="221"/>
      <c r="R205" s="133"/>
      <c r="S205" s="133"/>
      <c r="T205" s="133"/>
      <c r="U205" s="133"/>
      <c r="V205" s="133"/>
      <c r="W205" s="133"/>
      <c r="X205" s="133"/>
      <c r="Y205" s="133"/>
      <c r="Z205" s="133"/>
      <c r="AJ205" s="285"/>
      <c r="AK205" s="285"/>
      <c r="AL205" s="285"/>
      <c r="AM205" s="285"/>
      <c r="AN205" s="285"/>
    </row>
    <row r="206" spans="1:40" x14ac:dyDescent="0.35">
      <c r="A206" s="289"/>
      <c r="B206" s="348" t="s">
        <v>723</v>
      </c>
      <c r="C206" s="149">
        <f>'Inputs and eligible population'!Q$117</f>
        <v>1</v>
      </c>
      <c r="D206" s="128">
        <f>('Financial impact (cash)'!D24*$C206)/60</f>
        <v>0</v>
      </c>
      <c r="E206" s="128">
        <f>('Financial impact (cash)'!E24*$C206)/60</f>
        <v>0</v>
      </c>
      <c r="F206" s="128">
        <f>('Financial impact (cash)'!F24*$C206)/60</f>
        <v>0</v>
      </c>
      <c r="G206" s="128">
        <f>('Financial impact (cash)'!G24*$C206)/60</f>
        <v>0</v>
      </c>
      <c r="H206" s="128">
        <f>('Financial impact (cash)'!H24*$C206)/60</f>
        <v>0</v>
      </c>
      <c r="I206" s="128">
        <f>('Financial impact (cash)'!I24*$C206)/60</f>
        <v>0</v>
      </c>
      <c r="J206" s="289"/>
      <c r="K206" s="289"/>
      <c r="L206" s="221"/>
      <c r="M206" s="221"/>
      <c r="N206" s="221"/>
      <c r="O206" s="221"/>
      <c r="P206" s="221"/>
      <c r="Q206" s="221"/>
      <c r="R206" s="133"/>
      <c r="S206" s="133"/>
      <c r="T206" s="133"/>
      <c r="U206" s="133"/>
      <c r="V206" s="133"/>
      <c r="W206" s="133"/>
      <c r="X206" s="133"/>
      <c r="Y206" s="133"/>
      <c r="Z206" s="133"/>
      <c r="AJ206" s="285"/>
      <c r="AK206" s="285"/>
      <c r="AL206" s="285"/>
      <c r="AM206" s="285"/>
      <c r="AN206" s="285"/>
    </row>
    <row r="207" spans="1:40" x14ac:dyDescent="0.35">
      <c r="A207" s="289"/>
      <c r="B207" s="348" t="s">
        <v>725</v>
      </c>
      <c r="C207" s="149">
        <f>'Inputs and eligible population'!R$117</f>
        <v>1</v>
      </c>
      <c r="D207" s="128">
        <f>('Financial impact (cash)'!D25*$C207)/60</f>
        <v>0</v>
      </c>
      <c r="E207" s="128">
        <f>('Financial impact (cash)'!E25*$C207)/60</f>
        <v>0</v>
      </c>
      <c r="F207" s="128">
        <f>('Financial impact (cash)'!F25*$C207)/60</f>
        <v>0</v>
      </c>
      <c r="G207" s="128">
        <f>('Financial impact (cash)'!G25*$C207)/60</f>
        <v>0</v>
      </c>
      <c r="H207" s="128">
        <f>('Financial impact (cash)'!H25*$C207)/60</f>
        <v>0</v>
      </c>
      <c r="I207" s="128">
        <f>('Financial impact (cash)'!I25*$C207)/60</f>
        <v>0</v>
      </c>
      <c r="J207" s="289"/>
      <c r="K207" s="289"/>
      <c r="L207" s="221"/>
      <c r="M207" s="221"/>
      <c r="N207" s="221"/>
      <c r="O207" s="221"/>
      <c r="P207" s="221"/>
      <c r="Q207" s="221"/>
      <c r="R207" s="133"/>
      <c r="S207" s="133"/>
      <c r="T207" s="133"/>
      <c r="U207" s="133"/>
      <c r="V207" s="133"/>
      <c r="W207" s="133"/>
      <c r="X207" s="133"/>
      <c r="Y207" s="133"/>
      <c r="Z207" s="133"/>
      <c r="AJ207" s="285"/>
      <c r="AK207" s="285"/>
      <c r="AL207" s="285"/>
      <c r="AM207" s="285"/>
      <c r="AN207" s="285"/>
    </row>
    <row r="208" spans="1:40" x14ac:dyDescent="0.35">
      <c r="A208" s="289"/>
      <c r="B208" s="348" t="s">
        <v>727</v>
      </c>
      <c r="C208" s="149">
        <f>'Inputs and eligible population'!S$117</f>
        <v>1</v>
      </c>
      <c r="D208" s="128">
        <f>('Financial impact (cash)'!D26*$C208)/60</f>
        <v>0</v>
      </c>
      <c r="E208" s="128">
        <f>('Financial impact (cash)'!E26*$C208)/60</f>
        <v>0</v>
      </c>
      <c r="F208" s="128">
        <f>('Financial impact (cash)'!F26*$C208)/60</f>
        <v>0</v>
      </c>
      <c r="G208" s="128">
        <f>('Financial impact (cash)'!G26*$C208)/60</f>
        <v>0</v>
      </c>
      <c r="H208" s="128">
        <f>('Financial impact (cash)'!H26*$C208)/60</f>
        <v>0</v>
      </c>
      <c r="I208" s="128">
        <f>('Financial impact (cash)'!I26*$C208)/60</f>
        <v>0</v>
      </c>
      <c r="J208" s="289"/>
      <c r="K208" s="289"/>
      <c r="L208" s="221"/>
      <c r="M208" s="221"/>
      <c r="N208" s="221"/>
      <c r="O208" s="221"/>
      <c r="P208" s="221"/>
      <c r="Q208" s="221"/>
      <c r="R208" s="133"/>
      <c r="S208" s="133"/>
      <c r="T208" s="133"/>
      <c r="U208" s="133"/>
      <c r="V208" s="133"/>
      <c r="W208" s="133"/>
      <c r="X208" s="133"/>
      <c r="Y208" s="133"/>
      <c r="Z208" s="133"/>
      <c r="AJ208" s="285"/>
      <c r="AK208" s="285"/>
      <c r="AL208" s="285"/>
      <c r="AM208" s="285"/>
      <c r="AN208" s="285"/>
    </row>
    <row r="209" spans="1:40" x14ac:dyDescent="0.35">
      <c r="A209" s="289"/>
      <c r="B209" s="348" t="s">
        <v>729</v>
      </c>
      <c r="C209" s="149">
        <f>'Inputs and eligible population'!T$117</f>
        <v>1</v>
      </c>
      <c r="D209" s="128">
        <f>('Financial impact (cash)'!D27*$C209)/60</f>
        <v>0</v>
      </c>
      <c r="E209" s="128">
        <f>('Financial impact (cash)'!E27*$C209)/60</f>
        <v>0</v>
      </c>
      <c r="F209" s="128">
        <f>('Financial impact (cash)'!F27*$C209)/60</f>
        <v>0</v>
      </c>
      <c r="G209" s="128">
        <f>('Financial impact (cash)'!G27*$C209)/60</f>
        <v>0</v>
      </c>
      <c r="H209" s="128">
        <f>('Financial impact (cash)'!H27*$C209)/60</f>
        <v>0</v>
      </c>
      <c r="I209" s="128">
        <f>('Financial impact (cash)'!I27*$C209)/60</f>
        <v>0</v>
      </c>
      <c r="J209" s="289"/>
      <c r="K209" s="289"/>
      <c r="L209" s="221"/>
      <c r="M209" s="221"/>
      <c r="N209" s="221"/>
      <c r="O209" s="221"/>
      <c r="P209" s="221"/>
      <c r="Q209" s="221"/>
      <c r="R209" s="133"/>
      <c r="S209" s="133"/>
      <c r="T209" s="133"/>
      <c r="U209" s="133"/>
      <c r="V209" s="133"/>
      <c r="W209" s="133"/>
      <c r="X209" s="133"/>
      <c r="Y209" s="133"/>
      <c r="Z209" s="133"/>
      <c r="AJ209" s="285"/>
      <c r="AK209" s="285"/>
      <c r="AL209" s="285"/>
      <c r="AM209" s="285"/>
      <c r="AN209" s="285"/>
    </row>
    <row r="210" spans="1:40" x14ac:dyDescent="0.35">
      <c r="A210" s="289"/>
      <c r="B210" s="348" t="s">
        <v>731</v>
      </c>
      <c r="C210" s="149">
        <f>'Inputs and eligible population'!U$117</f>
        <v>2</v>
      </c>
      <c r="D210" s="128">
        <f>('Financial impact (cash)'!D28*$C210)/60</f>
        <v>0</v>
      </c>
      <c r="E210" s="128">
        <f>('Financial impact (cash)'!E28*$C210)/60</f>
        <v>0</v>
      </c>
      <c r="F210" s="128">
        <f>('Financial impact (cash)'!F28*$C210)/60</f>
        <v>0</v>
      </c>
      <c r="G210" s="128">
        <f>('Financial impact (cash)'!G28*$C210)/60</f>
        <v>0</v>
      </c>
      <c r="H210" s="128">
        <f>('Financial impact (cash)'!H28*$C210)/60</f>
        <v>0</v>
      </c>
      <c r="I210" s="128">
        <f>('Financial impact (cash)'!I28*$C210)/60</f>
        <v>0</v>
      </c>
      <c r="J210" s="289"/>
      <c r="K210" s="289"/>
      <c r="L210" s="221"/>
      <c r="M210" s="221"/>
      <c r="N210" s="221"/>
      <c r="O210" s="221"/>
      <c r="P210" s="221"/>
      <c r="Q210" s="221"/>
      <c r="R210" s="133"/>
      <c r="S210" s="133"/>
      <c r="T210" s="133"/>
      <c r="U210" s="133"/>
      <c r="V210" s="133"/>
      <c r="W210" s="133"/>
      <c r="X210" s="133"/>
      <c r="Y210" s="133"/>
      <c r="Z210" s="133"/>
      <c r="AJ210" s="285"/>
      <c r="AK210" s="285"/>
      <c r="AL210" s="285"/>
      <c r="AM210" s="285"/>
      <c r="AN210" s="285"/>
    </row>
    <row r="211" spans="1:40" x14ac:dyDescent="0.35">
      <c r="A211" s="289"/>
      <c r="B211" s="348" t="s">
        <v>733</v>
      </c>
      <c r="C211" s="149">
        <f>'Inputs and eligible population'!V$117</f>
        <v>2</v>
      </c>
      <c r="D211" s="128">
        <f>('Financial impact (cash)'!D29*$C211)/60</f>
        <v>0</v>
      </c>
      <c r="E211" s="128">
        <f>('Financial impact (cash)'!E29*$C211)/60</f>
        <v>0</v>
      </c>
      <c r="F211" s="128">
        <f>('Financial impact (cash)'!F29*$C211)/60</f>
        <v>0</v>
      </c>
      <c r="G211" s="128">
        <f>('Financial impact (cash)'!G29*$C211)/60</f>
        <v>0</v>
      </c>
      <c r="H211" s="128">
        <f>('Financial impact (cash)'!H29*$C211)/60</f>
        <v>0</v>
      </c>
      <c r="I211" s="128">
        <f>('Financial impact (cash)'!I29*$C211)/60</f>
        <v>0</v>
      </c>
      <c r="J211" s="289"/>
      <c r="K211" s="289"/>
      <c r="L211" s="221"/>
      <c r="M211" s="221"/>
      <c r="N211" s="221"/>
      <c r="O211" s="221"/>
      <c r="P211" s="221"/>
      <c r="Q211" s="221"/>
      <c r="R211" s="133"/>
      <c r="S211" s="133"/>
      <c r="T211" s="133"/>
      <c r="U211" s="133"/>
      <c r="V211" s="133"/>
      <c r="W211" s="133"/>
      <c r="X211" s="133"/>
      <c r="Y211" s="133"/>
      <c r="Z211" s="133"/>
      <c r="AJ211" s="285"/>
      <c r="AK211" s="285"/>
      <c r="AL211" s="285"/>
      <c r="AM211" s="285"/>
      <c r="AN211" s="285"/>
    </row>
    <row r="212" spans="1:40" x14ac:dyDescent="0.35">
      <c r="A212" s="289"/>
      <c r="B212" s="348" t="s">
        <v>735</v>
      </c>
      <c r="C212" s="149">
        <f>'Inputs and eligible population'!W$117</f>
        <v>1</v>
      </c>
      <c r="D212" s="128">
        <f>('Financial impact (cash)'!D30*$C212)/60</f>
        <v>0</v>
      </c>
      <c r="E212" s="128">
        <f>('Financial impact (cash)'!E30*$C212)/60</f>
        <v>0</v>
      </c>
      <c r="F212" s="128">
        <f>('Financial impact (cash)'!F30*$C212)/60</f>
        <v>0</v>
      </c>
      <c r="G212" s="128">
        <f>('Financial impact (cash)'!G30*$C212)/60</f>
        <v>0</v>
      </c>
      <c r="H212" s="128">
        <f>('Financial impact (cash)'!H30*$C212)/60</f>
        <v>0</v>
      </c>
      <c r="I212" s="128">
        <f>('Financial impact (cash)'!I30*$C212)/60</f>
        <v>0</v>
      </c>
      <c r="J212" s="289"/>
      <c r="K212" s="289"/>
      <c r="L212" s="221"/>
      <c r="M212" s="221"/>
      <c r="N212" s="221"/>
      <c r="O212" s="221"/>
      <c r="P212" s="221"/>
      <c r="Q212" s="221"/>
      <c r="R212" s="133"/>
      <c r="S212" s="133"/>
      <c r="T212" s="133"/>
      <c r="U212" s="133"/>
      <c r="V212" s="133"/>
      <c r="W212" s="133"/>
      <c r="X212" s="133"/>
      <c r="Y212" s="133"/>
      <c r="Z212" s="133"/>
      <c r="AJ212" s="285"/>
      <c r="AK212" s="285"/>
      <c r="AL212" s="285"/>
      <c r="AM212" s="285"/>
      <c r="AN212" s="285"/>
    </row>
    <row r="213" spans="1:40" x14ac:dyDescent="0.35">
      <c r="A213" s="289"/>
      <c r="B213" s="348" t="s">
        <v>750</v>
      </c>
      <c r="C213" s="149">
        <f>'Inputs and eligible population'!X$117</f>
        <v>1</v>
      </c>
      <c r="D213" s="128">
        <f>('Financial impact (cash)'!D31*$C213)/60</f>
        <v>0</v>
      </c>
      <c r="E213" s="128">
        <f>('Financial impact (cash)'!E31*$C213)/60</f>
        <v>0</v>
      </c>
      <c r="F213" s="128">
        <f>('Financial impact (cash)'!F31*$C213)/60</f>
        <v>0</v>
      </c>
      <c r="G213" s="128">
        <f>('Financial impact (cash)'!G31*$C213)/60</f>
        <v>0</v>
      </c>
      <c r="H213" s="128">
        <f>('Financial impact (cash)'!H31*$C213)/60</f>
        <v>0</v>
      </c>
      <c r="I213" s="128">
        <f>('Financial impact (cash)'!I31*$C213)/60</f>
        <v>0</v>
      </c>
      <c r="J213" s="289"/>
      <c r="K213" s="289"/>
      <c r="L213" s="221"/>
      <c r="M213" s="221"/>
      <c r="N213" s="221"/>
      <c r="O213" s="221"/>
      <c r="P213" s="221"/>
      <c r="Q213" s="221"/>
      <c r="R213" s="133"/>
      <c r="S213" s="133"/>
      <c r="T213" s="133"/>
      <c r="U213" s="133"/>
      <c r="V213" s="133"/>
      <c r="W213" s="133"/>
      <c r="X213" s="133"/>
      <c r="Y213" s="133"/>
      <c r="Z213" s="133"/>
      <c r="AJ213" s="285"/>
      <c r="AK213" s="285"/>
      <c r="AL213" s="285"/>
      <c r="AM213" s="285"/>
      <c r="AN213" s="285"/>
    </row>
    <row r="214" spans="1:40" x14ac:dyDescent="0.35">
      <c r="A214" s="289"/>
      <c r="B214" s="282"/>
      <c r="C214" s="205"/>
      <c r="D214" s="185">
        <f t="shared" ref="D214:I214" si="51">SUM(D195:D213)</f>
        <v>0</v>
      </c>
      <c r="E214" s="185">
        <f t="shared" si="51"/>
        <v>0</v>
      </c>
      <c r="F214" s="185">
        <f t="shared" si="51"/>
        <v>0</v>
      </c>
      <c r="G214" s="185">
        <f t="shared" si="51"/>
        <v>0</v>
      </c>
      <c r="H214" s="185">
        <f t="shared" si="51"/>
        <v>0</v>
      </c>
      <c r="I214" s="185">
        <f t="shared" si="51"/>
        <v>0</v>
      </c>
      <c r="J214" s="289"/>
      <c r="K214" s="289"/>
      <c r="L214" s="221"/>
      <c r="M214" s="221"/>
      <c r="N214" s="221"/>
      <c r="O214" s="221"/>
      <c r="P214" s="221"/>
      <c r="Q214" s="221"/>
      <c r="R214" s="133"/>
      <c r="S214" s="133"/>
      <c r="T214" s="133"/>
      <c r="U214" s="133"/>
      <c r="V214" s="133"/>
      <c r="W214" s="133"/>
      <c r="X214" s="133"/>
      <c r="Y214" s="133"/>
      <c r="Z214" s="133"/>
      <c r="AJ214" s="285"/>
      <c r="AK214" s="285"/>
      <c r="AL214" s="285"/>
      <c r="AM214" s="285"/>
      <c r="AN214" s="285"/>
    </row>
    <row r="215" spans="1:40" x14ac:dyDescent="0.35">
      <c r="A215" s="289"/>
      <c r="B215" s="307"/>
      <c r="C215" s="256"/>
      <c r="D215" s="284" t="s">
        <v>949</v>
      </c>
      <c r="E215" s="185">
        <f>E214-$D$214</f>
        <v>0</v>
      </c>
      <c r="F215" s="185">
        <f>F214-$D$214</f>
        <v>0</v>
      </c>
      <c r="G215" s="185">
        <f>G214-$D$214</f>
        <v>0</v>
      </c>
      <c r="H215" s="185">
        <f>H214-$D$214</f>
        <v>0</v>
      </c>
      <c r="I215" s="185">
        <f>I214-$D$214</f>
        <v>0</v>
      </c>
      <c r="J215" s="289"/>
      <c r="K215" s="289"/>
      <c r="L215" s="221"/>
      <c r="M215" s="221"/>
      <c r="N215" s="221"/>
      <c r="O215" s="221"/>
      <c r="P215" s="221"/>
      <c r="Q215" s="221"/>
      <c r="V215" s="133"/>
    </row>
    <row r="216" spans="1:40" x14ac:dyDescent="0.35">
      <c r="A216" s="289"/>
      <c r="B216" s="326"/>
      <c r="C216" s="221"/>
      <c r="D216" s="221"/>
      <c r="E216" s="221"/>
      <c r="F216" s="221"/>
      <c r="G216" s="221"/>
      <c r="H216" s="221"/>
      <c r="I216" s="221"/>
      <c r="J216" s="289"/>
      <c r="K216" s="289"/>
      <c r="L216" s="221"/>
      <c r="M216" s="221"/>
      <c r="N216" s="221"/>
      <c r="O216" s="221"/>
      <c r="P216" s="221"/>
      <c r="Q216" s="221"/>
      <c r="V216" s="133"/>
    </row>
    <row r="217" spans="1:40" x14ac:dyDescent="0.35">
      <c r="A217" s="289"/>
      <c r="B217" s="396" t="s">
        <v>1021</v>
      </c>
      <c r="C217" s="397"/>
      <c r="D217" s="397"/>
      <c r="E217" s="397"/>
      <c r="F217" s="397"/>
      <c r="G217" s="397"/>
      <c r="H217" s="397"/>
      <c r="I217" s="220"/>
      <c r="J217" s="289"/>
      <c r="K217" s="289"/>
      <c r="L217" s="221"/>
      <c r="M217" s="221"/>
      <c r="N217" s="221"/>
      <c r="O217" s="221"/>
      <c r="P217" s="221"/>
      <c r="Q217" s="221"/>
      <c r="R217" s="133"/>
      <c r="S217" s="133"/>
      <c r="T217" s="133"/>
      <c r="U217" s="133"/>
      <c r="V217" s="133"/>
      <c r="W217" s="133"/>
      <c r="X217" s="133"/>
      <c r="Y217" s="133"/>
      <c r="Z217" s="133"/>
      <c r="AJ217" s="285"/>
      <c r="AK217" s="285"/>
      <c r="AL217" s="285"/>
      <c r="AM217" s="285"/>
      <c r="AN217" s="285"/>
    </row>
    <row r="218" spans="1:40" ht="43.5" x14ac:dyDescent="0.35">
      <c r="A218" s="289"/>
      <c r="B218" s="278" t="s">
        <v>876</v>
      </c>
      <c r="C218" s="165" t="s">
        <v>1012</v>
      </c>
      <c r="D218" s="421" t="s">
        <v>957</v>
      </c>
      <c r="E218" s="255" t="s">
        <v>685</v>
      </c>
      <c r="F218" s="255" t="s">
        <v>686</v>
      </c>
      <c r="G218" s="164" t="s">
        <v>914</v>
      </c>
      <c r="H218" s="164" t="s">
        <v>915</v>
      </c>
      <c r="I218" s="255" t="s">
        <v>916</v>
      </c>
      <c r="J218" s="289"/>
      <c r="K218" s="289"/>
      <c r="L218" s="221"/>
      <c r="M218" s="221"/>
      <c r="N218" s="221"/>
      <c r="O218" s="221"/>
      <c r="P218" s="221"/>
      <c r="Q218" s="221"/>
      <c r="R218" s="133"/>
      <c r="S218" s="133"/>
      <c r="T218" s="133"/>
      <c r="U218" s="133"/>
      <c r="V218" s="133"/>
      <c r="W218" s="133"/>
      <c r="X218" s="133"/>
      <c r="Y218" s="133"/>
      <c r="Z218" s="133"/>
      <c r="AJ218" s="285"/>
      <c r="AK218" s="285"/>
      <c r="AL218" s="285"/>
      <c r="AM218" s="285"/>
      <c r="AN218" s="285"/>
    </row>
    <row r="219" spans="1:40" x14ac:dyDescent="0.35">
      <c r="A219" s="289"/>
      <c r="B219" s="348" t="s">
        <v>699</v>
      </c>
      <c r="C219" s="149">
        <f>'Inputs and eligible population'!F$119</f>
        <v>1</v>
      </c>
      <c r="D219" s="128">
        <f>('Financial impact (cash)'!D13*$C219)/60</f>
        <v>0</v>
      </c>
      <c r="E219" s="128">
        <f>('Financial impact (cash)'!E13*$C219)/60</f>
        <v>0</v>
      </c>
      <c r="F219" s="128">
        <f>('Financial impact (cash)'!F13*$C219)/60</f>
        <v>0</v>
      </c>
      <c r="G219" s="128">
        <f>('Financial impact (cash)'!G13*$C219)/60</f>
        <v>0</v>
      </c>
      <c r="H219" s="128">
        <f>('Financial impact (cash)'!H13*$C219)/60</f>
        <v>0</v>
      </c>
      <c r="I219" s="128">
        <f>('Financial impact (cash)'!I13*$C219)/60</f>
        <v>0</v>
      </c>
      <c r="J219" s="289"/>
      <c r="K219" s="289"/>
      <c r="L219" s="221"/>
      <c r="M219" s="221"/>
      <c r="N219" s="221"/>
      <c r="O219" s="221"/>
      <c r="P219" s="221"/>
      <c r="Q219" s="221"/>
      <c r="R219" s="133"/>
      <c r="S219" s="133"/>
      <c r="T219" s="133"/>
      <c r="U219" s="133"/>
      <c r="V219" s="133"/>
      <c r="W219" s="133"/>
      <c r="X219" s="133"/>
      <c r="Y219" s="133"/>
      <c r="Z219" s="133"/>
      <c r="AJ219" s="285"/>
      <c r="AK219" s="285"/>
      <c r="AL219" s="285"/>
      <c r="AM219" s="285"/>
      <c r="AN219" s="285"/>
    </row>
    <row r="220" spans="1:40" x14ac:dyDescent="0.35">
      <c r="A220" s="289"/>
      <c r="B220" s="348" t="s">
        <v>701</v>
      </c>
      <c r="C220" s="149">
        <f>'Inputs and eligible population'!G$119</f>
        <v>1</v>
      </c>
      <c r="D220" s="128">
        <f>('Financial impact (cash)'!D14*$C220)/60</f>
        <v>0</v>
      </c>
      <c r="E220" s="128">
        <f>('Financial impact (cash)'!E14*$C220)/60</f>
        <v>0</v>
      </c>
      <c r="F220" s="128">
        <f>('Financial impact (cash)'!F14*$C220)/60</f>
        <v>0</v>
      </c>
      <c r="G220" s="128">
        <f>('Financial impact (cash)'!G14*$C220)/60</f>
        <v>0</v>
      </c>
      <c r="H220" s="128">
        <f>('Financial impact (cash)'!H14*$C220)/60</f>
        <v>0</v>
      </c>
      <c r="I220" s="128">
        <f>('Financial impact (cash)'!I14*$C220)/60</f>
        <v>0</v>
      </c>
      <c r="J220" s="289"/>
      <c r="K220" s="289"/>
      <c r="L220" s="221"/>
      <c r="M220" s="221"/>
      <c r="N220" s="221"/>
      <c r="O220" s="221"/>
      <c r="P220" s="221"/>
      <c r="Q220" s="221"/>
      <c r="R220" s="133"/>
      <c r="S220" s="133"/>
      <c r="T220" s="133"/>
      <c r="U220" s="133"/>
      <c r="V220" s="133"/>
      <c r="W220" s="133"/>
      <c r="X220" s="133"/>
      <c r="Y220" s="133"/>
      <c r="Z220" s="133"/>
      <c r="AJ220" s="285"/>
      <c r="AK220" s="285"/>
      <c r="AL220" s="285"/>
      <c r="AM220" s="285"/>
      <c r="AN220" s="285"/>
    </row>
    <row r="221" spans="1:40" x14ac:dyDescent="0.35">
      <c r="A221" s="289"/>
      <c r="B221" s="348" t="s">
        <v>703</v>
      </c>
      <c r="C221" s="149">
        <f>'Inputs and eligible population'!H$119</f>
        <v>1</v>
      </c>
      <c r="D221" s="128">
        <f>('Financial impact (cash)'!D15*$C221)/60</f>
        <v>0</v>
      </c>
      <c r="E221" s="128">
        <f>('Financial impact (cash)'!E15*$C221)/60</f>
        <v>0</v>
      </c>
      <c r="F221" s="128">
        <f>('Financial impact (cash)'!F15*$C221)/60</f>
        <v>0</v>
      </c>
      <c r="G221" s="128">
        <f>('Financial impact (cash)'!G15*$C221)/60</f>
        <v>0</v>
      </c>
      <c r="H221" s="128">
        <f>('Financial impact (cash)'!H15*$C221)/60</f>
        <v>0</v>
      </c>
      <c r="I221" s="128">
        <f>('Financial impact (cash)'!I15*$C221)/60</f>
        <v>0</v>
      </c>
      <c r="J221" s="289"/>
      <c r="K221" s="289"/>
      <c r="L221" s="221"/>
      <c r="M221" s="221"/>
      <c r="N221" s="221"/>
      <c r="O221" s="221"/>
      <c r="P221" s="221"/>
      <c r="Q221" s="221"/>
      <c r="R221" s="133"/>
      <c r="S221" s="133"/>
      <c r="T221" s="133"/>
      <c r="U221" s="133"/>
      <c r="V221" s="133"/>
      <c r="W221" s="133"/>
      <c r="X221" s="133"/>
      <c r="Y221" s="133"/>
      <c r="Z221" s="133"/>
      <c r="AJ221" s="285"/>
      <c r="AK221" s="285"/>
      <c r="AL221" s="285"/>
      <c r="AM221" s="285"/>
      <c r="AN221" s="285"/>
    </row>
    <row r="222" spans="1:40" x14ac:dyDescent="0.35">
      <c r="A222" s="289"/>
      <c r="B222" s="348" t="s">
        <v>705</v>
      </c>
      <c r="C222" s="149">
        <f>'Inputs and eligible population'!I$119</f>
        <v>1</v>
      </c>
      <c r="D222" s="128">
        <f>('Financial impact (cash)'!D16*$C222)/60</f>
        <v>0</v>
      </c>
      <c r="E222" s="128">
        <f>('Financial impact (cash)'!E16*$C222)/60</f>
        <v>0</v>
      </c>
      <c r="F222" s="128">
        <f>('Financial impact (cash)'!F16*$C222)/60</f>
        <v>0</v>
      </c>
      <c r="G222" s="128">
        <f>('Financial impact (cash)'!G16*$C222)/60</f>
        <v>0</v>
      </c>
      <c r="H222" s="128">
        <f>('Financial impact (cash)'!H16*$C222)/60</f>
        <v>0</v>
      </c>
      <c r="I222" s="128">
        <f>('Financial impact (cash)'!I16*$C222)/60</f>
        <v>0</v>
      </c>
      <c r="J222" s="289"/>
      <c r="K222" s="289"/>
      <c r="L222" s="221"/>
      <c r="M222" s="221"/>
      <c r="N222" s="221"/>
      <c r="O222" s="221"/>
      <c r="P222" s="221"/>
      <c r="Q222" s="221"/>
      <c r="R222" s="133"/>
      <c r="S222" s="133"/>
      <c r="T222" s="133"/>
      <c r="U222" s="133"/>
      <c r="V222" s="133"/>
      <c r="W222" s="133"/>
      <c r="X222" s="133"/>
      <c r="Y222" s="133"/>
      <c r="Z222" s="133"/>
      <c r="AJ222" s="285"/>
      <c r="AK222" s="285"/>
      <c r="AL222" s="285"/>
      <c r="AM222" s="285"/>
      <c r="AN222" s="285"/>
    </row>
    <row r="223" spans="1:40" x14ac:dyDescent="0.35">
      <c r="A223" s="289"/>
      <c r="B223" s="348" t="s">
        <v>749</v>
      </c>
      <c r="C223" s="149">
        <f>'Inputs and eligible population'!J$119</f>
        <v>1</v>
      </c>
      <c r="D223" s="128">
        <f>('Financial impact (cash)'!D17*$C223)/60</f>
        <v>0</v>
      </c>
      <c r="E223" s="128">
        <f>('Financial impact (cash)'!E17*$C223)/60</f>
        <v>0</v>
      </c>
      <c r="F223" s="128">
        <f>('Financial impact (cash)'!F17*$C223)/60</f>
        <v>0</v>
      </c>
      <c r="G223" s="128">
        <f>('Financial impact (cash)'!G17*$C223)/60</f>
        <v>0</v>
      </c>
      <c r="H223" s="128">
        <f>('Financial impact (cash)'!H17*$C223)/60</f>
        <v>0</v>
      </c>
      <c r="I223" s="128">
        <f>('Financial impact (cash)'!I17*$C223)/60</f>
        <v>0</v>
      </c>
      <c r="J223" s="289"/>
      <c r="K223" s="289"/>
      <c r="L223" s="221"/>
      <c r="M223" s="221"/>
      <c r="N223" s="221"/>
      <c r="O223" s="221"/>
      <c r="P223" s="221"/>
      <c r="Q223" s="221"/>
      <c r="R223" s="133"/>
      <c r="S223" s="133"/>
      <c r="T223" s="133"/>
      <c r="U223" s="133"/>
      <c r="V223" s="133"/>
      <c r="W223" s="133"/>
      <c r="X223" s="133"/>
      <c r="Y223" s="133"/>
      <c r="Z223" s="133"/>
      <c r="AJ223" s="285"/>
      <c r="AK223" s="285"/>
      <c r="AL223" s="285"/>
      <c r="AM223" s="285"/>
      <c r="AN223" s="285"/>
    </row>
    <row r="224" spans="1:40" x14ac:dyDescent="0.35">
      <c r="A224" s="289"/>
      <c r="B224" s="348" t="s">
        <v>711</v>
      </c>
      <c r="C224" s="149">
        <f>'Inputs and eligible population'!K$119</f>
        <v>3</v>
      </c>
      <c r="D224" s="128">
        <f>('Financial impact (cash)'!D18*$C224)/60</f>
        <v>0</v>
      </c>
      <c r="E224" s="128">
        <f>('Financial impact (cash)'!E18*$C224)/60</f>
        <v>0</v>
      </c>
      <c r="F224" s="128">
        <f>('Financial impact (cash)'!F18*$C224)/60</f>
        <v>0</v>
      </c>
      <c r="G224" s="128">
        <f>('Financial impact (cash)'!G18*$C224)/60</f>
        <v>0</v>
      </c>
      <c r="H224" s="128">
        <f>('Financial impact (cash)'!H18*$C224)/60</f>
        <v>0</v>
      </c>
      <c r="I224" s="128">
        <f>('Financial impact (cash)'!I18*$C224)/60</f>
        <v>0</v>
      </c>
      <c r="J224" s="289"/>
      <c r="K224" s="289"/>
      <c r="L224" s="221"/>
      <c r="M224" s="221"/>
      <c r="N224" s="221"/>
      <c r="O224" s="221"/>
      <c r="P224" s="221"/>
      <c r="Q224" s="221"/>
      <c r="R224" s="133"/>
      <c r="S224" s="133"/>
      <c r="T224" s="133"/>
      <c r="U224" s="133"/>
      <c r="V224" s="133"/>
      <c r="W224" s="133"/>
      <c r="X224" s="133"/>
      <c r="Y224" s="133"/>
      <c r="Z224" s="133"/>
      <c r="AJ224" s="285"/>
      <c r="AK224" s="285"/>
      <c r="AL224" s="285"/>
      <c r="AM224" s="285"/>
      <c r="AN224" s="285"/>
    </row>
    <row r="225" spans="1:40" x14ac:dyDescent="0.35">
      <c r="A225" s="289"/>
      <c r="B225" s="348" t="s">
        <v>1101</v>
      </c>
      <c r="C225" s="149">
        <f>'Inputs and eligible population'!L$119</f>
        <v>3</v>
      </c>
      <c r="D225" s="128">
        <f>('Financial impact (cash)'!D19*$C225)/60</f>
        <v>0</v>
      </c>
      <c r="E225" s="128">
        <f>('Financial impact (cash)'!E19*$C225)/60</f>
        <v>0</v>
      </c>
      <c r="F225" s="128">
        <f>('Financial impact (cash)'!F19*$C225)/60</f>
        <v>0</v>
      </c>
      <c r="G225" s="128">
        <f>('Financial impact (cash)'!G19*$C225)/60</f>
        <v>0</v>
      </c>
      <c r="H225" s="128">
        <f>('Financial impact (cash)'!H19*$C225)/60</f>
        <v>0</v>
      </c>
      <c r="I225" s="128">
        <f>('Financial impact (cash)'!I19*$C225)/60</f>
        <v>0</v>
      </c>
      <c r="J225" s="289"/>
      <c r="K225" s="289"/>
      <c r="L225" s="221"/>
      <c r="M225" s="221"/>
      <c r="N225" s="221"/>
      <c r="O225" s="221"/>
      <c r="P225" s="221"/>
      <c r="Q225" s="221"/>
      <c r="R225" s="133"/>
      <c r="S225" s="133"/>
      <c r="T225" s="133"/>
      <c r="U225" s="133"/>
      <c r="V225" s="133"/>
      <c r="W225" s="133"/>
      <c r="X225" s="133"/>
      <c r="Y225" s="133"/>
      <c r="Z225" s="133"/>
      <c r="AJ225" s="285"/>
      <c r="AK225" s="285"/>
      <c r="AL225" s="285"/>
      <c r="AM225" s="285"/>
      <c r="AN225" s="285"/>
    </row>
    <row r="226" spans="1:40" x14ac:dyDescent="0.35">
      <c r="A226" s="289"/>
      <c r="B226" s="348" t="s">
        <v>714</v>
      </c>
      <c r="C226" s="149">
        <f>'Inputs and eligible population'!M$119</f>
        <v>2</v>
      </c>
      <c r="D226" s="128">
        <f>('Financial impact (cash)'!D20*$C226)/60</f>
        <v>0</v>
      </c>
      <c r="E226" s="128">
        <f>('Financial impact (cash)'!E20*$C226)/60</f>
        <v>0</v>
      </c>
      <c r="F226" s="128">
        <f>('Financial impact (cash)'!F20*$C226)/60</f>
        <v>0</v>
      </c>
      <c r="G226" s="128">
        <f>('Financial impact (cash)'!G20*$C226)/60</f>
        <v>0</v>
      </c>
      <c r="H226" s="128">
        <f>('Financial impact (cash)'!H20*$C226)/60</f>
        <v>0</v>
      </c>
      <c r="I226" s="128">
        <f>('Financial impact (cash)'!I20*$C226)/60</f>
        <v>0</v>
      </c>
      <c r="J226" s="289"/>
      <c r="K226" s="289"/>
      <c r="L226" s="221"/>
      <c r="M226" s="221"/>
      <c r="N226" s="221"/>
      <c r="O226" s="221"/>
      <c r="P226" s="221"/>
      <c r="Q226" s="221"/>
      <c r="R226" s="133"/>
      <c r="S226" s="133"/>
      <c r="T226" s="133"/>
      <c r="U226" s="133"/>
      <c r="V226" s="133"/>
      <c r="W226" s="133"/>
      <c r="X226" s="133"/>
      <c r="Y226" s="133"/>
      <c r="Z226" s="133"/>
      <c r="AJ226" s="285"/>
      <c r="AK226" s="285"/>
      <c r="AL226" s="285"/>
      <c r="AM226" s="285"/>
      <c r="AN226" s="285"/>
    </row>
    <row r="227" spans="1:40" x14ac:dyDescent="0.35">
      <c r="A227" s="289"/>
      <c r="B227" s="348" t="s">
        <v>717</v>
      </c>
      <c r="C227" s="149">
        <f>'Inputs and eligible population'!N$119</f>
        <v>2</v>
      </c>
      <c r="D227" s="128">
        <f>('Financial impact (cash)'!D21*$C227)/60</f>
        <v>0</v>
      </c>
      <c r="E227" s="128">
        <f>('Financial impact (cash)'!E21*$C227)/60</f>
        <v>0</v>
      </c>
      <c r="F227" s="128">
        <f>('Financial impact (cash)'!F21*$C227)/60</f>
        <v>0</v>
      </c>
      <c r="G227" s="128">
        <f>('Financial impact (cash)'!G21*$C227)/60</f>
        <v>0</v>
      </c>
      <c r="H227" s="128">
        <f>('Financial impact (cash)'!H21*$C227)/60</f>
        <v>0</v>
      </c>
      <c r="I227" s="128">
        <f>('Financial impact (cash)'!I21*$C227)/60</f>
        <v>0</v>
      </c>
      <c r="J227" s="289"/>
      <c r="K227" s="289"/>
      <c r="L227" s="221"/>
      <c r="M227" s="221"/>
      <c r="N227" s="221"/>
      <c r="O227" s="221"/>
      <c r="P227" s="221"/>
      <c r="Q227" s="221"/>
      <c r="R227" s="133"/>
      <c r="S227" s="133"/>
      <c r="T227" s="133"/>
      <c r="U227" s="133"/>
      <c r="V227" s="133"/>
      <c r="W227" s="133"/>
      <c r="X227" s="133"/>
      <c r="Y227" s="133"/>
      <c r="Z227" s="133"/>
      <c r="AJ227" s="285"/>
      <c r="AK227" s="285"/>
      <c r="AL227" s="285"/>
      <c r="AM227" s="285"/>
      <c r="AN227" s="285"/>
    </row>
    <row r="228" spans="1:40" x14ac:dyDescent="0.35">
      <c r="A228" s="289"/>
      <c r="B228" s="348" t="s">
        <v>719</v>
      </c>
      <c r="C228" s="149">
        <f>'Inputs and eligible population'!O$119</f>
        <v>3</v>
      </c>
      <c r="D228" s="128">
        <f>('Financial impact (cash)'!D22*$C228)/60</f>
        <v>0</v>
      </c>
      <c r="E228" s="128">
        <f>('Financial impact (cash)'!E22*$C228)/60</f>
        <v>0</v>
      </c>
      <c r="F228" s="128">
        <f>('Financial impact (cash)'!F22*$C228)/60</f>
        <v>0</v>
      </c>
      <c r="G228" s="128">
        <f>('Financial impact (cash)'!G22*$C228)/60</f>
        <v>0</v>
      </c>
      <c r="H228" s="128">
        <f>('Financial impact (cash)'!H22*$C228)/60</f>
        <v>0</v>
      </c>
      <c r="I228" s="128">
        <f>('Financial impact (cash)'!I22*$C228)/60</f>
        <v>0</v>
      </c>
      <c r="J228" s="289"/>
      <c r="K228" s="289"/>
      <c r="L228" s="221"/>
      <c r="M228" s="221"/>
      <c r="N228" s="221"/>
      <c r="O228" s="221"/>
      <c r="P228" s="221"/>
      <c r="Q228" s="221"/>
      <c r="R228" s="133"/>
      <c r="S228" s="133"/>
      <c r="T228" s="133"/>
      <c r="U228" s="133"/>
      <c r="V228" s="133"/>
      <c r="W228" s="133"/>
      <c r="X228" s="133"/>
      <c r="Y228" s="133"/>
      <c r="Z228" s="133"/>
      <c r="AJ228" s="285"/>
      <c r="AK228" s="285"/>
      <c r="AL228" s="285"/>
      <c r="AM228" s="285"/>
      <c r="AN228" s="285"/>
    </row>
    <row r="229" spans="1:40" x14ac:dyDescent="0.35">
      <c r="A229" s="289"/>
      <c r="B229" s="348" t="s">
        <v>721</v>
      </c>
      <c r="C229" s="149">
        <f>'Inputs and eligible population'!P$119</f>
        <v>2</v>
      </c>
      <c r="D229" s="128">
        <f>('Financial impact (cash)'!D23*$C229)/60</f>
        <v>0</v>
      </c>
      <c r="E229" s="128">
        <f>('Financial impact (cash)'!E23*$C229)/60</f>
        <v>0</v>
      </c>
      <c r="F229" s="128">
        <f>('Financial impact (cash)'!F23*$C229)/60</f>
        <v>0</v>
      </c>
      <c r="G229" s="128">
        <f>('Financial impact (cash)'!G23*$C229)/60</f>
        <v>0</v>
      </c>
      <c r="H229" s="128">
        <f>('Financial impact (cash)'!H23*$C229)/60</f>
        <v>0</v>
      </c>
      <c r="I229" s="128">
        <f>('Financial impact (cash)'!I23*$C229)/60</f>
        <v>0</v>
      </c>
      <c r="J229" s="289"/>
      <c r="K229" s="289"/>
      <c r="L229" s="221"/>
      <c r="M229" s="221"/>
      <c r="N229" s="221"/>
      <c r="O229" s="221"/>
      <c r="P229" s="221"/>
      <c r="Q229" s="221"/>
      <c r="R229" s="133"/>
      <c r="S229" s="133"/>
      <c r="T229" s="133"/>
      <c r="U229" s="133"/>
      <c r="V229" s="133"/>
      <c r="W229" s="133"/>
      <c r="X229" s="133"/>
      <c r="Y229" s="133"/>
      <c r="Z229" s="133"/>
      <c r="AJ229" s="285"/>
      <c r="AK229" s="285"/>
      <c r="AL229" s="285"/>
      <c r="AM229" s="285"/>
      <c r="AN229" s="285"/>
    </row>
    <row r="230" spans="1:40" x14ac:dyDescent="0.35">
      <c r="A230" s="289"/>
      <c r="B230" s="348" t="s">
        <v>723</v>
      </c>
      <c r="C230" s="149">
        <f>'Inputs and eligible population'!Q$119</f>
        <v>1</v>
      </c>
      <c r="D230" s="128">
        <f>('Financial impact (cash)'!D24*$C230)/60</f>
        <v>0</v>
      </c>
      <c r="E230" s="128">
        <f>('Financial impact (cash)'!E24*$C230)/60</f>
        <v>0</v>
      </c>
      <c r="F230" s="128">
        <f>('Financial impact (cash)'!F24*$C230)/60</f>
        <v>0</v>
      </c>
      <c r="G230" s="128">
        <f>('Financial impact (cash)'!G24*$C230)/60</f>
        <v>0</v>
      </c>
      <c r="H230" s="128">
        <f>('Financial impact (cash)'!H24*$C230)/60</f>
        <v>0</v>
      </c>
      <c r="I230" s="128">
        <f>('Financial impact (cash)'!I24*$C230)/60</f>
        <v>0</v>
      </c>
      <c r="J230" s="289"/>
      <c r="K230" s="289"/>
      <c r="L230" s="221"/>
      <c r="M230" s="221"/>
      <c r="N230" s="221"/>
      <c r="O230" s="221"/>
      <c r="P230" s="221"/>
      <c r="Q230" s="221"/>
      <c r="R230" s="133"/>
      <c r="S230" s="133"/>
      <c r="T230" s="133"/>
      <c r="U230" s="133"/>
      <c r="V230" s="133"/>
      <c r="W230" s="133"/>
      <c r="X230" s="133"/>
      <c r="Y230" s="133"/>
      <c r="Z230" s="133"/>
      <c r="AJ230" s="285"/>
      <c r="AK230" s="285"/>
      <c r="AL230" s="285"/>
      <c r="AM230" s="285"/>
      <c r="AN230" s="285"/>
    </row>
    <row r="231" spans="1:40" x14ac:dyDescent="0.35">
      <c r="A231" s="289"/>
      <c r="B231" s="348" t="s">
        <v>725</v>
      </c>
      <c r="C231" s="149">
        <f>'Inputs and eligible population'!R$119</f>
        <v>1</v>
      </c>
      <c r="D231" s="128">
        <f>('Financial impact (cash)'!D25*$C231)/60</f>
        <v>0</v>
      </c>
      <c r="E231" s="128">
        <f>('Financial impact (cash)'!E25*$C231)/60</f>
        <v>0</v>
      </c>
      <c r="F231" s="128">
        <f>('Financial impact (cash)'!F25*$C231)/60</f>
        <v>0</v>
      </c>
      <c r="G231" s="128">
        <f>('Financial impact (cash)'!G25*$C231)/60</f>
        <v>0</v>
      </c>
      <c r="H231" s="128">
        <f>('Financial impact (cash)'!H25*$C231)/60</f>
        <v>0</v>
      </c>
      <c r="I231" s="128">
        <f>('Financial impact (cash)'!I25*$C231)/60</f>
        <v>0</v>
      </c>
      <c r="J231" s="289"/>
      <c r="K231" s="289"/>
      <c r="L231" s="221"/>
      <c r="M231" s="221"/>
      <c r="N231" s="221"/>
      <c r="O231" s="221"/>
      <c r="P231" s="221"/>
      <c r="Q231" s="221"/>
      <c r="R231" s="133"/>
      <c r="S231" s="133"/>
      <c r="T231" s="133"/>
      <c r="U231" s="133"/>
      <c r="V231" s="133"/>
      <c r="W231" s="133"/>
      <c r="X231" s="133"/>
      <c r="Y231" s="133"/>
      <c r="Z231" s="133"/>
      <c r="AJ231" s="285"/>
      <c r="AK231" s="285"/>
      <c r="AL231" s="285"/>
      <c r="AM231" s="285"/>
      <c r="AN231" s="285"/>
    </row>
    <row r="232" spans="1:40" x14ac:dyDescent="0.35">
      <c r="A232" s="289"/>
      <c r="B232" s="348" t="s">
        <v>727</v>
      </c>
      <c r="C232" s="149">
        <f>'Inputs and eligible population'!S$119</f>
        <v>1</v>
      </c>
      <c r="D232" s="128">
        <f>('Financial impact (cash)'!D26*$C232)/60</f>
        <v>0</v>
      </c>
      <c r="E232" s="128">
        <f>('Financial impact (cash)'!E26*$C232)/60</f>
        <v>0</v>
      </c>
      <c r="F232" s="128">
        <f>('Financial impact (cash)'!F26*$C232)/60</f>
        <v>0</v>
      </c>
      <c r="G232" s="128">
        <f>('Financial impact (cash)'!G26*$C232)/60</f>
        <v>0</v>
      </c>
      <c r="H232" s="128">
        <f>('Financial impact (cash)'!H26*$C232)/60</f>
        <v>0</v>
      </c>
      <c r="I232" s="128">
        <f>('Financial impact (cash)'!I26*$C232)/60</f>
        <v>0</v>
      </c>
      <c r="J232" s="289"/>
      <c r="K232" s="289"/>
      <c r="L232" s="221"/>
      <c r="M232" s="221"/>
      <c r="N232" s="221"/>
      <c r="O232" s="221"/>
      <c r="P232" s="221"/>
      <c r="Q232" s="221"/>
      <c r="R232" s="133"/>
      <c r="S232" s="133"/>
      <c r="T232" s="133"/>
      <c r="U232" s="133"/>
      <c r="V232" s="133"/>
      <c r="W232" s="133"/>
      <c r="X232" s="133"/>
      <c r="Y232" s="133"/>
      <c r="Z232" s="133"/>
      <c r="AJ232" s="285"/>
      <c r="AK232" s="285"/>
      <c r="AL232" s="285"/>
      <c r="AM232" s="285"/>
      <c r="AN232" s="285"/>
    </row>
    <row r="233" spans="1:40" x14ac:dyDescent="0.35">
      <c r="A233" s="289"/>
      <c r="B233" s="348" t="s">
        <v>729</v>
      </c>
      <c r="C233" s="149">
        <f>'Inputs and eligible population'!T$119</f>
        <v>1</v>
      </c>
      <c r="D233" s="128">
        <f>('Financial impact (cash)'!D27*$C233)/60</f>
        <v>0</v>
      </c>
      <c r="E233" s="128">
        <f>('Financial impact (cash)'!E27*$C233)/60</f>
        <v>0</v>
      </c>
      <c r="F233" s="128">
        <f>('Financial impact (cash)'!F27*$C233)/60</f>
        <v>0</v>
      </c>
      <c r="G233" s="128">
        <f>('Financial impact (cash)'!G27*$C233)/60</f>
        <v>0</v>
      </c>
      <c r="H233" s="128">
        <f>('Financial impact (cash)'!H27*$C233)/60</f>
        <v>0</v>
      </c>
      <c r="I233" s="128">
        <f>('Financial impact (cash)'!I27*$C233)/60</f>
        <v>0</v>
      </c>
      <c r="J233" s="289"/>
      <c r="K233" s="289"/>
      <c r="L233" s="221"/>
      <c r="M233" s="221"/>
      <c r="N233" s="221"/>
      <c r="O233" s="221"/>
      <c r="P233" s="221"/>
      <c r="Q233" s="221"/>
      <c r="R233" s="133"/>
      <c r="S233" s="133"/>
      <c r="T233" s="133"/>
      <c r="U233" s="133"/>
      <c r="V233" s="133"/>
      <c r="W233" s="133"/>
      <c r="X233" s="133"/>
      <c r="Y233" s="133"/>
      <c r="Z233" s="133"/>
      <c r="AJ233" s="285"/>
      <c r="AK233" s="285"/>
      <c r="AL233" s="285"/>
      <c r="AM233" s="285"/>
      <c r="AN233" s="285"/>
    </row>
    <row r="234" spans="1:40" x14ac:dyDescent="0.35">
      <c r="A234" s="289"/>
      <c r="B234" s="348" t="s">
        <v>731</v>
      </c>
      <c r="C234" s="149">
        <f>'Inputs and eligible population'!U$119</f>
        <v>3</v>
      </c>
      <c r="D234" s="128">
        <f>('Financial impact (cash)'!D28*$C234)/60</f>
        <v>0</v>
      </c>
      <c r="E234" s="128">
        <f>('Financial impact (cash)'!E28*$C234)/60</f>
        <v>0</v>
      </c>
      <c r="F234" s="128">
        <f>('Financial impact (cash)'!F28*$C234)/60</f>
        <v>0</v>
      </c>
      <c r="G234" s="128">
        <f>('Financial impact (cash)'!G28*$C234)/60</f>
        <v>0</v>
      </c>
      <c r="H234" s="128">
        <f>('Financial impact (cash)'!H28*$C234)/60</f>
        <v>0</v>
      </c>
      <c r="I234" s="128">
        <f>('Financial impact (cash)'!I28*$C234)/60</f>
        <v>0</v>
      </c>
      <c r="J234" s="289"/>
      <c r="K234" s="289"/>
      <c r="L234" s="221"/>
      <c r="M234" s="221"/>
      <c r="N234" s="221"/>
      <c r="O234" s="221"/>
      <c r="P234" s="221"/>
      <c r="Q234" s="221"/>
      <c r="R234" s="133"/>
      <c r="S234" s="133"/>
      <c r="T234" s="133"/>
      <c r="U234" s="133"/>
      <c r="V234" s="133"/>
      <c r="W234" s="133"/>
      <c r="X234" s="133"/>
      <c r="Y234" s="133"/>
      <c r="Z234" s="133"/>
      <c r="AJ234" s="285"/>
      <c r="AK234" s="285"/>
      <c r="AL234" s="285"/>
      <c r="AM234" s="285"/>
      <c r="AN234" s="285"/>
    </row>
    <row r="235" spans="1:40" x14ac:dyDescent="0.35">
      <c r="A235" s="289"/>
      <c r="B235" s="348" t="s">
        <v>733</v>
      </c>
      <c r="C235" s="149">
        <f>'Inputs and eligible population'!V$119</f>
        <v>4</v>
      </c>
      <c r="D235" s="128">
        <f>('Financial impact (cash)'!D29*$C235)/60</f>
        <v>0</v>
      </c>
      <c r="E235" s="128">
        <f>('Financial impact (cash)'!E29*$C235)/60</f>
        <v>0</v>
      </c>
      <c r="F235" s="128">
        <f>('Financial impact (cash)'!F29*$C235)/60</f>
        <v>0</v>
      </c>
      <c r="G235" s="128">
        <f>('Financial impact (cash)'!G29*$C235)/60</f>
        <v>0</v>
      </c>
      <c r="H235" s="128">
        <f>('Financial impact (cash)'!H29*$C235)/60</f>
        <v>0</v>
      </c>
      <c r="I235" s="128">
        <f>('Financial impact (cash)'!I29*$C235)/60</f>
        <v>0</v>
      </c>
      <c r="J235" s="289"/>
      <c r="K235" s="289"/>
      <c r="L235" s="221"/>
      <c r="M235" s="221"/>
      <c r="N235" s="221"/>
      <c r="O235" s="221"/>
      <c r="P235" s="221"/>
      <c r="Q235" s="221"/>
      <c r="R235" s="133"/>
      <c r="S235" s="133"/>
      <c r="T235" s="133"/>
      <c r="U235" s="133"/>
      <c r="V235" s="133"/>
      <c r="W235" s="133"/>
      <c r="X235" s="133"/>
      <c r="Y235" s="133"/>
      <c r="Z235" s="133"/>
      <c r="AJ235" s="285"/>
      <c r="AK235" s="285"/>
      <c r="AL235" s="285"/>
      <c r="AM235" s="285"/>
      <c r="AN235" s="285"/>
    </row>
    <row r="236" spans="1:40" x14ac:dyDescent="0.35">
      <c r="A236" s="289"/>
      <c r="B236" s="348" t="s">
        <v>735</v>
      </c>
      <c r="C236" s="149">
        <f>'Inputs and eligible population'!W$119</f>
        <v>5</v>
      </c>
      <c r="D236" s="128">
        <f>('Financial impact (cash)'!D30*$C236)/60</f>
        <v>0</v>
      </c>
      <c r="E236" s="128">
        <f>('Financial impact (cash)'!E30*$C236)/60</f>
        <v>0</v>
      </c>
      <c r="F236" s="128">
        <f>('Financial impact (cash)'!F30*$C236)/60</f>
        <v>0</v>
      </c>
      <c r="G236" s="128">
        <f>('Financial impact (cash)'!G30*$C236)/60</f>
        <v>0</v>
      </c>
      <c r="H236" s="128">
        <f>('Financial impact (cash)'!H30*$C236)/60</f>
        <v>0</v>
      </c>
      <c r="I236" s="128">
        <f>('Financial impact (cash)'!I30*$C236)/60</f>
        <v>0</v>
      </c>
      <c r="J236" s="289"/>
      <c r="K236" s="289"/>
      <c r="L236" s="221"/>
      <c r="M236" s="221"/>
      <c r="N236" s="221"/>
      <c r="O236" s="221"/>
      <c r="P236" s="221"/>
      <c r="Q236" s="221"/>
      <c r="R236" s="133"/>
      <c r="S236" s="133"/>
      <c r="T236" s="133"/>
      <c r="U236" s="133"/>
      <c r="V236" s="133"/>
      <c r="W236" s="133"/>
      <c r="X236" s="133"/>
      <c r="Y236" s="133"/>
      <c r="Z236" s="133"/>
      <c r="AJ236" s="285"/>
      <c r="AK236" s="285"/>
      <c r="AL236" s="285"/>
      <c r="AM236" s="285"/>
      <c r="AN236" s="285"/>
    </row>
    <row r="237" spans="1:40" x14ac:dyDescent="0.35">
      <c r="A237" s="289"/>
      <c r="B237" s="348" t="s">
        <v>750</v>
      </c>
      <c r="C237" s="149">
        <f>'Inputs and eligible population'!X$119</f>
        <v>1</v>
      </c>
      <c r="D237" s="128">
        <f>('Financial impact (cash)'!D31*$C237)/60</f>
        <v>0</v>
      </c>
      <c r="E237" s="128">
        <f>('Financial impact (cash)'!E31*$C237)/60</f>
        <v>0</v>
      </c>
      <c r="F237" s="128">
        <f>('Financial impact (cash)'!F31*$C237)/60</f>
        <v>0</v>
      </c>
      <c r="G237" s="128">
        <f>('Financial impact (cash)'!G31*$C237)/60</f>
        <v>0</v>
      </c>
      <c r="H237" s="128">
        <f>('Financial impact (cash)'!H31*$C237)/60</f>
        <v>0</v>
      </c>
      <c r="I237" s="128">
        <f>('Financial impact (cash)'!I31*$C237)/60</f>
        <v>0</v>
      </c>
      <c r="J237" s="289"/>
      <c r="K237" s="289"/>
      <c r="L237" s="221"/>
      <c r="M237" s="221"/>
      <c r="N237" s="221"/>
      <c r="O237" s="221"/>
      <c r="P237" s="221"/>
      <c r="Q237" s="221"/>
      <c r="R237" s="133"/>
      <c r="S237" s="133"/>
      <c r="T237" s="133"/>
      <c r="U237" s="133"/>
      <c r="V237" s="133"/>
      <c r="W237" s="133"/>
      <c r="X237" s="133"/>
      <c r="Y237" s="133"/>
      <c r="Z237" s="133"/>
      <c r="AJ237" s="285"/>
      <c r="AK237" s="285"/>
      <c r="AL237" s="285"/>
      <c r="AM237" s="285"/>
      <c r="AN237" s="285"/>
    </row>
    <row r="238" spans="1:40" x14ac:dyDescent="0.35">
      <c r="A238" s="289"/>
      <c r="B238" s="282"/>
      <c r="C238" s="205"/>
      <c r="D238" s="185">
        <f t="shared" ref="D238:I238" si="52">SUM(D219:D237)</f>
        <v>0</v>
      </c>
      <c r="E238" s="185">
        <f t="shared" si="52"/>
        <v>0</v>
      </c>
      <c r="F238" s="185">
        <f t="shared" si="52"/>
        <v>0</v>
      </c>
      <c r="G238" s="185">
        <f t="shared" si="52"/>
        <v>0</v>
      </c>
      <c r="H238" s="185">
        <f t="shared" si="52"/>
        <v>0</v>
      </c>
      <c r="I238" s="185">
        <f t="shared" si="52"/>
        <v>0</v>
      </c>
      <c r="J238" s="289"/>
      <c r="K238" s="289"/>
      <c r="L238" s="221"/>
      <c r="M238" s="221"/>
      <c r="N238" s="221"/>
      <c r="O238" s="221"/>
      <c r="P238" s="221"/>
      <c r="Q238" s="221"/>
      <c r="R238" s="133"/>
      <c r="S238" s="133"/>
      <c r="T238" s="133"/>
      <c r="U238" s="133"/>
      <c r="V238" s="133"/>
      <c r="W238" s="133"/>
      <c r="X238" s="133"/>
      <c r="Y238" s="133"/>
      <c r="Z238" s="133"/>
      <c r="AJ238" s="285"/>
      <c r="AK238" s="285"/>
      <c r="AL238" s="285"/>
      <c r="AM238" s="285"/>
      <c r="AN238" s="285"/>
    </row>
    <row r="239" spans="1:40" x14ac:dyDescent="0.35">
      <c r="A239" s="289"/>
      <c r="B239" s="307"/>
      <c r="C239" s="256"/>
      <c r="D239" s="284" t="s">
        <v>950</v>
      </c>
      <c r="E239" s="185">
        <f>E238-$D$238</f>
        <v>0</v>
      </c>
      <c r="F239" s="185">
        <f>F238-$D$238</f>
        <v>0</v>
      </c>
      <c r="G239" s="185">
        <f>G238-$D$238</f>
        <v>0</v>
      </c>
      <c r="H239" s="185">
        <f>H238-$D$238</f>
        <v>0</v>
      </c>
      <c r="I239" s="185">
        <f>I238-$D$238</f>
        <v>0</v>
      </c>
      <c r="J239" s="289"/>
      <c r="K239" s="289"/>
      <c r="L239" s="221"/>
      <c r="M239" s="221"/>
      <c r="N239" s="221"/>
      <c r="O239" s="221"/>
      <c r="P239" s="221"/>
      <c r="Q239" s="221"/>
      <c r="V239" s="133"/>
    </row>
    <row r="240" spans="1:40" x14ac:dyDescent="0.35">
      <c r="A240" s="289"/>
      <c r="B240" s="326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V240" s="133"/>
    </row>
    <row r="241" spans="1:40" x14ac:dyDescent="0.35">
      <c r="A241" s="289"/>
      <c r="B241" s="396" t="s">
        <v>1013</v>
      </c>
      <c r="C241" s="397"/>
      <c r="D241" s="397"/>
      <c r="E241" s="397"/>
      <c r="F241" s="397"/>
      <c r="G241" s="397"/>
      <c r="H241" s="397"/>
      <c r="I241" s="220"/>
      <c r="J241" s="221"/>
      <c r="K241" s="221"/>
      <c r="L241" s="221"/>
      <c r="M241" s="221"/>
      <c r="N241" s="221"/>
      <c r="O241" s="221"/>
      <c r="P241" s="221"/>
      <c r="Q241" s="221"/>
      <c r="R241" s="133"/>
      <c r="S241" s="133"/>
      <c r="T241" s="133"/>
      <c r="U241" s="133"/>
      <c r="V241" s="133"/>
      <c r="W241" s="133"/>
      <c r="X241" s="133"/>
      <c r="Y241" s="133"/>
      <c r="Z241" s="133"/>
      <c r="AJ241" s="285"/>
      <c r="AK241" s="285"/>
      <c r="AL241" s="285"/>
      <c r="AM241" s="285"/>
      <c r="AN241" s="285"/>
    </row>
    <row r="242" spans="1:40" ht="43.5" x14ac:dyDescent="0.35">
      <c r="A242" s="289"/>
      <c r="B242" s="278" t="s">
        <v>876</v>
      </c>
      <c r="C242" s="165" t="s">
        <v>1013</v>
      </c>
      <c r="D242" s="421" t="s">
        <v>957</v>
      </c>
      <c r="E242" s="255" t="s">
        <v>685</v>
      </c>
      <c r="F242" s="255" t="s">
        <v>686</v>
      </c>
      <c r="G242" s="164" t="s">
        <v>914</v>
      </c>
      <c r="H242" s="164" t="s">
        <v>915</v>
      </c>
      <c r="I242" s="255" t="s">
        <v>916</v>
      </c>
      <c r="J242" s="289"/>
      <c r="K242" s="289"/>
      <c r="L242" s="221"/>
      <c r="M242" s="221"/>
      <c r="N242" s="221"/>
      <c r="O242" s="221"/>
      <c r="P242" s="221"/>
      <c r="Q242" s="221"/>
      <c r="R242" s="133"/>
      <c r="S242" s="133"/>
      <c r="T242" s="133"/>
      <c r="U242" s="133"/>
      <c r="V242" s="133"/>
      <c r="W242" s="133"/>
      <c r="X242" s="133"/>
      <c r="Y242" s="133"/>
      <c r="Z242" s="133"/>
      <c r="AJ242" s="285"/>
      <c r="AK242" s="285"/>
      <c r="AL242" s="285"/>
      <c r="AM242" s="285"/>
      <c r="AN242" s="285"/>
    </row>
    <row r="243" spans="1:40" x14ac:dyDescent="0.35">
      <c r="A243" s="289"/>
      <c r="B243" s="348" t="s">
        <v>699</v>
      </c>
      <c r="C243" s="149">
        <f>'Inputs and eligible population'!F$121</f>
        <v>1</v>
      </c>
      <c r="D243" s="128">
        <f>('Financial impact (cash)'!D13*$C243)/60</f>
        <v>0</v>
      </c>
      <c r="E243" s="128">
        <f>('Financial impact (cash)'!E13*$C243)/60</f>
        <v>0</v>
      </c>
      <c r="F243" s="128">
        <f>('Financial impact (cash)'!F13*$C243)/60</f>
        <v>0</v>
      </c>
      <c r="G243" s="128">
        <f>('Financial impact (cash)'!G13*$C243)/60</f>
        <v>0</v>
      </c>
      <c r="H243" s="128">
        <f>('Financial impact (cash)'!H13*$C243)/60</f>
        <v>0</v>
      </c>
      <c r="I243" s="128">
        <f>('Financial impact (cash)'!I13*$C243)/60</f>
        <v>0</v>
      </c>
      <c r="J243" s="289"/>
      <c r="K243" s="289"/>
      <c r="L243" s="221"/>
      <c r="M243" s="221"/>
      <c r="N243" s="221"/>
      <c r="O243" s="221"/>
      <c r="P243" s="221"/>
      <c r="Q243" s="221"/>
      <c r="R243" s="133"/>
      <c r="S243" s="133"/>
      <c r="T243" s="133"/>
      <c r="U243" s="133"/>
      <c r="V243" s="133"/>
      <c r="W243" s="133"/>
      <c r="X243" s="133"/>
      <c r="Y243" s="133"/>
      <c r="Z243" s="133"/>
      <c r="AJ243" s="285"/>
      <c r="AK243" s="285"/>
      <c r="AL243" s="285"/>
      <c r="AM243" s="285"/>
      <c r="AN243" s="285"/>
    </row>
    <row r="244" spans="1:40" x14ac:dyDescent="0.35">
      <c r="A244" s="289"/>
      <c r="B244" s="348" t="s">
        <v>701</v>
      </c>
      <c r="C244" s="149">
        <f>'Inputs and eligible population'!G$121</f>
        <v>1</v>
      </c>
      <c r="D244" s="128">
        <f>('Financial impact (cash)'!D14*$C244)/60</f>
        <v>0</v>
      </c>
      <c r="E244" s="128">
        <f>('Financial impact (cash)'!E14*$C244)/60</f>
        <v>0</v>
      </c>
      <c r="F244" s="128">
        <f>('Financial impact (cash)'!F14*$C244)/60</f>
        <v>0</v>
      </c>
      <c r="G244" s="128">
        <f>('Financial impact (cash)'!G14*$C244)/60</f>
        <v>0</v>
      </c>
      <c r="H244" s="128">
        <f>('Financial impact (cash)'!H14*$C244)/60</f>
        <v>0</v>
      </c>
      <c r="I244" s="128">
        <f>('Financial impact (cash)'!I14*$C244)/60</f>
        <v>0</v>
      </c>
      <c r="J244" s="289"/>
      <c r="K244" s="289"/>
      <c r="L244" s="221"/>
      <c r="M244" s="221"/>
      <c r="N244" s="221"/>
      <c r="O244" s="221"/>
      <c r="P244" s="221"/>
      <c r="Q244" s="221"/>
      <c r="R244" s="133"/>
      <c r="S244" s="133"/>
      <c r="T244" s="133"/>
      <c r="U244" s="133"/>
      <c r="V244" s="133"/>
      <c r="W244" s="133"/>
      <c r="X244" s="133"/>
      <c r="Y244" s="133"/>
      <c r="Z244" s="133"/>
      <c r="AJ244" s="285"/>
      <c r="AK244" s="285"/>
      <c r="AL244" s="285"/>
      <c r="AM244" s="285"/>
      <c r="AN244" s="285"/>
    </row>
    <row r="245" spans="1:40" x14ac:dyDescent="0.35">
      <c r="A245" s="289"/>
      <c r="B245" s="348" t="s">
        <v>703</v>
      </c>
      <c r="C245" s="149">
        <f>'Inputs and eligible population'!H$121</f>
        <v>1</v>
      </c>
      <c r="D245" s="128">
        <f>('Financial impact (cash)'!D15*$C245)/60</f>
        <v>0</v>
      </c>
      <c r="E245" s="128">
        <f>('Financial impact (cash)'!E15*$C245)/60</f>
        <v>0</v>
      </c>
      <c r="F245" s="128">
        <f>('Financial impact (cash)'!F15*$C245)/60</f>
        <v>0</v>
      </c>
      <c r="G245" s="128">
        <f>('Financial impact (cash)'!G15*$C245)/60</f>
        <v>0</v>
      </c>
      <c r="H245" s="128">
        <f>('Financial impact (cash)'!H15*$C245)/60</f>
        <v>0</v>
      </c>
      <c r="I245" s="128">
        <f>('Financial impact (cash)'!I15*$C245)/60</f>
        <v>0</v>
      </c>
      <c r="J245" s="289"/>
      <c r="K245" s="289"/>
      <c r="L245" s="221"/>
      <c r="M245" s="221"/>
      <c r="N245" s="221"/>
      <c r="O245" s="221"/>
      <c r="P245" s="221"/>
      <c r="Q245" s="221"/>
      <c r="R245" s="133"/>
      <c r="S245" s="133"/>
      <c r="T245" s="133"/>
      <c r="U245" s="133"/>
      <c r="V245" s="133"/>
      <c r="W245" s="133"/>
      <c r="X245" s="133"/>
      <c r="Y245" s="133"/>
      <c r="Z245" s="133"/>
      <c r="AJ245" s="285"/>
      <c r="AK245" s="285"/>
      <c r="AL245" s="285"/>
      <c r="AM245" s="285"/>
      <c r="AN245" s="285"/>
    </row>
    <row r="246" spans="1:40" x14ac:dyDescent="0.35">
      <c r="A246" s="289"/>
      <c r="B246" s="348" t="s">
        <v>705</v>
      </c>
      <c r="C246" s="149">
        <f>'Inputs and eligible population'!I$121</f>
        <v>1</v>
      </c>
      <c r="D246" s="128">
        <f>('Financial impact (cash)'!D16*$C246)/60</f>
        <v>0</v>
      </c>
      <c r="E246" s="128">
        <f>('Financial impact (cash)'!E16*$C246)/60</f>
        <v>0</v>
      </c>
      <c r="F246" s="128">
        <f>('Financial impact (cash)'!F16*$C246)/60</f>
        <v>0</v>
      </c>
      <c r="G246" s="128">
        <f>('Financial impact (cash)'!G16*$C246)/60</f>
        <v>0</v>
      </c>
      <c r="H246" s="128">
        <f>('Financial impact (cash)'!H16*$C246)/60</f>
        <v>0</v>
      </c>
      <c r="I246" s="128">
        <f>('Financial impact (cash)'!I16*$C246)/60</f>
        <v>0</v>
      </c>
      <c r="J246" s="289"/>
      <c r="K246" s="289"/>
      <c r="L246" s="221"/>
      <c r="M246" s="221"/>
      <c r="N246" s="221"/>
      <c r="O246" s="221"/>
      <c r="P246" s="221"/>
      <c r="Q246" s="221"/>
      <c r="R246" s="133"/>
      <c r="S246" s="133"/>
      <c r="T246" s="133"/>
      <c r="U246" s="133"/>
      <c r="V246" s="133"/>
      <c r="W246" s="133"/>
      <c r="X246" s="133"/>
      <c r="Y246" s="133"/>
      <c r="Z246" s="133"/>
      <c r="AJ246" s="285"/>
      <c r="AK246" s="285"/>
      <c r="AL246" s="285"/>
      <c r="AM246" s="285"/>
      <c r="AN246" s="285"/>
    </row>
    <row r="247" spans="1:40" x14ac:dyDescent="0.35">
      <c r="A247" s="289"/>
      <c r="B247" s="348" t="s">
        <v>749</v>
      </c>
      <c r="C247" s="149">
        <f>'Inputs and eligible population'!J$121</f>
        <v>1</v>
      </c>
      <c r="D247" s="128">
        <f>('Financial impact (cash)'!D17*$C247)/60</f>
        <v>0</v>
      </c>
      <c r="E247" s="128">
        <f>('Financial impact (cash)'!E17*$C247)/60</f>
        <v>0</v>
      </c>
      <c r="F247" s="128">
        <f>('Financial impact (cash)'!F17*$C247)/60</f>
        <v>0</v>
      </c>
      <c r="G247" s="128">
        <f>('Financial impact (cash)'!G17*$C247)/60</f>
        <v>0</v>
      </c>
      <c r="H247" s="128">
        <f>('Financial impact (cash)'!H17*$C247)/60</f>
        <v>0</v>
      </c>
      <c r="I247" s="128">
        <f>('Financial impact (cash)'!I17*$C247)/60</f>
        <v>0</v>
      </c>
      <c r="J247" s="289"/>
      <c r="K247" s="289"/>
      <c r="L247" s="221"/>
      <c r="M247" s="221"/>
      <c r="N247" s="221"/>
      <c r="O247" s="221"/>
      <c r="P247" s="221"/>
      <c r="Q247" s="221"/>
      <c r="R247" s="133"/>
      <c r="S247" s="133"/>
      <c r="T247" s="133"/>
      <c r="U247" s="133"/>
      <c r="V247" s="133"/>
      <c r="W247" s="133"/>
      <c r="X247" s="133"/>
      <c r="Y247" s="133"/>
      <c r="Z247" s="133"/>
      <c r="AJ247" s="285"/>
      <c r="AK247" s="285"/>
      <c r="AL247" s="285"/>
      <c r="AM247" s="285"/>
      <c r="AN247" s="285"/>
    </row>
    <row r="248" spans="1:40" x14ac:dyDescent="0.35">
      <c r="A248" s="289"/>
      <c r="B248" s="348" t="s">
        <v>711</v>
      </c>
      <c r="C248" s="149">
        <f>'Inputs and eligible population'!K$121</f>
        <v>1</v>
      </c>
      <c r="D248" s="128">
        <f>('Financial impact (cash)'!D18*$C248)/60</f>
        <v>0</v>
      </c>
      <c r="E248" s="128">
        <f>('Financial impact (cash)'!E18*$C248)/60</f>
        <v>0</v>
      </c>
      <c r="F248" s="128">
        <f>('Financial impact (cash)'!F18*$C248)/60</f>
        <v>0</v>
      </c>
      <c r="G248" s="128">
        <f>('Financial impact (cash)'!G18*$C248)/60</f>
        <v>0</v>
      </c>
      <c r="H248" s="128">
        <f>('Financial impact (cash)'!H18*$C248)/60</f>
        <v>0</v>
      </c>
      <c r="I248" s="128">
        <f>('Financial impact (cash)'!I18*$C248)/60</f>
        <v>0</v>
      </c>
      <c r="J248" s="289"/>
      <c r="K248" s="289"/>
      <c r="L248" s="221"/>
      <c r="M248" s="221"/>
      <c r="N248" s="221"/>
      <c r="O248" s="221"/>
      <c r="P248" s="221"/>
      <c r="Q248" s="221"/>
      <c r="R248" s="133"/>
      <c r="S248" s="133"/>
      <c r="T248" s="133"/>
      <c r="U248" s="133"/>
      <c r="V248" s="133"/>
      <c r="W248" s="133"/>
      <c r="X248" s="133"/>
      <c r="Y248" s="133"/>
      <c r="Z248" s="133"/>
      <c r="AJ248" s="285"/>
      <c r="AK248" s="285"/>
      <c r="AL248" s="285"/>
      <c r="AM248" s="285"/>
      <c r="AN248" s="285"/>
    </row>
    <row r="249" spans="1:40" x14ac:dyDescent="0.35">
      <c r="A249" s="289"/>
      <c r="B249" s="348" t="s">
        <v>1101</v>
      </c>
      <c r="C249" s="149">
        <f>'Inputs and eligible population'!L$121</f>
        <v>1</v>
      </c>
      <c r="D249" s="128">
        <f>('Financial impact (cash)'!D19*$C249)/60</f>
        <v>0</v>
      </c>
      <c r="E249" s="128">
        <f>('Financial impact (cash)'!E19*$C249)/60</f>
        <v>0</v>
      </c>
      <c r="F249" s="128">
        <f>('Financial impact (cash)'!F19*$C249)/60</f>
        <v>0</v>
      </c>
      <c r="G249" s="128">
        <f>('Financial impact (cash)'!G19*$C249)/60</f>
        <v>0</v>
      </c>
      <c r="H249" s="128">
        <f>('Financial impact (cash)'!H19*$C249)/60</f>
        <v>0</v>
      </c>
      <c r="I249" s="128">
        <f>('Financial impact (cash)'!I19*$C249)/60</f>
        <v>0</v>
      </c>
      <c r="J249" s="289"/>
      <c r="K249" s="289"/>
      <c r="L249" s="221"/>
      <c r="M249" s="221"/>
      <c r="N249" s="221"/>
      <c r="O249" s="221"/>
      <c r="P249" s="221"/>
      <c r="Q249" s="221"/>
      <c r="R249" s="133"/>
      <c r="S249" s="133"/>
      <c r="T249" s="133"/>
      <c r="U249" s="133"/>
      <c r="V249" s="133"/>
      <c r="W249" s="133"/>
      <c r="X249" s="133"/>
      <c r="Y249" s="133"/>
      <c r="Z249" s="133"/>
      <c r="AJ249" s="285"/>
      <c r="AK249" s="285"/>
      <c r="AL249" s="285"/>
      <c r="AM249" s="285"/>
      <c r="AN249" s="285"/>
    </row>
    <row r="250" spans="1:40" x14ac:dyDescent="0.35">
      <c r="A250" s="289"/>
      <c r="B250" s="348" t="s">
        <v>714</v>
      </c>
      <c r="C250" s="149">
        <f>'Inputs and eligible population'!M$121</f>
        <v>1</v>
      </c>
      <c r="D250" s="128">
        <f>('Financial impact (cash)'!D20*$C250)/60</f>
        <v>0</v>
      </c>
      <c r="E250" s="128">
        <f>('Financial impact (cash)'!E20*$C250)/60</f>
        <v>0</v>
      </c>
      <c r="F250" s="128">
        <f>('Financial impact (cash)'!F20*$C250)/60</f>
        <v>0</v>
      </c>
      <c r="G250" s="128">
        <f>('Financial impact (cash)'!G20*$C250)/60</f>
        <v>0</v>
      </c>
      <c r="H250" s="128">
        <f>('Financial impact (cash)'!H20*$C250)/60</f>
        <v>0</v>
      </c>
      <c r="I250" s="128">
        <f>('Financial impact (cash)'!I20*$C250)/60</f>
        <v>0</v>
      </c>
      <c r="J250" s="289"/>
      <c r="K250" s="289"/>
      <c r="L250" s="221"/>
      <c r="M250" s="221"/>
      <c r="N250" s="221"/>
      <c r="O250" s="221"/>
      <c r="P250" s="221"/>
      <c r="Q250" s="221"/>
      <c r="R250" s="133"/>
      <c r="S250" s="133"/>
      <c r="T250" s="133"/>
      <c r="U250" s="133"/>
      <c r="V250" s="133"/>
      <c r="W250" s="133"/>
      <c r="X250" s="133"/>
      <c r="Y250" s="133"/>
      <c r="Z250" s="133"/>
      <c r="AJ250" s="285"/>
      <c r="AK250" s="285"/>
      <c r="AL250" s="285"/>
      <c r="AM250" s="285"/>
      <c r="AN250" s="285"/>
    </row>
    <row r="251" spans="1:40" x14ac:dyDescent="0.35">
      <c r="A251" s="289"/>
      <c r="B251" s="348" t="s">
        <v>717</v>
      </c>
      <c r="C251" s="149">
        <f>'Inputs and eligible population'!N$121</f>
        <v>1</v>
      </c>
      <c r="D251" s="128">
        <f>('Financial impact (cash)'!D21*$C251)/60</f>
        <v>0</v>
      </c>
      <c r="E251" s="128">
        <f>('Financial impact (cash)'!E21*$C251)/60</f>
        <v>0</v>
      </c>
      <c r="F251" s="128">
        <f>('Financial impact (cash)'!F21*$C251)/60</f>
        <v>0</v>
      </c>
      <c r="G251" s="128">
        <f>('Financial impact (cash)'!G21*$C251)/60</f>
        <v>0</v>
      </c>
      <c r="H251" s="128">
        <f>('Financial impact (cash)'!H21*$C251)/60</f>
        <v>0</v>
      </c>
      <c r="I251" s="128">
        <f>('Financial impact (cash)'!I21*$C251)/60</f>
        <v>0</v>
      </c>
      <c r="J251" s="289"/>
      <c r="K251" s="289"/>
      <c r="L251" s="221"/>
      <c r="M251" s="221"/>
      <c r="N251" s="221"/>
      <c r="O251" s="221"/>
      <c r="P251" s="221"/>
      <c r="Q251" s="221"/>
      <c r="R251" s="133"/>
      <c r="S251" s="133"/>
      <c r="T251" s="133"/>
      <c r="U251" s="133"/>
      <c r="V251" s="133"/>
      <c r="W251" s="133"/>
      <c r="X251" s="133"/>
      <c r="Y251" s="133"/>
      <c r="Z251" s="133"/>
      <c r="AJ251" s="285"/>
      <c r="AK251" s="285"/>
      <c r="AL251" s="285"/>
      <c r="AM251" s="285"/>
      <c r="AN251" s="285"/>
    </row>
    <row r="252" spans="1:40" x14ac:dyDescent="0.35">
      <c r="A252" s="289"/>
      <c r="B252" s="348" t="s">
        <v>719</v>
      </c>
      <c r="C252" s="149">
        <f>'Inputs and eligible population'!O$121</f>
        <v>1</v>
      </c>
      <c r="D252" s="128">
        <f>('Financial impact (cash)'!D22*$C252)/60</f>
        <v>0</v>
      </c>
      <c r="E252" s="128">
        <f>('Financial impact (cash)'!E22*$C252)/60</f>
        <v>0</v>
      </c>
      <c r="F252" s="128">
        <f>('Financial impact (cash)'!F22*$C252)/60</f>
        <v>0</v>
      </c>
      <c r="G252" s="128">
        <f>('Financial impact (cash)'!G22*$C252)/60</f>
        <v>0</v>
      </c>
      <c r="H252" s="128">
        <f>('Financial impact (cash)'!H22*$C252)/60</f>
        <v>0</v>
      </c>
      <c r="I252" s="128">
        <f>('Financial impact (cash)'!I22*$C252)/60</f>
        <v>0</v>
      </c>
      <c r="J252" s="289"/>
      <c r="K252" s="289"/>
      <c r="L252" s="221"/>
      <c r="M252" s="221"/>
      <c r="N252" s="221"/>
      <c r="O252" s="221"/>
      <c r="P252" s="221"/>
      <c r="Q252" s="221"/>
      <c r="R252" s="133"/>
      <c r="S252" s="133"/>
      <c r="T252" s="133"/>
      <c r="U252" s="133"/>
      <c r="V252" s="133"/>
      <c r="W252" s="133"/>
      <c r="X252" s="133"/>
      <c r="Y252" s="133"/>
      <c r="Z252" s="133"/>
      <c r="AJ252" s="285"/>
      <c r="AK252" s="285"/>
      <c r="AL252" s="285"/>
      <c r="AM252" s="285"/>
      <c r="AN252" s="285"/>
    </row>
    <row r="253" spans="1:40" x14ac:dyDescent="0.35">
      <c r="A253" s="289"/>
      <c r="B253" s="348" t="s">
        <v>721</v>
      </c>
      <c r="C253" s="149">
        <f>'Inputs and eligible population'!P$121</f>
        <v>1</v>
      </c>
      <c r="D253" s="128">
        <f>('Financial impact (cash)'!D23*$C253)/60</f>
        <v>0</v>
      </c>
      <c r="E253" s="128">
        <f>('Financial impact (cash)'!E23*$C253)/60</f>
        <v>0</v>
      </c>
      <c r="F253" s="128">
        <f>('Financial impact (cash)'!F23*$C253)/60</f>
        <v>0</v>
      </c>
      <c r="G253" s="128">
        <f>('Financial impact (cash)'!G23*$C253)/60</f>
        <v>0</v>
      </c>
      <c r="H253" s="128">
        <f>('Financial impact (cash)'!H23*$C253)/60</f>
        <v>0</v>
      </c>
      <c r="I253" s="128">
        <f>('Financial impact (cash)'!I23*$C253)/60</f>
        <v>0</v>
      </c>
      <c r="J253" s="289"/>
      <c r="K253" s="289"/>
      <c r="L253" s="221"/>
      <c r="M253" s="221"/>
      <c r="N253" s="221"/>
      <c r="O253" s="221"/>
      <c r="P253" s="221"/>
      <c r="Q253" s="221"/>
      <c r="R253" s="133"/>
      <c r="S253" s="133"/>
      <c r="T253" s="133"/>
      <c r="U253" s="133"/>
      <c r="V253" s="133"/>
      <c r="W253" s="133"/>
      <c r="X253" s="133"/>
      <c r="Y253" s="133"/>
      <c r="Z253" s="133"/>
      <c r="AJ253" s="285"/>
      <c r="AK253" s="285"/>
      <c r="AL253" s="285"/>
      <c r="AM253" s="285"/>
      <c r="AN253" s="285"/>
    </row>
    <row r="254" spans="1:40" x14ac:dyDescent="0.35">
      <c r="A254" s="289"/>
      <c r="B254" s="348" t="s">
        <v>723</v>
      </c>
      <c r="C254" s="149">
        <f>'Inputs and eligible population'!Q$121</f>
        <v>1</v>
      </c>
      <c r="D254" s="128">
        <f>('Financial impact (cash)'!D24*$C254)/60</f>
        <v>0</v>
      </c>
      <c r="E254" s="128">
        <f>('Financial impact (cash)'!E24*$C254)/60</f>
        <v>0</v>
      </c>
      <c r="F254" s="128">
        <f>('Financial impact (cash)'!F24*$C254)/60</f>
        <v>0</v>
      </c>
      <c r="G254" s="128">
        <f>('Financial impact (cash)'!G24*$C254)/60</f>
        <v>0</v>
      </c>
      <c r="H254" s="128">
        <f>('Financial impact (cash)'!H24*$C254)/60</f>
        <v>0</v>
      </c>
      <c r="I254" s="128">
        <f>('Financial impact (cash)'!I24*$C254)/60</f>
        <v>0</v>
      </c>
      <c r="J254" s="289"/>
      <c r="K254" s="289"/>
      <c r="L254" s="221"/>
      <c r="M254" s="221"/>
      <c r="N254" s="221"/>
      <c r="O254" s="221"/>
      <c r="P254" s="221"/>
      <c r="Q254" s="221"/>
      <c r="R254" s="133"/>
      <c r="S254" s="133"/>
      <c r="T254" s="133"/>
      <c r="U254" s="133"/>
      <c r="V254" s="133"/>
      <c r="W254" s="133"/>
      <c r="X254" s="133"/>
      <c r="Y254" s="133"/>
      <c r="Z254" s="133"/>
      <c r="AJ254" s="285"/>
      <c r="AK254" s="285"/>
      <c r="AL254" s="285"/>
      <c r="AM254" s="285"/>
      <c r="AN254" s="285"/>
    </row>
    <row r="255" spans="1:40" x14ac:dyDescent="0.35">
      <c r="A255" s="289"/>
      <c r="B255" s="348" t="s">
        <v>725</v>
      </c>
      <c r="C255" s="149">
        <f>'Inputs and eligible population'!R$121</f>
        <v>1</v>
      </c>
      <c r="D255" s="128">
        <f>('Financial impact (cash)'!D25*$C255)/60</f>
        <v>0</v>
      </c>
      <c r="E255" s="128">
        <f>('Financial impact (cash)'!E25*$C255)/60</f>
        <v>0</v>
      </c>
      <c r="F255" s="128">
        <f>('Financial impact (cash)'!F25*$C255)/60</f>
        <v>0</v>
      </c>
      <c r="G255" s="128">
        <f>('Financial impact (cash)'!G25*$C255)/60</f>
        <v>0</v>
      </c>
      <c r="H255" s="128">
        <f>('Financial impact (cash)'!H25*$C255)/60</f>
        <v>0</v>
      </c>
      <c r="I255" s="128">
        <f>('Financial impact (cash)'!I25*$C255)/60</f>
        <v>0</v>
      </c>
      <c r="J255" s="289"/>
      <c r="K255" s="289"/>
      <c r="L255" s="221"/>
      <c r="M255" s="221"/>
      <c r="N255" s="221"/>
      <c r="O255" s="221"/>
      <c r="P255" s="221"/>
      <c r="Q255" s="221"/>
      <c r="R255" s="133"/>
      <c r="S255" s="133"/>
      <c r="T255" s="133"/>
      <c r="U255" s="133"/>
      <c r="V255" s="133"/>
      <c r="W255" s="133"/>
      <c r="X255" s="133"/>
      <c r="Y255" s="133"/>
      <c r="Z255" s="133"/>
      <c r="AJ255" s="285"/>
      <c r="AK255" s="285"/>
      <c r="AL255" s="285"/>
      <c r="AM255" s="285"/>
      <c r="AN255" s="285"/>
    </row>
    <row r="256" spans="1:40" x14ac:dyDescent="0.35">
      <c r="A256" s="289"/>
      <c r="B256" s="348" t="s">
        <v>727</v>
      </c>
      <c r="C256" s="149">
        <f>'Inputs and eligible population'!S$121</f>
        <v>1</v>
      </c>
      <c r="D256" s="128">
        <f>('Financial impact (cash)'!D26*$C256)/60</f>
        <v>0</v>
      </c>
      <c r="E256" s="128">
        <f>('Financial impact (cash)'!E26*$C256)/60</f>
        <v>0</v>
      </c>
      <c r="F256" s="128">
        <f>('Financial impact (cash)'!F26*$C256)/60</f>
        <v>0</v>
      </c>
      <c r="G256" s="128">
        <f>('Financial impact (cash)'!G26*$C256)/60</f>
        <v>0</v>
      </c>
      <c r="H256" s="128">
        <f>('Financial impact (cash)'!H26*$C256)/60</f>
        <v>0</v>
      </c>
      <c r="I256" s="128">
        <f>('Financial impact (cash)'!I26*$C256)/60</f>
        <v>0</v>
      </c>
      <c r="J256" s="289"/>
      <c r="K256" s="289"/>
      <c r="L256" s="221"/>
      <c r="M256" s="221"/>
      <c r="N256" s="221"/>
      <c r="O256" s="221"/>
      <c r="P256" s="221"/>
      <c r="Q256" s="221"/>
      <c r="R256" s="133"/>
      <c r="S256" s="133"/>
      <c r="T256" s="133"/>
      <c r="U256" s="133"/>
      <c r="V256" s="133"/>
      <c r="W256" s="133"/>
      <c r="X256" s="133"/>
      <c r="Y256" s="133"/>
      <c r="Z256" s="133"/>
      <c r="AJ256" s="285"/>
      <c r="AK256" s="285"/>
      <c r="AL256" s="285"/>
      <c r="AM256" s="285"/>
      <c r="AN256" s="285"/>
    </row>
    <row r="257" spans="1:40" x14ac:dyDescent="0.35">
      <c r="A257" s="289"/>
      <c r="B257" s="348" t="s">
        <v>729</v>
      </c>
      <c r="C257" s="149">
        <f>'Inputs and eligible population'!T$121</f>
        <v>1</v>
      </c>
      <c r="D257" s="128">
        <f>('Financial impact (cash)'!D27*$C257)/60</f>
        <v>0</v>
      </c>
      <c r="E257" s="128">
        <f>('Financial impact (cash)'!E27*$C257)/60</f>
        <v>0</v>
      </c>
      <c r="F257" s="128">
        <f>('Financial impact (cash)'!F27*$C257)/60</f>
        <v>0</v>
      </c>
      <c r="G257" s="128">
        <f>('Financial impact (cash)'!G27*$C257)/60</f>
        <v>0</v>
      </c>
      <c r="H257" s="128">
        <f>('Financial impact (cash)'!H27*$C257)/60</f>
        <v>0</v>
      </c>
      <c r="I257" s="128">
        <f>('Financial impact (cash)'!I27*$C257)/60</f>
        <v>0</v>
      </c>
      <c r="J257" s="289"/>
      <c r="K257" s="289"/>
      <c r="L257" s="221"/>
      <c r="M257" s="221"/>
      <c r="N257" s="221"/>
      <c r="O257" s="221"/>
      <c r="P257" s="221"/>
      <c r="Q257" s="221"/>
      <c r="R257" s="133"/>
      <c r="S257" s="133"/>
      <c r="T257" s="133"/>
      <c r="U257" s="133"/>
      <c r="V257" s="133"/>
      <c r="W257" s="133"/>
      <c r="X257" s="133"/>
      <c r="Y257" s="133"/>
      <c r="Z257" s="133"/>
      <c r="AJ257" s="285"/>
      <c r="AK257" s="285"/>
      <c r="AL257" s="285"/>
      <c r="AM257" s="285"/>
      <c r="AN257" s="285"/>
    </row>
    <row r="258" spans="1:40" x14ac:dyDescent="0.35">
      <c r="A258" s="289"/>
      <c r="B258" s="348" t="s">
        <v>731</v>
      </c>
      <c r="C258" s="149">
        <f>'Inputs and eligible population'!U$121</f>
        <v>1</v>
      </c>
      <c r="D258" s="128">
        <f>('Financial impact (cash)'!D28*$C258)/60</f>
        <v>0</v>
      </c>
      <c r="E258" s="128">
        <f>('Financial impact (cash)'!E28*$C258)/60</f>
        <v>0</v>
      </c>
      <c r="F258" s="128">
        <f>('Financial impact (cash)'!F28*$C258)/60</f>
        <v>0</v>
      </c>
      <c r="G258" s="128">
        <f>('Financial impact (cash)'!G28*$C258)/60</f>
        <v>0</v>
      </c>
      <c r="H258" s="128">
        <f>('Financial impact (cash)'!H28*$C258)/60</f>
        <v>0</v>
      </c>
      <c r="I258" s="128">
        <f>('Financial impact (cash)'!I28*$C258)/60</f>
        <v>0</v>
      </c>
      <c r="J258" s="289"/>
      <c r="K258" s="289"/>
      <c r="L258" s="221"/>
      <c r="M258" s="221"/>
      <c r="N258" s="221"/>
      <c r="O258" s="221"/>
      <c r="P258" s="221"/>
      <c r="Q258" s="221"/>
      <c r="R258" s="133"/>
      <c r="S258" s="133"/>
      <c r="T258" s="133"/>
      <c r="U258" s="133"/>
      <c r="V258" s="133"/>
      <c r="W258" s="133"/>
      <c r="X258" s="133"/>
      <c r="Y258" s="133"/>
      <c r="Z258" s="133"/>
      <c r="AJ258" s="285"/>
      <c r="AK258" s="285"/>
      <c r="AL258" s="285"/>
      <c r="AM258" s="285"/>
      <c r="AN258" s="285"/>
    </row>
    <row r="259" spans="1:40" x14ac:dyDescent="0.35">
      <c r="A259" s="289"/>
      <c r="B259" s="348" t="s">
        <v>733</v>
      </c>
      <c r="C259" s="149">
        <f>'Inputs and eligible population'!V$121</f>
        <v>1</v>
      </c>
      <c r="D259" s="128">
        <f>('Financial impact (cash)'!D29*$C259)/60</f>
        <v>0</v>
      </c>
      <c r="E259" s="128">
        <f>('Financial impact (cash)'!E29*$C259)/60</f>
        <v>0</v>
      </c>
      <c r="F259" s="128">
        <f>('Financial impact (cash)'!F29*$C259)/60</f>
        <v>0</v>
      </c>
      <c r="G259" s="128">
        <f>('Financial impact (cash)'!G29*$C259)/60</f>
        <v>0</v>
      </c>
      <c r="H259" s="128">
        <f>('Financial impact (cash)'!H29*$C259)/60</f>
        <v>0</v>
      </c>
      <c r="I259" s="128">
        <f>('Financial impact (cash)'!I29*$C259)/60</f>
        <v>0</v>
      </c>
      <c r="J259" s="289"/>
      <c r="K259" s="289"/>
      <c r="L259" s="221"/>
      <c r="M259" s="221"/>
      <c r="N259" s="221"/>
      <c r="O259" s="221"/>
      <c r="P259" s="221"/>
      <c r="Q259" s="221"/>
      <c r="R259" s="133"/>
      <c r="S259" s="133"/>
      <c r="T259" s="133"/>
      <c r="U259" s="133"/>
      <c r="V259" s="133"/>
      <c r="W259" s="133"/>
      <c r="X259" s="133"/>
      <c r="Y259" s="133"/>
      <c r="Z259" s="133"/>
      <c r="AJ259" s="285"/>
      <c r="AK259" s="285"/>
      <c r="AL259" s="285"/>
      <c r="AM259" s="285"/>
      <c r="AN259" s="285"/>
    </row>
    <row r="260" spans="1:40" x14ac:dyDescent="0.35">
      <c r="A260" s="289"/>
      <c r="B260" s="348" t="s">
        <v>735</v>
      </c>
      <c r="C260" s="149">
        <f>'Inputs and eligible population'!W$121</f>
        <v>1</v>
      </c>
      <c r="D260" s="128">
        <f>('Financial impact (cash)'!D30*$C260)/60</f>
        <v>0</v>
      </c>
      <c r="E260" s="128">
        <f>('Financial impact (cash)'!E30*$C260)/60</f>
        <v>0</v>
      </c>
      <c r="F260" s="128">
        <f>('Financial impact (cash)'!F30*$C260)/60</f>
        <v>0</v>
      </c>
      <c r="G260" s="128">
        <f>('Financial impact (cash)'!G30*$C260)/60</f>
        <v>0</v>
      </c>
      <c r="H260" s="128">
        <f>('Financial impact (cash)'!H30*$C260)/60</f>
        <v>0</v>
      </c>
      <c r="I260" s="128">
        <f>('Financial impact (cash)'!I30*$C260)/60</f>
        <v>0</v>
      </c>
      <c r="J260" s="289"/>
      <c r="K260" s="289"/>
      <c r="L260" s="221"/>
      <c r="M260" s="221"/>
      <c r="N260" s="221"/>
      <c r="O260" s="221"/>
      <c r="P260" s="221"/>
      <c r="Q260" s="221"/>
      <c r="R260" s="133"/>
      <c r="S260" s="133"/>
      <c r="T260" s="133"/>
      <c r="U260" s="133"/>
      <c r="V260" s="133"/>
      <c r="W260" s="133"/>
      <c r="X260" s="133"/>
      <c r="Y260" s="133"/>
      <c r="Z260" s="133"/>
      <c r="AJ260" s="285"/>
      <c r="AK260" s="285"/>
      <c r="AL260" s="285"/>
      <c r="AM260" s="285"/>
      <c r="AN260" s="285"/>
    </row>
    <row r="261" spans="1:40" x14ac:dyDescent="0.35">
      <c r="A261" s="289"/>
      <c r="B261" s="348" t="s">
        <v>750</v>
      </c>
      <c r="C261" s="149">
        <f>'Inputs and eligible population'!X$121</f>
        <v>1</v>
      </c>
      <c r="D261" s="128">
        <f>('Financial impact (cash)'!D31*$C261)/60</f>
        <v>0</v>
      </c>
      <c r="E261" s="128">
        <f>('Financial impact (cash)'!E31*$C261)/60</f>
        <v>0</v>
      </c>
      <c r="F261" s="128">
        <f>('Financial impact (cash)'!F31*$C261)/60</f>
        <v>0</v>
      </c>
      <c r="G261" s="128">
        <f>('Financial impact (cash)'!G31*$C261)/60</f>
        <v>0</v>
      </c>
      <c r="H261" s="128">
        <f>('Financial impact (cash)'!H31*$C261)/60</f>
        <v>0</v>
      </c>
      <c r="I261" s="128">
        <f>('Financial impact (cash)'!I31*$C261)/60</f>
        <v>0</v>
      </c>
      <c r="J261" s="289"/>
      <c r="K261" s="289"/>
      <c r="L261" s="221"/>
      <c r="M261" s="221"/>
      <c r="N261" s="221"/>
      <c r="O261" s="221"/>
      <c r="P261" s="221"/>
      <c r="Q261" s="221"/>
      <c r="R261" s="133"/>
      <c r="S261" s="133"/>
      <c r="T261" s="133"/>
      <c r="U261" s="133"/>
      <c r="V261" s="133"/>
      <c r="W261" s="133"/>
      <c r="X261" s="133"/>
      <c r="Y261" s="133"/>
      <c r="Z261" s="133"/>
      <c r="AJ261" s="285"/>
      <c r="AK261" s="285"/>
      <c r="AL261" s="285"/>
      <c r="AM261" s="285"/>
      <c r="AN261" s="285"/>
    </row>
    <row r="262" spans="1:40" x14ac:dyDescent="0.35">
      <c r="A262" s="289"/>
      <c r="B262" s="282"/>
      <c r="C262" s="205"/>
      <c r="D262" s="185">
        <f>SUM(D243:D261)</f>
        <v>0</v>
      </c>
      <c r="E262" s="185">
        <f t="shared" ref="E262:I262" si="53">SUM(E243:E261)</f>
        <v>0</v>
      </c>
      <c r="F262" s="185">
        <f t="shared" si="53"/>
        <v>0</v>
      </c>
      <c r="G262" s="185">
        <f t="shared" si="53"/>
        <v>0</v>
      </c>
      <c r="H262" s="185">
        <f t="shared" si="53"/>
        <v>0</v>
      </c>
      <c r="I262" s="185">
        <f t="shared" si="53"/>
        <v>0</v>
      </c>
      <c r="J262" s="289"/>
      <c r="K262" s="289"/>
      <c r="L262" s="221"/>
      <c r="M262" s="221"/>
      <c r="N262" s="221"/>
      <c r="O262" s="221"/>
      <c r="P262" s="221"/>
      <c r="Q262" s="221"/>
      <c r="R262" s="133"/>
      <c r="S262" s="133"/>
      <c r="T262" s="133"/>
      <c r="U262" s="133"/>
      <c r="V262" s="133"/>
      <c r="W262" s="133"/>
      <c r="X262" s="133"/>
      <c r="Y262" s="133"/>
      <c r="Z262" s="133"/>
      <c r="AJ262" s="285"/>
      <c r="AK262" s="285"/>
      <c r="AL262" s="285"/>
      <c r="AM262" s="285"/>
      <c r="AN262" s="285"/>
    </row>
    <row r="263" spans="1:40" x14ac:dyDescent="0.35">
      <c r="A263" s="289"/>
      <c r="B263" s="307"/>
      <c r="C263" s="256"/>
      <c r="D263" s="284" t="s">
        <v>951</v>
      </c>
      <c r="E263" s="185">
        <f>E262-$D$262</f>
        <v>0</v>
      </c>
      <c r="F263" s="185">
        <f>F262-$D$262</f>
        <v>0</v>
      </c>
      <c r="G263" s="185">
        <f>G262-$D$262</f>
        <v>0</v>
      </c>
      <c r="H263" s="185">
        <f>H262-$D$262</f>
        <v>0</v>
      </c>
      <c r="I263" s="185">
        <f>I262-$D$262</f>
        <v>0</v>
      </c>
      <c r="J263" s="289"/>
      <c r="K263" s="289"/>
      <c r="L263" s="221"/>
      <c r="M263" s="221"/>
      <c r="N263" s="221"/>
      <c r="O263" s="221"/>
      <c r="P263" s="221"/>
      <c r="Q263" s="221"/>
      <c r="V263" s="133"/>
    </row>
    <row r="264" spans="1:40" x14ac:dyDescent="0.35">
      <c r="A264" s="289"/>
      <c r="B264" s="289"/>
      <c r="C264" s="221"/>
      <c r="D264" s="289"/>
      <c r="E264" s="289"/>
      <c r="F264" s="289"/>
      <c r="G264" s="289"/>
      <c r="H264" s="289"/>
      <c r="I264" s="221"/>
      <c r="J264" s="221"/>
      <c r="K264" s="221"/>
      <c r="L264" s="221"/>
      <c r="M264" s="221"/>
      <c r="N264" s="221"/>
      <c r="O264" s="221"/>
      <c r="P264" s="221"/>
      <c r="Q264" s="221"/>
      <c r="V264" s="133"/>
    </row>
    <row r="265" spans="1:40" x14ac:dyDescent="0.35">
      <c r="A265" s="290"/>
      <c r="B265" s="327" t="s">
        <v>790</v>
      </c>
      <c r="C265" s="313"/>
      <c r="D265" s="314"/>
      <c r="E265" s="315"/>
      <c r="F265" s="316"/>
      <c r="G265" s="316"/>
      <c r="H265" s="316"/>
      <c r="I265" s="431"/>
      <c r="J265" s="439"/>
      <c r="K265" s="290"/>
      <c r="L265" s="290"/>
      <c r="M265" s="290"/>
      <c r="N265" s="290"/>
      <c r="O265" s="290"/>
      <c r="P265" s="290"/>
      <c r="Q265" s="290"/>
      <c r="R265" s="133"/>
      <c r="S265" s="133"/>
      <c r="T265" s="133"/>
      <c r="U265" s="133"/>
      <c r="V265" s="133"/>
      <c r="W265" s="133"/>
      <c r="X265" s="133"/>
      <c r="Y265" s="133"/>
      <c r="Z265" s="133"/>
      <c r="AJ265" s="285"/>
      <c r="AK265" s="285"/>
      <c r="AL265" s="285"/>
      <c r="AM265" s="285"/>
      <c r="AN265" s="285"/>
    </row>
    <row r="266" spans="1:40" x14ac:dyDescent="0.35">
      <c r="A266" s="290"/>
      <c r="B266" s="398" t="s">
        <v>1014</v>
      </c>
      <c r="C266" s="399"/>
      <c r="D266" s="399"/>
      <c r="E266" s="399"/>
      <c r="F266" s="399"/>
      <c r="G266" s="399"/>
      <c r="H266" s="399"/>
      <c r="I266" s="222"/>
      <c r="J266" s="437"/>
      <c r="K266" s="437"/>
      <c r="L266" s="438"/>
      <c r="M266" s="438"/>
      <c r="N266" s="438"/>
      <c r="O266" s="438"/>
      <c r="P266" s="438"/>
      <c r="Q266" s="438"/>
      <c r="R266" s="133"/>
      <c r="S266" s="133"/>
      <c r="T266" s="133"/>
      <c r="U266" s="133"/>
      <c r="V266" s="133"/>
      <c r="W266" s="133"/>
      <c r="X266" s="133"/>
      <c r="Y266" s="133"/>
      <c r="Z266" s="133"/>
      <c r="AJ266" s="285"/>
      <c r="AK266" s="285"/>
      <c r="AL266" s="285"/>
      <c r="AM266" s="285"/>
      <c r="AN266" s="285"/>
    </row>
    <row r="267" spans="1:40" ht="43.5" x14ac:dyDescent="0.35">
      <c r="A267" s="290"/>
      <c r="B267" s="278" t="s">
        <v>876</v>
      </c>
      <c r="C267" s="207"/>
      <c r="D267" s="421" t="s">
        <v>957</v>
      </c>
      <c r="E267" s="255" t="s">
        <v>685</v>
      </c>
      <c r="F267" s="255" t="s">
        <v>686</v>
      </c>
      <c r="G267" s="164" t="s">
        <v>914</v>
      </c>
      <c r="H267" s="164" t="s">
        <v>915</v>
      </c>
      <c r="I267" s="255" t="s">
        <v>916</v>
      </c>
      <c r="J267" s="290"/>
      <c r="K267" s="556" t="s">
        <v>1015</v>
      </c>
      <c r="L267" s="421" t="s">
        <v>957</v>
      </c>
      <c r="M267" s="255" t="s">
        <v>685</v>
      </c>
      <c r="N267" s="255" t="s">
        <v>686</v>
      </c>
      <c r="O267" s="164" t="s">
        <v>914</v>
      </c>
      <c r="P267" s="164" t="s">
        <v>915</v>
      </c>
      <c r="Q267" s="255" t="s">
        <v>916</v>
      </c>
      <c r="R267" s="133"/>
      <c r="S267" s="133"/>
      <c r="T267" s="133"/>
      <c r="U267" s="133"/>
      <c r="V267" s="133"/>
      <c r="W267" s="133"/>
      <c r="X267" s="133"/>
      <c r="Y267" s="133"/>
      <c r="Z267" s="133"/>
      <c r="AJ267" s="285"/>
      <c r="AK267" s="285"/>
      <c r="AL267" s="285"/>
      <c r="AM267" s="285"/>
      <c r="AN267" s="285"/>
    </row>
    <row r="268" spans="1:40" x14ac:dyDescent="0.35">
      <c r="A268" s="290"/>
      <c r="B268" s="249" t="s">
        <v>898</v>
      </c>
      <c r="C268" s="167"/>
      <c r="D268" s="128">
        <f>('Unit costs'!$D157*'Financial impact (cash)'!D$13)+('Unit costs'!$E157*'Financial impact (cash)'!D$14)+('Unit costs'!$F157*'Financial impact (cash)'!D$15)+('Unit costs'!$G157*'Financial impact (cash)'!D$16)+('Unit costs'!$H157*'Financial impact (cash)'!D$17)+('Unit costs'!$I157*'Financial impact (cash)'!D$18)+('Unit costs'!$J157*'Financial impact (cash)'!D$19)+('Unit costs'!$K157*'Financial impact (cash)'!D$20)+('Unit costs'!$L157*'Financial impact (cash)'!D$21)+('Unit costs'!$M157*'Financial impact (cash)'!D$22)+('Unit costs'!$N157*'Financial impact (cash)'!D$23)+('Unit costs'!$O157*'Financial impact (cash)'!D$24)+('Unit costs'!$P157*'Financial impact (cash)'!D$25)+('Unit costs'!$Q157*'Financial impact (cash)'!D$26)+('Unit costs'!$R157*'Financial impact (cash)'!D$27)+('Unit costs'!$S157*'Financial impact (cash)'!D$28)+('Unit costs'!$T157*'Financial impact (cash)'!D$29)+('Unit costs'!$U157*'Financial impact (cash)'!D$30)+('Unit costs'!$V157*'Financial impact (cash)'!D$31)</f>
        <v>0</v>
      </c>
      <c r="E268" s="128">
        <f>('Unit costs'!$D157*'Financial impact (cash)'!E$13)+('Unit costs'!$E157*'Financial impact (cash)'!E$14)+('Unit costs'!$F157*'Financial impact (cash)'!E$15)+('Unit costs'!$G157*'Financial impact (cash)'!E$16)+('Unit costs'!$H157*'Financial impact (cash)'!E$17)+('Unit costs'!$I157*'Financial impact (cash)'!E$18)+('Unit costs'!$J157*'Financial impact (cash)'!E$19)+('Unit costs'!$K157*'Financial impact (cash)'!E$20)+('Unit costs'!$L157*'Financial impact (cash)'!E$21)+('Unit costs'!$M157*'Financial impact (cash)'!E$22)+('Unit costs'!$N157*'Financial impact (cash)'!E$23)+('Unit costs'!$O157*'Financial impact (cash)'!E$24)+('Unit costs'!$P157*'Financial impact (cash)'!E$25)+('Unit costs'!$Q157*'Financial impact (cash)'!E$26)+('Unit costs'!$R157*'Financial impact (cash)'!E$27)+('Unit costs'!$S157*'Financial impact (cash)'!E$28)+('Unit costs'!$T157*'Financial impact (cash)'!E$29)+('Unit costs'!$U157*'Financial impact (cash)'!E$30)+('Unit costs'!$V157*'Financial impact (cash)'!E$31)</f>
        <v>0</v>
      </c>
      <c r="F268" s="128">
        <f>('Unit costs'!$D157*'Financial impact (cash)'!F$13)+('Unit costs'!$E157*'Financial impact (cash)'!F$14)+('Unit costs'!$F157*'Financial impact (cash)'!F$15)+('Unit costs'!$G157*'Financial impact (cash)'!F$16)+('Unit costs'!$H157*'Financial impact (cash)'!F$17)+('Unit costs'!$I157*'Financial impact (cash)'!F$18)+('Unit costs'!$J157*'Financial impact (cash)'!F$19)+('Unit costs'!$K157*'Financial impact (cash)'!F$20)+('Unit costs'!$L157*'Financial impact (cash)'!F$21)+('Unit costs'!$M157*'Financial impact (cash)'!F$22)+('Unit costs'!$N157*'Financial impact (cash)'!F$23)+('Unit costs'!$O157*'Financial impact (cash)'!F$24)+('Unit costs'!$P157*'Financial impact (cash)'!F$25)+('Unit costs'!$Q157*'Financial impact (cash)'!F$26)+('Unit costs'!$R157*'Financial impact (cash)'!F$27)+('Unit costs'!$S157*'Financial impact (cash)'!F$28)+('Unit costs'!$T157*'Financial impact (cash)'!F$29)+('Unit costs'!$U157*'Financial impact (cash)'!F$30)+('Unit costs'!$V157*'Financial impact (cash)'!F$31)</f>
        <v>0</v>
      </c>
      <c r="G268" s="128">
        <f>('Unit costs'!$D157*'Financial impact (cash)'!G$13)+('Unit costs'!$E157*'Financial impact (cash)'!G$14)+('Unit costs'!$F157*'Financial impact (cash)'!G$15)+('Unit costs'!$G157*'Financial impact (cash)'!G$16)+('Unit costs'!$H157*'Financial impact (cash)'!G$17)+('Unit costs'!$I157*'Financial impact (cash)'!G$18)+('Unit costs'!$J157*'Financial impact (cash)'!G$19)+('Unit costs'!$K157*'Financial impact (cash)'!G$20)+('Unit costs'!$L157*'Financial impact (cash)'!G$21)+('Unit costs'!$M157*'Financial impact (cash)'!G$22)+('Unit costs'!$N157*'Financial impact (cash)'!G$23)+('Unit costs'!$O157*'Financial impact (cash)'!G$24)+('Unit costs'!$P157*'Financial impact (cash)'!G$25)+('Unit costs'!$Q157*'Financial impact (cash)'!G$26)+('Unit costs'!$R157*'Financial impact (cash)'!G$27)+('Unit costs'!$S157*'Financial impact (cash)'!G$28)+('Unit costs'!$T157*'Financial impact (cash)'!G$29)+('Unit costs'!$U157*'Financial impact (cash)'!G$30)+('Unit costs'!$V157*'Financial impact (cash)'!G$31)</f>
        <v>0</v>
      </c>
      <c r="H268" s="128">
        <f>('Unit costs'!$D157*'Financial impact (cash)'!H$13)+('Unit costs'!$E157*'Financial impact (cash)'!H$14)+('Unit costs'!$F157*'Financial impact (cash)'!H$15)+('Unit costs'!$G157*'Financial impact (cash)'!H$16)+('Unit costs'!$H157*'Financial impact (cash)'!H$17)+('Unit costs'!$I157*'Financial impact (cash)'!H$18)+('Unit costs'!$J157*'Financial impact (cash)'!H$19)+('Unit costs'!$K157*'Financial impact (cash)'!H$20)+('Unit costs'!$L157*'Financial impact (cash)'!H$21)+('Unit costs'!$M157*'Financial impact (cash)'!H$22)+('Unit costs'!$N157*'Financial impact (cash)'!H$23)+('Unit costs'!$O157*'Financial impact (cash)'!H$24)+('Unit costs'!$P157*'Financial impact (cash)'!H$25)+('Unit costs'!$Q157*'Financial impact (cash)'!H$26)+('Unit costs'!$R157*'Financial impact (cash)'!H$27)+('Unit costs'!$S157*'Financial impact (cash)'!H$28)+('Unit costs'!$T157*'Financial impact (cash)'!H$29)+('Unit costs'!$U157*'Financial impact (cash)'!H$30)+('Unit costs'!$V157*'Financial impact (cash)'!H$31)</f>
        <v>0</v>
      </c>
      <c r="I268" s="128">
        <f>('Unit costs'!$D157*'Financial impact (cash)'!I$13)+('Unit costs'!$E157*'Financial impact (cash)'!I$14)+('Unit costs'!$F157*'Financial impact (cash)'!I$15)+('Unit costs'!$G157*'Financial impact (cash)'!I$16)+('Unit costs'!$H157*'Financial impact (cash)'!I$17)+('Unit costs'!$I157*'Financial impact (cash)'!I$18)+('Unit costs'!$J157*'Financial impact (cash)'!I$19)+('Unit costs'!$K157*'Financial impact (cash)'!I$20)+('Unit costs'!$L157*'Financial impact (cash)'!I$21)+('Unit costs'!$M157*'Financial impact (cash)'!I$22)+('Unit costs'!$N157*'Financial impact (cash)'!I$23)+('Unit costs'!$O157*'Financial impact (cash)'!I$24)+('Unit costs'!$P157*'Financial impact (cash)'!I$25)+('Unit costs'!$Q157*'Financial impact (cash)'!I$26)+('Unit costs'!$R157*'Financial impact (cash)'!I$27)+('Unit costs'!$S157*'Financial impact (cash)'!I$28)+('Unit costs'!$T157*'Financial impact (cash)'!I$29)+('Unit costs'!$U157*'Financial impact (cash)'!I$30)+('Unit costs'!$V157*'Financial impact (cash)'!I$31)</f>
        <v>0</v>
      </c>
      <c r="J268" s="290"/>
      <c r="K268" s="291">
        <f>'Unit costs'!C172</f>
        <v>556.06062322946173</v>
      </c>
      <c r="L268" s="291">
        <f>(D268*$K$268)/1000</f>
        <v>0</v>
      </c>
      <c r="M268" s="291">
        <f t="shared" ref="M268:Q268" si="54">(E268*$K$268)/1000</f>
        <v>0</v>
      </c>
      <c r="N268" s="291">
        <f t="shared" si="54"/>
        <v>0</v>
      </c>
      <c r="O268" s="291">
        <f t="shared" si="54"/>
        <v>0</v>
      </c>
      <c r="P268" s="291">
        <f t="shared" si="54"/>
        <v>0</v>
      </c>
      <c r="Q268" s="291">
        <f t="shared" si="54"/>
        <v>0</v>
      </c>
      <c r="R268" s="133"/>
      <c r="S268" s="133"/>
      <c r="T268" s="133"/>
      <c r="U268" s="133"/>
      <c r="V268" s="133"/>
      <c r="W268" s="133"/>
      <c r="X268" s="133"/>
      <c r="Y268" s="133"/>
      <c r="Z268" s="133"/>
      <c r="AJ268" s="285"/>
      <c r="AK268" s="285"/>
      <c r="AL268" s="285"/>
      <c r="AM268" s="285"/>
      <c r="AN268" s="285"/>
    </row>
    <row r="269" spans="1:40" x14ac:dyDescent="0.35">
      <c r="A269" s="290"/>
      <c r="B269" s="249" t="s">
        <v>899</v>
      </c>
      <c r="C269" s="167"/>
      <c r="D269" s="128">
        <f>('Unit costs'!$D158*'Financial impact (cash)'!D$13)+('Unit costs'!$E158*'Financial impact (cash)'!D$14)+('Unit costs'!$F158*'Financial impact (cash)'!D$15)+('Unit costs'!$G158*'Financial impact (cash)'!D$16)+('Unit costs'!$H158*'Financial impact (cash)'!D$17)+('Unit costs'!$I158*'Financial impact (cash)'!D$18)+('Unit costs'!$J158*'Financial impact (cash)'!D$19)+('Unit costs'!$K158*'Financial impact (cash)'!D$20)+('Unit costs'!$L158*'Financial impact (cash)'!D$21)+('Unit costs'!$M158*'Financial impact (cash)'!D$22)+('Unit costs'!$N158*'Financial impact (cash)'!D$23)+('Unit costs'!$O158*'Financial impact (cash)'!D$24)+('Unit costs'!$P158*'Financial impact (cash)'!D$25)+('Unit costs'!$Q158*'Financial impact (cash)'!D$26)+('Unit costs'!$R158*'Financial impact (cash)'!D$27)+('Unit costs'!$S158*'Financial impact (cash)'!D$28)+('Unit costs'!$T158*'Financial impact (cash)'!D$29)+('Unit costs'!$U158*'Financial impact (cash)'!D$30)+('Unit costs'!$V158*'Financial impact (cash)'!D$31)</f>
        <v>0</v>
      </c>
      <c r="E269" s="128">
        <f>('Unit costs'!$D158*'Financial impact (cash)'!E$13)+('Unit costs'!$E158*'Financial impact (cash)'!E$14)+('Unit costs'!$F158*'Financial impact (cash)'!E$15)+('Unit costs'!$G158*'Financial impact (cash)'!E$16)+('Unit costs'!$H158*'Financial impact (cash)'!E$17)+('Unit costs'!$I158*'Financial impact (cash)'!E$18)+('Unit costs'!$J158*'Financial impact (cash)'!E$19)+('Unit costs'!$K158*'Financial impact (cash)'!E$20)+('Unit costs'!$L158*'Financial impact (cash)'!E$21)+('Unit costs'!$M158*'Financial impact (cash)'!E$22)+('Unit costs'!$N158*'Financial impact (cash)'!E$23)+('Unit costs'!$O158*'Financial impact (cash)'!E$24)+('Unit costs'!$P158*'Financial impact (cash)'!E$25)+('Unit costs'!$Q158*'Financial impact (cash)'!E$26)+('Unit costs'!$R158*'Financial impact (cash)'!E$27)+('Unit costs'!$S158*'Financial impact (cash)'!E$28)+('Unit costs'!$T158*'Financial impact (cash)'!E$29)+('Unit costs'!$U158*'Financial impact (cash)'!E$30)+('Unit costs'!$V158*'Financial impact (cash)'!E$31)</f>
        <v>0</v>
      </c>
      <c r="F269" s="128">
        <f>('Unit costs'!$D158*'Financial impact (cash)'!F$13)+('Unit costs'!$E158*'Financial impact (cash)'!F$14)+('Unit costs'!$F158*'Financial impact (cash)'!F$15)+('Unit costs'!$G158*'Financial impact (cash)'!F$16)+('Unit costs'!$H158*'Financial impact (cash)'!F$17)+('Unit costs'!$I158*'Financial impact (cash)'!F$18)+('Unit costs'!$J158*'Financial impact (cash)'!F$19)+('Unit costs'!$K158*'Financial impact (cash)'!F$20)+('Unit costs'!$L158*'Financial impact (cash)'!F$21)+('Unit costs'!$M158*'Financial impact (cash)'!F$22)+('Unit costs'!$N158*'Financial impact (cash)'!F$23)+('Unit costs'!$O158*'Financial impact (cash)'!F$24)+('Unit costs'!$P158*'Financial impact (cash)'!F$25)+('Unit costs'!$Q158*'Financial impact (cash)'!F$26)+('Unit costs'!$R158*'Financial impact (cash)'!F$27)+('Unit costs'!$S158*'Financial impact (cash)'!F$28)+('Unit costs'!$T158*'Financial impact (cash)'!F$29)+('Unit costs'!$U158*'Financial impact (cash)'!F$30)+('Unit costs'!$V158*'Financial impact (cash)'!F$31)</f>
        <v>0</v>
      </c>
      <c r="G269" s="128">
        <f>('Unit costs'!$D158*'Financial impact (cash)'!G$13)+('Unit costs'!$E158*'Financial impact (cash)'!G$14)+('Unit costs'!$F158*'Financial impact (cash)'!G$15)+('Unit costs'!$G158*'Financial impact (cash)'!G$16)+('Unit costs'!$H158*'Financial impact (cash)'!G$17)+('Unit costs'!$I158*'Financial impact (cash)'!G$18)+('Unit costs'!$J158*'Financial impact (cash)'!G$19)+('Unit costs'!$K158*'Financial impact (cash)'!G$20)+('Unit costs'!$L158*'Financial impact (cash)'!G$21)+('Unit costs'!$M158*'Financial impact (cash)'!G$22)+('Unit costs'!$N158*'Financial impact (cash)'!G$23)+('Unit costs'!$O158*'Financial impact (cash)'!G$24)+('Unit costs'!$P158*'Financial impact (cash)'!G$25)+('Unit costs'!$Q158*'Financial impact (cash)'!G$26)+('Unit costs'!$R158*'Financial impact (cash)'!G$27)+('Unit costs'!$S158*'Financial impact (cash)'!G$28)+('Unit costs'!$T158*'Financial impact (cash)'!G$29)+('Unit costs'!$U158*'Financial impact (cash)'!G$30)+('Unit costs'!$V158*'Financial impact (cash)'!G$31)</f>
        <v>0</v>
      </c>
      <c r="H269" s="128">
        <f>('Unit costs'!$D158*'Financial impact (cash)'!H$13)+('Unit costs'!$E158*'Financial impact (cash)'!H$14)+('Unit costs'!$F158*'Financial impact (cash)'!H$15)+('Unit costs'!$G158*'Financial impact (cash)'!H$16)+('Unit costs'!$H158*'Financial impact (cash)'!H$17)+('Unit costs'!$I158*'Financial impact (cash)'!H$18)+('Unit costs'!$J158*'Financial impact (cash)'!H$19)+('Unit costs'!$K158*'Financial impact (cash)'!H$20)+('Unit costs'!$L158*'Financial impact (cash)'!H$21)+('Unit costs'!$M158*'Financial impact (cash)'!H$22)+('Unit costs'!$N158*'Financial impact (cash)'!H$23)+('Unit costs'!$O158*'Financial impact (cash)'!H$24)+('Unit costs'!$P158*'Financial impact (cash)'!H$25)+('Unit costs'!$Q158*'Financial impact (cash)'!H$26)+('Unit costs'!$R158*'Financial impact (cash)'!H$27)+('Unit costs'!$S158*'Financial impact (cash)'!H$28)+('Unit costs'!$T158*'Financial impact (cash)'!H$29)+('Unit costs'!$U158*'Financial impact (cash)'!H$30)+('Unit costs'!$V158*'Financial impact (cash)'!H$31)</f>
        <v>0</v>
      </c>
      <c r="I269" s="128">
        <f>('Unit costs'!$D158*'Financial impact (cash)'!I$13)+('Unit costs'!$E158*'Financial impact (cash)'!I$14)+('Unit costs'!$F158*'Financial impact (cash)'!I$15)+('Unit costs'!$G158*'Financial impact (cash)'!I$16)+('Unit costs'!$H158*'Financial impact (cash)'!I$17)+('Unit costs'!$I158*'Financial impact (cash)'!I$18)+('Unit costs'!$J158*'Financial impact (cash)'!I$19)+('Unit costs'!$K158*'Financial impact (cash)'!I$20)+('Unit costs'!$L158*'Financial impact (cash)'!I$21)+('Unit costs'!$M158*'Financial impact (cash)'!I$22)+('Unit costs'!$N158*'Financial impact (cash)'!I$23)+('Unit costs'!$O158*'Financial impact (cash)'!I$24)+('Unit costs'!$P158*'Financial impact (cash)'!I$25)+('Unit costs'!$Q158*'Financial impact (cash)'!I$26)+('Unit costs'!$R158*'Financial impact (cash)'!I$27)+('Unit costs'!$S158*'Financial impact (cash)'!I$28)+('Unit costs'!$T158*'Financial impact (cash)'!I$29)+('Unit costs'!$U158*'Financial impact (cash)'!I$30)+('Unit costs'!$V158*'Financial impact (cash)'!I$31)</f>
        <v>0</v>
      </c>
      <c r="J269" s="290"/>
      <c r="K269" s="291">
        <f>'Unit costs'!C173</f>
        <v>849.40835694050975</v>
      </c>
      <c r="L269" s="291">
        <f>(D269*$K$269)/1000</f>
        <v>0</v>
      </c>
      <c r="M269" s="291">
        <f t="shared" ref="M269:Q269" si="55">(E269*$K$269)/1000</f>
        <v>0</v>
      </c>
      <c r="N269" s="291">
        <f t="shared" si="55"/>
        <v>0</v>
      </c>
      <c r="O269" s="291">
        <f t="shared" si="55"/>
        <v>0</v>
      </c>
      <c r="P269" s="291">
        <f t="shared" si="55"/>
        <v>0</v>
      </c>
      <c r="Q269" s="291">
        <f t="shared" si="55"/>
        <v>0</v>
      </c>
      <c r="R269" s="133"/>
      <c r="S269" s="133"/>
      <c r="T269" s="133"/>
      <c r="U269" s="133"/>
      <c r="V269" s="133"/>
      <c r="W269" s="133"/>
      <c r="X269" s="133"/>
      <c r="Y269" s="133"/>
      <c r="Z269" s="133"/>
      <c r="AJ269" s="285"/>
      <c r="AK269" s="285"/>
      <c r="AL269" s="285"/>
      <c r="AM269" s="285"/>
      <c r="AN269" s="285"/>
    </row>
    <row r="270" spans="1:40" x14ac:dyDescent="0.35">
      <c r="A270" s="290"/>
      <c r="B270" s="249" t="s">
        <v>900</v>
      </c>
      <c r="C270" s="167"/>
      <c r="D270" s="128">
        <f>('Unit costs'!$D159*'Financial impact (cash)'!D$13)+('Unit costs'!$E159*'Financial impact (cash)'!D$14)+('Unit costs'!$F159*'Financial impact (cash)'!D$15)+('Unit costs'!$G159*'Financial impact (cash)'!D$16)+('Unit costs'!$H159*'Financial impact (cash)'!D$17)+('Unit costs'!$I159*'Financial impact (cash)'!D$18)+('Unit costs'!$J159*'Financial impact (cash)'!D$19)+('Unit costs'!$K159*'Financial impact (cash)'!D$20)+('Unit costs'!$L159*'Financial impact (cash)'!D$21)+('Unit costs'!$M159*'Financial impact (cash)'!D$22)+('Unit costs'!$N159*'Financial impact (cash)'!D$23)+('Unit costs'!$O159*'Financial impact (cash)'!D$24)+('Unit costs'!$P159*'Financial impact (cash)'!D$25)+('Unit costs'!$Q159*'Financial impact (cash)'!D$26)+('Unit costs'!$R159*'Financial impact (cash)'!D$27)+('Unit costs'!$S159*'Financial impact (cash)'!D$28)+('Unit costs'!$T159*'Financial impact (cash)'!D$29)+('Unit costs'!$U159*'Financial impact (cash)'!D$30)+('Unit costs'!$V159*'Financial impact (cash)'!D$31)</f>
        <v>0</v>
      </c>
      <c r="E270" s="128">
        <f>('Unit costs'!$D159*'Financial impact (cash)'!E$13)+('Unit costs'!$E159*'Financial impact (cash)'!E$14)+('Unit costs'!$F159*'Financial impact (cash)'!E$15)+('Unit costs'!$G159*'Financial impact (cash)'!E$16)+('Unit costs'!$H159*'Financial impact (cash)'!E$17)+('Unit costs'!$I159*'Financial impact (cash)'!E$18)+('Unit costs'!$J159*'Financial impact (cash)'!E$19)+('Unit costs'!$K159*'Financial impact (cash)'!E$20)+('Unit costs'!$L159*'Financial impact (cash)'!E$21)+('Unit costs'!$M159*'Financial impact (cash)'!E$22)+('Unit costs'!$N159*'Financial impact (cash)'!E$23)+('Unit costs'!$O159*'Financial impact (cash)'!E$24)+('Unit costs'!$P159*'Financial impact (cash)'!E$25)+('Unit costs'!$Q159*'Financial impact (cash)'!E$26)+('Unit costs'!$R159*'Financial impact (cash)'!E$27)+('Unit costs'!$S159*'Financial impact (cash)'!E$28)+('Unit costs'!$T159*'Financial impact (cash)'!E$29)+('Unit costs'!$U159*'Financial impact (cash)'!E$30)+('Unit costs'!$V159*'Financial impact (cash)'!E$31)</f>
        <v>0</v>
      </c>
      <c r="F270" s="128">
        <f>('Unit costs'!$D159*'Financial impact (cash)'!F$13)+('Unit costs'!$E159*'Financial impact (cash)'!F$14)+('Unit costs'!$F159*'Financial impact (cash)'!F$15)+('Unit costs'!$G159*'Financial impact (cash)'!F$16)+('Unit costs'!$H159*'Financial impact (cash)'!F$17)+('Unit costs'!$I159*'Financial impact (cash)'!F$18)+('Unit costs'!$J159*'Financial impact (cash)'!F$19)+('Unit costs'!$K159*'Financial impact (cash)'!F$20)+('Unit costs'!$L159*'Financial impact (cash)'!F$21)+('Unit costs'!$M159*'Financial impact (cash)'!F$22)+('Unit costs'!$N159*'Financial impact (cash)'!F$23)+('Unit costs'!$O159*'Financial impact (cash)'!F$24)+('Unit costs'!$P159*'Financial impact (cash)'!F$25)+('Unit costs'!$Q159*'Financial impact (cash)'!F$26)+('Unit costs'!$R159*'Financial impact (cash)'!F$27)+('Unit costs'!$S159*'Financial impact (cash)'!F$28)+('Unit costs'!$T159*'Financial impact (cash)'!F$29)+('Unit costs'!$U159*'Financial impact (cash)'!F$30)+('Unit costs'!$V159*'Financial impact (cash)'!F$31)</f>
        <v>0</v>
      </c>
      <c r="G270" s="128">
        <f>('Unit costs'!$D159*'Financial impact (cash)'!G$13)+('Unit costs'!$E159*'Financial impact (cash)'!G$14)+('Unit costs'!$F159*'Financial impact (cash)'!G$15)+('Unit costs'!$G159*'Financial impact (cash)'!G$16)+('Unit costs'!$H159*'Financial impact (cash)'!G$17)+('Unit costs'!$I159*'Financial impact (cash)'!G$18)+('Unit costs'!$J159*'Financial impact (cash)'!G$19)+('Unit costs'!$K159*'Financial impact (cash)'!G$20)+('Unit costs'!$L159*'Financial impact (cash)'!G$21)+('Unit costs'!$M159*'Financial impact (cash)'!G$22)+('Unit costs'!$N159*'Financial impact (cash)'!G$23)+('Unit costs'!$O159*'Financial impact (cash)'!G$24)+('Unit costs'!$P159*'Financial impact (cash)'!G$25)+('Unit costs'!$Q159*'Financial impact (cash)'!G$26)+('Unit costs'!$R159*'Financial impact (cash)'!G$27)+('Unit costs'!$S159*'Financial impact (cash)'!G$28)+('Unit costs'!$T159*'Financial impact (cash)'!G$29)+('Unit costs'!$U159*'Financial impact (cash)'!G$30)+('Unit costs'!$V159*'Financial impact (cash)'!G$31)</f>
        <v>0</v>
      </c>
      <c r="H270" s="128">
        <f>('Unit costs'!$D159*'Financial impact (cash)'!H$13)+('Unit costs'!$E159*'Financial impact (cash)'!H$14)+('Unit costs'!$F159*'Financial impact (cash)'!H$15)+('Unit costs'!$G159*'Financial impact (cash)'!H$16)+('Unit costs'!$H159*'Financial impact (cash)'!H$17)+('Unit costs'!$I159*'Financial impact (cash)'!H$18)+('Unit costs'!$J159*'Financial impact (cash)'!H$19)+('Unit costs'!$K159*'Financial impact (cash)'!H$20)+('Unit costs'!$L159*'Financial impact (cash)'!H$21)+('Unit costs'!$M159*'Financial impact (cash)'!H$22)+('Unit costs'!$N159*'Financial impact (cash)'!H$23)+('Unit costs'!$O159*'Financial impact (cash)'!H$24)+('Unit costs'!$P159*'Financial impact (cash)'!H$25)+('Unit costs'!$Q159*'Financial impact (cash)'!H$26)+('Unit costs'!$R159*'Financial impact (cash)'!H$27)+('Unit costs'!$S159*'Financial impact (cash)'!H$28)+('Unit costs'!$T159*'Financial impact (cash)'!H$29)+('Unit costs'!$U159*'Financial impact (cash)'!H$30)+('Unit costs'!$V159*'Financial impact (cash)'!H$31)</f>
        <v>0</v>
      </c>
      <c r="I270" s="128">
        <f>('Unit costs'!$D159*'Financial impact (cash)'!I$13)+('Unit costs'!$E159*'Financial impact (cash)'!I$14)+('Unit costs'!$F159*'Financial impact (cash)'!I$15)+('Unit costs'!$G159*'Financial impact (cash)'!I$16)+('Unit costs'!$H159*'Financial impact (cash)'!I$17)+('Unit costs'!$I159*'Financial impact (cash)'!I$18)+('Unit costs'!$J159*'Financial impact (cash)'!I$19)+('Unit costs'!$K159*'Financial impact (cash)'!I$20)+('Unit costs'!$L159*'Financial impact (cash)'!I$21)+('Unit costs'!$M159*'Financial impact (cash)'!I$22)+('Unit costs'!$N159*'Financial impact (cash)'!I$23)+('Unit costs'!$O159*'Financial impact (cash)'!I$24)+('Unit costs'!$P159*'Financial impact (cash)'!I$25)+('Unit costs'!$Q159*'Financial impact (cash)'!I$26)+('Unit costs'!$R159*'Financial impact (cash)'!I$27)+('Unit costs'!$S159*'Financial impact (cash)'!I$28)+('Unit costs'!$T159*'Financial impact (cash)'!I$29)+('Unit costs'!$U159*'Financial impact (cash)'!I$30)+('Unit costs'!$V159*'Financial impact (cash)'!I$31)</f>
        <v>0</v>
      </c>
      <c r="J270" s="290"/>
      <c r="K270" s="291">
        <f>'Unit costs'!C174</f>
        <v>98.472662889518404</v>
      </c>
      <c r="L270" s="291">
        <f>(D270*$K$270)/1000</f>
        <v>0</v>
      </c>
      <c r="M270" s="291">
        <f t="shared" ref="M270:Q270" si="56">(E270*$K$270)/1000</f>
        <v>0</v>
      </c>
      <c r="N270" s="291">
        <f t="shared" si="56"/>
        <v>0</v>
      </c>
      <c r="O270" s="291">
        <f t="shared" si="56"/>
        <v>0</v>
      </c>
      <c r="P270" s="291">
        <f t="shared" si="56"/>
        <v>0</v>
      </c>
      <c r="Q270" s="291">
        <f t="shared" si="56"/>
        <v>0</v>
      </c>
      <c r="R270" s="133"/>
      <c r="S270" s="133"/>
      <c r="T270" s="133"/>
      <c r="U270" s="133"/>
      <c r="V270" s="133"/>
      <c r="W270" s="133"/>
      <c r="X270" s="133"/>
      <c r="Y270" s="133"/>
      <c r="Z270" s="133"/>
      <c r="AJ270" s="285"/>
      <c r="AK270" s="285"/>
      <c r="AL270" s="285"/>
      <c r="AM270" s="285"/>
      <c r="AN270" s="285"/>
    </row>
    <row r="271" spans="1:40" x14ac:dyDescent="0.35">
      <c r="A271" s="290"/>
      <c r="B271" s="249" t="s">
        <v>901</v>
      </c>
      <c r="C271" s="167"/>
      <c r="D271" s="128">
        <f>('Unit costs'!$D160*'Financial impact (cash)'!D$13)+('Unit costs'!$E160*'Financial impact (cash)'!D$14)+('Unit costs'!$F160*'Financial impact (cash)'!D$15)+('Unit costs'!$G160*'Financial impact (cash)'!D$16)+('Unit costs'!$H160*'Financial impact (cash)'!D$17)+('Unit costs'!$I160*'Financial impact (cash)'!D$18)+('Unit costs'!$J160*'Financial impact (cash)'!D$19)+('Unit costs'!$K160*'Financial impact (cash)'!D$20)+('Unit costs'!$L160*'Financial impact (cash)'!D$21)+('Unit costs'!$M160*'Financial impact (cash)'!D$22)+('Unit costs'!$N160*'Financial impact (cash)'!D$23)+('Unit costs'!$O160*'Financial impact (cash)'!D$24)+('Unit costs'!$P160*'Financial impact (cash)'!D$25)+('Unit costs'!$Q160*'Financial impact (cash)'!D$26)+('Unit costs'!$R160*'Financial impact (cash)'!D$27)+('Unit costs'!$S160*'Financial impact (cash)'!D$28)+('Unit costs'!$T160*'Financial impact (cash)'!D$29)+('Unit costs'!$U160*'Financial impact (cash)'!D$30)+('Unit costs'!$V160*'Financial impact (cash)'!D$31)</f>
        <v>0</v>
      </c>
      <c r="E271" s="128">
        <f>('Unit costs'!$D160*'Financial impact (cash)'!E$13)+('Unit costs'!$E160*'Financial impact (cash)'!E$14)+('Unit costs'!$F160*'Financial impact (cash)'!E$15)+('Unit costs'!$G160*'Financial impact (cash)'!E$16)+('Unit costs'!$H160*'Financial impact (cash)'!E$17)+('Unit costs'!$I160*'Financial impact (cash)'!E$18)+('Unit costs'!$J160*'Financial impact (cash)'!E$19)+('Unit costs'!$K160*'Financial impact (cash)'!E$20)+('Unit costs'!$L160*'Financial impact (cash)'!E$21)+('Unit costs'!$M160*'Financial impact (cash)'!E$22)+('Unit costs'!$N160*'Financial impact (cash)'!E$23)+('Unit costs'!$O160*'Financial impact (cash)'!E$24)+('Unit costs'!$P160*'Financial impact (cash)'!E$25)+('Unit costs'!$Q160*'Financial impact (cash)'!E$26)+('Unit costs'!$R160*'Financial impact (cash)'!E$27)+('Unit costs'!$S160*'Financial impact (cash)'!E$28)+('Unit costs'!$T160*'Financial impact (cash)'!E$29)+('Unit costs'!$U160*'Financial impact (cash)'!E$30)+('Unit costs'!$V160*'Financial impact (cash)'!E$31)</f>
        <v>0</v>
      </c>
      <c r="F271" s="128">
        <f>('Unit costs'!$D160*'Financial impact (cash)'!F$13)+('Unit costs'!$E160*'Financial impact (cash)'!F$14)+('Unit costs'!$F160*'Financial impact (cash)'!F$15)+('Unit costs'!$G160*'Financial impact (cash)'!F$16)+('Unit costs'!$H160*'Financial impact (cash)'!F$17)+('Unit costs'!$I160*'Financial impact (cash)'!F$18)+('Unit costs'!$J160*'Financial impact (cash)'!F$19)+('Unit costs'!$K160*'Financial impact (cash)'!F$20)+('Unit costs'!$L160*'Financial impact (cash)'!F$21)+('Unit costs'!$M160*'Financial impact (cash)'!F$22)+('Unit costs'!$N160*'Financial impact (cash)'!F$23)+('Unit costs'!$O160*'Financial impact (cash)'!F$24)+('Unit costs'!$P160*'Financial impact (cash)'!F$25)+('Unit costs'!$Q160*'Financial impact (cash)'!F$26)+('Unit costs'!$R160*'Financial impact (cash)'!F$27)+('Unit costs'!$S160*'Financial impact (cash)'!F$28)+('Unit costs'!$T160*'Financial impact (cash)'!F$29)+('Unit costs'!$U160*'Financial impact (cash)'!F$30)+('Unit costs'!$V160*'Financial impact (cash)'!F$31)</f>
        <v>0</v>
      </c>
      <c r="G271" s="128">
        <f>('Unit costs'!$D160*'Financial impact (cash)'!G$13)+('Unit costs'!$E160*'Financial impact (cash)'!G$14)+('Unit costs'!$F160*'Financial impact (cash)'!G$15)+('Unit costs'!$G160*'Financial impact (cash)'!G$16)+('Unit costs'!$H160*'Financial impact (cash)'!G$17)+('Unit costs'!$I160*'Financial impact (cash)'!G$18)+('Unit costs'!$J160*'Financial impact (cash)'!G$19)+('Unit costs'!$K160*'Financial impact (cash)'!G$20)+('Unit costs'!$L160*'Financial impact (cash)'!G$21)+('Unit costs'!$M160*'Financial impact (cash)'!G$22)+('Unit costs'!$N160*'Financial impact (cash)'!G$23)+('Unit costs'!$O160*'Financial impact (cash)'!G$24)+('Unit costs'!$P160*'Financial impact (cash)'!G$25)+('Unit costs'!$Q160*'Financial impact (cash)'!G$26)+('Unit costs'!$R160*'Financial impact (cash)'!G$27)+('Unit costs'!$S160*'Financial impact (cash)'!G$28)+('Unit costs'!$T160*'Financial impact (cash)'!G$29)+('Unit costs'!$U160*'Financial impact (cash)'!G$30)+('Unit costs'!$V160*'Financial impact (cash)'!G$31)</f>
        <v>0</v>
      </c>
      <c r="H271" s="128">
        <f>('Unit costs'!$D160*'Financial impact (cash)'!H$13)+('Unit costs'!$E160*'Financial impact (cash)'!H$14)+('Unit costs'!$F160*'Financial impact (cash)'!H$15)+('Unit costs'!$G160*'Financial impact (cash)'!H$16)+('Unit costs'!$H160*'Financial impact (cash)'!H$17)+('Unit costs'!$I160*'Financial impact (cash)'!H$18)+('Unit costs'!$J160*'Financial impact (cash)'!H$19)+('Unit costs'!$K160*'Financial impact (cash)'!H$20)+('Unit costs'!$L160*'Financial impact (cash)'!H$21)+('Unit costs'!$M160*'Financial impact (cash)'!H$22)+('Unit costs'!$N160*'Financial impact (cash)'!H$23)+('Unit costs'!$O160*'Financial impact (cash)'!H$24)+('Unit costs'!$P160*'Financial impact (cash)'!H$25)+('Unit costs'!$Q160*'Financial impact (cash)'!H$26)+('Unit costs'!$R160*'Financial impact (cash)'!H$27)+('Unit costs'!$S160*'Financial impact (cash)'!H$28)+('Unit costs'!$T160*'Financial impact (cash)'!H$29)+('Unit costs'!$U160*'Financial impact (cash)'!H$30)+('Unit costs'!$V160*'Financial impact (cash)'!H$31)</f>
        <v>0</v>
      </c>
      <c r="I271" s="128">
        <f>('Unit costs'!$D160*'Financial impact (cash)'!I$13)+('Unit costs'!$E160*'Financial impact (cash)'!I$14)+('Unit costs'!$F160*'Financial impact (cash)'!I$15)+('Unit costs'!$G160*'Financial impact (cash)'!I$16)+('Unit costs'!$H160*'Financial impact (cash)'!I$17)+('Unit costs'!$I160*'Financial impact (cash)'!I$18)+('Unit costs'!$J160*'Financial impact (cash)'!I$19)+('Unit costs'!$K160*'Financial impact (cash)'!I$20)+('Unit costs'!$L160*'Financial impact (cash)'!I$21)+('Unit costs'!$M160*'Financial impact (cash)'!I$22)+('Unit costs'!$N160*'Financial impact (cash)'!I$23)+('Unit costs'!$O160*'Financial impact (cash)'!I$24)+('Unit costs'!$P160*'Financial impact (cash)'!I$25)+('Unit costs'!$Q160*'Financial impact (cash)'!I$26)+('Unit costs'!$R160*'Financial impact (cash)'!I$27)+('Unit costs'!$S160*'Financial impact (cash)'!I$28)+('Unit costs'!$T160*'Financial impact (cash)'!I$29)+('Unit costs'!$U160*'Financial impact (cash)'!I$30)+('Unit costs'!$V160*'Financial impact (cash)'!I$31)</f>
        <v>0</v>
      </c>
      <c r="J271" s="290"/>
      <c r="K271" s="291">
        <f>'Unit costs'!C175</f>
        <v>3821.5427762039653</v>
      </c>
      <c r="L271" s="291">
        <f>(D271*$K$271)/1000</f>
        <v>0</v>
      </c>
      <c r="M271" s="291">
        <f t="shared" ref="M271:Q271" si="57">(E271*$K$271)/1000</f>
        <v>0</v>
      </c>
      <c r="N271" s="291">
        <f t="shared" si="57"/>
        <v>0</v>
      </c>
      <c r="O271" s="291">
        <f t="shared" si="57"/>
        <v>0</v>
      </c>
      <c r="P271" s="291">
        <f t="shared" si="57"/>
        <v>0</v>
      </c>
      <c r="Q271" s="291">
        <f t="shared" si="57"/>
        <v>0</v>
      </c>
      <c r="R271" s="133"/>
      <c r="S271" s="133"/>
      <c r="T271" s="133"/>
      <c r="U271" s="133"/>
      <c r="V271" s="133"/>
      <c r="W271" s="133"/>
      <c r="X271" s="133"/>
      <c r="Y271" s="133"/>
      <c r="Z271" s="133"/>
      <c r="AJ271" s="285"/>
      <c r="AK271" s="285"/>
      <c r="AL271" s="285"/>
      <c r="AM271" s="285"/>
      <c r="AN271" s="285"/>
    </row>
    <row r="272" spans="1:40" x14ac:dyDescent="0.35">
      <c r="A272" s="290"/>
      <c r="B272" s="249" t="s">
        <v>902</v>
      </c>
      <c r="C272" s="167"/>
      <c r="D272" s="128">
        <f>('Unit costs'!$D161*'Financial impact (cash)'!D$13)+('Unit costs'!$E161*'Financial impact (cash)'!D$14)+('Unit costs'!$F161*'Financial impact (cash)'!D$15)+('Unit costs'!$G161*'Financial impact (cash)'!D$16)+('Unit costs'!$H161*'Financial impact (cash)'!D$17)+('Unit costs'!$I161*'Financial impact (cash)'!D$18)+('Unit costs'!$J161*'Financial impact (cash)'!D$19)+('Unit costs'!$K161*'Financial impact (cash)'!D$20)+('Unit costs'!$L161*'Financial impact (cash)'!D$21)+('Unit costs'!$M161*'Financial impact (cash)'!D$22)+('Unit costs'!$N161*'Financial impact (cash)'!D$23)+('Unit costs'!$O161*'Financial impact (cash)'!D$24)+('Unit costs'!$P161*'Financial impact (cash)'!D$25)+('Unit costs'!$Q161*'Financial impact (cash)'!D$26)+('Unit costs'!$R161*'Financial impact (cash)'!D$27)+('Unit costs'!$S161*'Financial impact (cash)'!D$28)+('Unit costs'!$T161*'Financial impact (cash)'!D$29)+('Unit costs'!$U161*'Financial impact (cash)'!D$30)+('Unit costs'!$V161*'Financial impact (cash)'!D$31)</f>
        <v>0</v>
      </c>
      <c r="E272" s="128">
        <f>('Unit costs'!$D161*'Financial impact (cash)'!E$13)+('Unit costs'!$E161*'Financial impact (cash)'!E$14)+('Unit costs'!$F161*'Financial impact (cash)'!E$15)+('Unit costs'!$G161*'Financial impact (cash)'!E$16)+('Unit costs'!$H161*'Financial impact (cash)'!E$17)+('Unit costs'!$I161*'Financial impact (cash)'!E$18)+('Unit costs'!$J161*'Financial impact (cash)'!E$19)+('Unit costs'!$K161*'Financial impact (cash)'!E$20)+('Unit costs'!$L161*'Financial impact (cash)'!E$21)+('Unit costs'!$M161*'Financial impact (cash)'!E$22)+('Unit costs'!$N161*'Financial impact (cash)'!E$23)+('Unit costs'!$O161*'Financial impact (cash)'!E$24)+('Unit costs'!$P161*'Financial impact (cash)'!E$25)+('Unit costs'!$Q161*'Financial impact (cash)'!E$26)+('Unit costs'!$R161*'Financial impact (cash)'!E$27)+('Unit costs'!$S161*'Financial impact (cash)'!E$28)+('Unit costs'!$T161*'Financial impact (cash)'!E$29)+('Unit costs'!$U161*'Financial impact (cash)'!E$30)+('Unit costs'!$V161*'Financial impact (cash)'!E$31)</f>
        <v>0</v>
      </c>
      <c r="F272" s="128">
        <f>('Unit costs'!$D161*'Financial impact (cash)'!F$13)+('Unit costs'!$E161*'Financial impact (cash)'!F$14)+('Unit costs'!$F161*'Financial impact (cash)'!F$15)+('Unit costs'!$G161*'Financial impact (cash)'!F$16)+('Unit costs'!$H161*'Financial impact (cash)'!F$17)+('Unit costs'!$I161*'Financial impact (cash)'!F$18)+('Unit costs'!$J161*'Financial impact (cash)'!F$19)+('Unit costs'!$K161*'Financial impact (cash)'!F$20)+('Unit costs'!$L161*'Financial impact (cash)'!F$21)+('Unit costs'!$M161*'Financial impact (cash)'!F$22)+('Unit costs'!$N161*'Financial impact (cash)'!F$23)+('Unit costs'!$O161*'Financial impact (cash)'!F$24)+('Unit costs'!$P161*'Financial impact (cash)'!F$25)+('Unit costs'!$Q161*'Financial impact (cash)'!F$26)+('Unit costs'!$R161*'Financial impact (cash)'!F$27)+('Unit costs'!$S161*'Financial impact (cash)'!F$28)+('Unit costs'!$T161*'Financial impact (cash)'!F$29)+('Unit costs'!$U161*'Financial impact (cash)'!F$30)+('Unit costs'!$V161*'Financial impact (cash)'!F$31)</f>
        <v>0</v>
      </c>
      <c r="G272" s="128">
        <f>('Unit costs'!$D161*'Financial impact (cash)'!G$13)+('Unit costs'!$E161*'Financial impact (cash)'!G$14)+('Unit costs'!$F161*'Financial impact (cash)'!G$15)+('Unit costs'!$G161*'Financial impact (cash)'!G$16)+('Unit costs'!$H161*'Financial impact (cash)'!G$17)+('Unit costs'!$I161*'Financial impact (cash)'!G$18)+('Unit costs'!$J161*'Financial impact (cash)'!G$19)+('Unit costs'!$K161*'Financial impact (cash)'!G$20)+('Unit costs'!$L161*'Financial impact (cash)'!G$21)+('Unit costs'!$M161*'Financial impact (cash)'!G$22)+('Unit costs'!$N161*'Financial impact (cash)'!G$23)+('Unit costs'!$O161*'Financial impact (cash)'!G$24)+('Unit costs'!$P161*'Financial impact (cash)'!G$25)+('Unit costs'!$Q161*'Financial impact (cash)'!G$26)+('Unit costs'!$R161*'Financial impact (cash)'!G$27)+('Unit costs'!$S161*'Financial impact (cash)'!G$28)+('Unit costs'!$T161*'Financial impact (cash)'!G$29)+('Unit costs'!$U161*'Financial impact (cash)'!G$30)+('Unit costs'!$V161*'Financial impact (cash)'!G$31)</f>
        <v>0</v>
      </c>
      <c r="H272" s="128">
        <f>('Unit costs'!$D161*'Financial impact (cash)'!H$13)+('Unit costs'!$E161*'Financial impact (cash)'!H$14)+('Unit costs'!$F161*'Financial impact (cash)'!H$15)+('Unit costs'!$G161*'Financial impact (cash)'!H$16)+('Unit costs'!$H161*'Financial impact (cash)'!H$17)+('Unit costs'!$I161*'Financial impact (cash)'!H$18)+('Unit costs'!$J161*'Financial impact (cash)'!H$19)+('Unit costs'!$K161*'Financial impact (cash)'!H$20)+('Unit costs'!$L161*'Financial impact (cash)'!H$21)+('Unit costs'!$M161*'Financial impact (cash)'!H$22)+('Unit costs'!$N161*'Financial impact (cash)'!H$23)+('Unit costs'!$O161*'Financial impact (cash)'!H$24)+('Unit costs'!$P161*'Financial impact (cash)'!H$25)+('Unit costs'!$Q161*'Financial impact (cash)'!H$26)+('Unit costs'!$R161*'Financial impact (cash)'!H$27)+('Unit costs'!$S161*'Financial impact (cash)'!H$28)+('Unit costs'!$T161*'Financial impact (cash)'!H$29)+('Unit costs'!$U161*'Financial impact (cash)'!H$30)+('Unit costs'!$V161*'Financial impact (cash)'!H$31)</f>
        <v>0</v>
      </c>
      <c r="I272" s="128">
        <f>('Unit costs'!$D161*'Financial impact (cash)'!I$13)+('Unit costs'!$E161*'Financial impact (cash)'!I$14)+('Unit costs'!$F161*'Financial impact (cash)'!I$15)+('Unit costs'!$G161*'Financial impact (cash)'!I$16)+('Unit costs'!$H161*'Financial impact (cash)'!I$17)+('Unit costs'!$I161*'Financial impact (cash)'!I$18)+('Unit costs'!$J161*'Financial impact (cash)'!I$19)+('Unit costs'!$K161*'Financial impact (cash)'!I$20)+('Unit costs'!$L161*'Financial impact (cash)'!I$21)+('Unit costs'!$M161*'Financial impact (cash)'!I$22)+('Unit costs'!$N161*'Financial impact (cash)'!I$23)+('Unit costs'!$O161*'Financial impact (cash)'!I$24)+('Unit costs'!$P161*'Financial impact (cash)'!I$25)+('Unit costs'!$Q161*'Financial impact (cash)'!I$26)+('Unit costs'!$R161*'Financial impact (cash)'!I$27)+('Unit costs'!$S161*'Financial impact (cash)'!I$28)+('Unit costs'!$T161*'Financial impact (cash)'!I$29)+('Unit costs'!$U161*'Financial impact (cash)'!I$30)+('Unit costs'!$V161*'Financial impact (cash)'!I$31)</f>
        <v>0</v>
      </c>
      <c r="J272" s="290"/>
      <c r="K272" s="291">
        <f>'Unit costs'!C176</f>
        <v>67.02450424929178</v>
      </c>
      <c r="L272" s="291">
        <f>(D272*$K$272)/1000</f>
        <v>0</v>
      </c>
      <c r="M272" s="291">
        <f t="shared" ref="M272:Q272" si="58">(E272*$K$272)/1000</f>
        <v>0</v>
      </c>
      <c r="N272" s="291">
        <f t="shared" si="58"/>
        <v>0</v>
      </c>
      <c r="O272" s="291">
        <f t="shared" si="58"/>
        <v>0</v>
      </c>
      <c r="P272" s="291">
        <f t="shared" si="58"/>
        <v>0</v>
      </c>
      <c r="Q272" s="291">
        <f t="shared" si="58"/>
        <v>0</v>
      </c>
      <c r="R272" s="133"/>
      <c r="S272" s="133"/>
      <c r="T272" s="133"/>
      <c r="U272" s="133"/>
      <c r="V272" s="133"/>
      <c r="W272" s="133"/>
      <c r="X272" s="133"/>
      <c r="Y272" s="133"/>
      <c r="Z272" s="133"/>
      <c r="AJ272" s="285"/>
      <c r="AK272" s="285"/>
      <c r="AL272" s="285"/>
      <c r="AM272" s="285"/>
      <c r="AN272" s="285"/>
    </row>
    <row r="273" spans="1:40" x14ac:dyDescent="0.35">
      <c r="A273" s="290"/>
      <c r="B273" s="249" t="s">
        <v>903</v>
      </c>
      <c r="C273" s="167"/>
      <c r="D273" s="128">
        <f>('Unit costs'!$D162*'Financial impact (cash)'!D$13)+('Unit costs'!$E162*'Financial impact (cash)'!D$14)+('Unit costs'!$F162*'Financial impact (cash)'!D$15)+('Unit costs'!$G162*'Financial impact (cash)'!D$16)+('Unit costs'!$H162*'Financial impact (cash)'!D$17)+('Unit costs'!$I162*'Financial impact (cash)'!D$18)+('Unit costs'!$J162*'Financial impact (cash)'!D$19)+('Unit costs'!$K162*'Financial impact (cash)'!D$20)+('Unit costs'!$L162*'Financial impact (cash)'!D$21)+('Unit costs'!$M162*'Financial impact (cash)'!D$22)+('Unit costs'!$N162*'Financial impact (cash)'!D$23)+('Unit costs'!$O162*'Financial impact (cash)'!D$24)+('Unit costs'!$P162*'Financial impact (cash)'!D$25)+('Unit costs'!$Q162*'Financial impact (cash)'!D$26)+('Unit costs'!$R162*'Financial impact (cash)'!D$27)+('Unit costs'!$S162*'Financial impact (cash)'!D$28)+('Unit costs'!$T162*'Financial impact (cash)'!D$29)+('Unit costs'!$U162*'Financial impact (cash)'!D$30)+('Unit costs'!$V162*'Financial impact (cash)'!D$31)</f>
        <v>0</v>
      </c>
      <c r="E273" s="128">
        <f>('Unit costs'!$D162*'Financial impact (cash)'!E$13)+('Unit costs'!$E162*'Financial impact (cash)'!E$14)+('Unit costs'!$F162*'Financial impact (cash)'!E$15)+('Unit costs'!$G162*'Financial impact (cash)'!E$16)+('Unit costs'!$H162*'Financial impact (cash)'!E$17)+('Unit costs'!$I162*'Financial impact (cash)'!E$18)+('Unit costs'!$J162*'Financial impact (cash)'!E$19)+('Unit costs'!$K162*'Financial impact (cash)'!E$20)+('Unit costs'!$L162*'Financial impact (cash)'!E$21)+('Unit costs'!$M162*'Financial impact (cash)'!E$22)+('Unit costs'!$N162*'Financial impact (cash)'!E$23)+('Unit costs'!$O162*'Financial impact (cash)'!E$24)+('Unit costs'!$P162*'Financial impact (cash)'!E$25)+('Unit costs'!$Q162*'Financial impact (cash)'!E$26)+('Unit costs'!$R162*'Financial impact (cash)'!E$27)+('Unit costs'!$S162*'Financial impact (cash)'!E$28)+('Unit costs'!$T162*'Financial impact (cash)'!E$29)+('Unit costs'!$U162*'Financial impact (cash)'!E$30)+('Unit costs'!$V162*'Financial impact (cash)'!E$31)</f>
        <v>0</v>
      </c>
      <c r="F273" s="128">
        <f>('Unit costs'!$D162*'Financial impact (cash)'!F$13)+('Unit costs'!$E162*'Financial impact (cash)'!F$14)+('Unit costs'!$F162*'Financial impact (cash)'!F$15)+('Unit costs'!$G162*'Financial impact (cash)'!F$16)+('Unit costs'!$H162*'Financial impact (cash)'!F$17)+('Unit costs'!$I162*'Financial impact (cash)'!F$18)+('Unit costs'!$J162*'Financial impact (cash)'!F$19)+('Unit costs'!$K162*'Financial impact (cash)'!F$20)+('Unit costs'!$L162*'Financial impact (cash)'!F$21)+('Unit costs'!$M162*'Financial impact (cash)'!F$22)+('Unit costs'!$N162*'Financial impact (cash)'!F$23)+('Unit costs'!$O162*'Financial impact (cash)'!F$24)+('Unit costs'!$P162*'Financial impact (cash)'!F$25)+('Unit costs'!$Q162*'Financial impact (cash)'!F$26)+('Unit costs'!$R162*'Financial impact (cash)'!F$27)+('Unit costs'!$S162*'Financial impact (cash)'!F$28)+('Unit costs'!$T162*'Financial impact (cash)'!F$29)+('Unit costs'!$U162*'Financial impact (cash)'!F$30)+('Unit costs'!$V162*'Financial impact (cash)'!F$31)</f>
        <v>0</v>
      </c>
      <c r="G273" s="128">
        <f>('Unit costs'!$D162*'Financial impact (cash)'!G$13)+('Unit costs'!$E162*'Financial impact (cash)'!G$14)+('Unit costs'!$F162*'Financial impact (cash)'!G$15)+('Unit costs'!$G162*'Financial impact (cash)'!G$16)+('Unit costs'!$H162*'Financial impact (cash)'!G$17)+('Unit costs'!$I162*'Financial impact (cash)'!G$18)+('Unit costs'!$J162*'Financial impact (cash)'!G$19)+('Unit costs'!$K162*'Financial impact (cash)'!G$20)+('Unit costs'!$L162*'Financial impact (cash)'!G$21)+('Unit costs'!$M162*'Financial impact (cash)'!G$22)+('Unit costs'!$N162*'Financial impact (cash)'!G$23)+('Unit costs'!$O162*'Financial impact (cash)'!G$24)+('Unit costs'!$P162*'Financial impact (cash)'!G$25)+('Unit costs'!$Q162*'Financial impact (cash)'!G$26)+('Unit costs'!$R162*'Financial impact (cash)'!G$27)+('Unit costs'!$S162*'Financial impact (cash)'!G$28)+('Unit costs'!$T162*'Financial impact (cash)'!G$29)+('Unit costs'!$U162*'Financial impact (cash)'!G$30)+('Unit costs'!$V162*'Financial impact (cash)'!G$31)</f>
        <v>0</v>
      </c>
      <c r="H273" s="128">
        <f>('Unit costs'!$D162*'Financial impact (cash)'!H$13)+('Unit costs'!$E162*'Financial impact (cash)'!H$14)+('Unit costs'!$F162*'Financial impact (cash)'!H$15)+('Unit costs'!$G162*'Financial impact (cash)'!H$16)+('Unit costs'!$H162*'Financial impact (cash)'!H$17)+('Unit costs'!$I162*'Financial impact (cash)'!H$18)+('Unit costs'!$J162*'Financial impact (cash)'!H$19)+('Unit costs'!$K162*'Financial impact (cash)'!H$20)+('Unit costs'!$L162*'Financial impact (cash)'!H$21)+('Unit costs'!$M162*'Financial impact (cash)'!H$22)+('Unit costs'!$N162*'Financial impact (cash)'!H$23)+('Unit costs'!$O162*'Financial impact (cash)'!H$24)+('Unit costs'!$P162*'Financial impact (cash)'!H$25)+('Unit costs'!$Q162*'Financial impact (cash)'!H$26)+('Unit costs'!$R162*'Financial impact (cash)'!H$27)+('Unit costs'!$S162*'Financial impact (cash)'!H$28)+('Unit costs'!$T162*'Financial impact (cash)'!H$29)+('Unit costs'!$U162*'Financial impact (cash)'!H$30)+('Unit costs'!$V162*'Financial impact (cash)'!H$31)</f>
        <v>0</v>
      </c>
      <c r="I273" s="128">
        <f>('Unit costs'!$D162*'Financial impact (cash)'!I$13)+('Unit costs'!$E162*'Financial impact (cash)'!I$14)+('Unit costs'!$F162*'Financial impact (cash)'!I$15)+('Unit costs'!$G162*'Financial impact (cash)'!I$16)+('Unit costs'!$H162*'Financial impact (cash)'!I$17)+('Unit costs'!$I162*'Financial impact (cash)'!I$18)+('Unit costs'!$J162*'Financial impact (cash)'!I$19)+('Unit costs'!$K162*'Financial impact (cash)'!I$20)+('Unit costs'!$L162*'Financial impact (cash)'!I$21)+('Unit costs'!$M162*'Financial impact (cash)'!I$22)+('Unit costs'!$N162*'Financial impact (cash)'!I$23)+('Unit costs'!$O162*'Financial impact (cash)'!I$24)+('Unit costs'!$P162*'Financial impact (cash)'!I$25)+('Unit costs'!$Q162*'Financial impact (cash)'!I$26)+('Unit costs'!$R162*'Financial impact (cash)'!I$27)+('Unit costs'!$S162*'Financial impact (cash)'!I$28)+('Unit costs'!$T162*'Financial impact (cash)'!I$29)+('Unit costs'!$U162*'Financial impact (cash)'!I$30)+('Unit costs'!$V162*'Financial impact (cash)'!I$31)</f>
        <v>0</v>
      </c>
      <c r="J273" s="290"/>
      <c r="K273" s="291">
        <f>'Unit costs'!C177</f>
        <v>271.40056657223795</v>
      </c>
      <c r="L273" s="291">
        <f>(D273*$K$273)/1000</f>
        <v>0</v>
      </c>
      <c r="M273" s="291">
        <f t="shared" ref="M273:Q273" si="59">(E273*$K$273)/1000</f>
        <v>0</v>
      </c>
      <c r="N273" s="291">
        <f t="shared" si="59"/>
        <v>0</v>
      </c>
      <c r="O273" s="291">
        <f t="shared" si="59"/>
        <v>0</v>
      </c>
      <c r="P273" s="291">
        <f t="shared" si="59"/>
        <v>0</v>
      </c>
      <c r="Q273" s="291">
        <f t="shared" si="59"/>
        <v>0</v>
      </c>
      <c r="R273" s="133"/>
      <c r="S273" s="133"/>
      <c r="T273" s="133"/>
      <c r="U273" s="133"/>
      <c r="V273" s="133"/>
      <c r="W273" s="133"/>
      <c r="X273" s="133"/>
      <c r="Y273" s="133"/>
      <c r="Z273" s="133"/>
      <c r="AJ273" s="285"/>
      <c r="AK273" s="285"/>
      <c r="AL273" s="285"/>
      <c r="AM273" s="285"/>
      <c r="AN273" s="285"/>
    </row>
    <row r="274" spans="1:40" x14ac:dyDescent="0.35">
      <c r="A274" s="290"/>
      <c r="B274" s="249" t="s">
        <v>904</v>
      </c>
      <c r="C274" s="167"/>
      <c r="D274" s="128">
        <f>('Unit costs'!$D163*'Financial impact (cash)'!D$13)+('Unit costs'!$E163*'Financial impact (cash)'!D$14)+('Unit costs'!$F163*'Financial impact (cash)'!D$15)+('Unit costs'!$G163*'Financial impact (cash)'!D$16)+('Unit costs'!$H163*'Financial impact (cash)'!D$17)+('Unit costs'!$I163*'Financial impact (cash)'!D$18)+('Unit costs'!$J163*'Financial impact (cash)'!D$19)+('Unit costs'!$K163*'Financial impact (cash)'!D$20)+('Unit costs'!$L163*'Financial impact (cash)'!D$21)+('Unit costs'!$M163*'Financial impact (cash)'!D$22)+('Unit costs'!$N163*'Financial impact (cash)'!D$23)+('Unit costs'!$O163*'Financial impact (cash)'!D$24)+('Unit costs'!$P163*'Financial impact (cash)'!D$25)+('Unit costs'!$Q163*'Financial impact (cash)'!D$26)+('Unit costs'!$R163*'Financial impact (cash)'!D$27)+('Unit costs'!$S163*'Financial impact (cash)'!D$28)+('Unit costs'!$T163*'Financial impact (cash)'!D$29)+('Unit costs'!$U163*'Financial impact (cash)'!D$30)+('Unit costs'!$V163*'Financial impact (cash)'!D$31)</f>
        <v>0</v>
      </c>
      <c r="E274" s="128">
        <f>('Unit costs'!$D163*'Financial impact (cash)'!E$13)+('Unit costs'!$E163*'Financial impact (cash)'!E$14)+('Unit costs'!$F163*'Financial impact (cash)'!E$15)+('Unit costs'!$G163*'Financial impact (cash)'!E$16)+('Unit costs'!$H163*'Financial impact (cash)'!E$17)+('Unit costs'!$I163*'Financial impact (cash)'!E$18)+('Unit costs'!$J163*'Financial impact (cash)'!E$19)+('Unit costs'!$K163*'Financial impact (cash)'!E$20)+('Unit costs'!$L163*'Financial impact (cash)'!E$21)+('Unit costs'!$M163*'Financial impact (cash)'!E$22)+('Unit costs'!$N163*'Financial impact (cash)'!E$23)+('Unit costs'!$O163*'Financial impact (cash)'!E$24)+('Unit costs'!$P163*'Financial impact (cash)'!E$25)+('Unit costs'!$Q163*'Financial impact (cash)'!E$26)+('Unit costs'!$R163*'Financial impact (cash)'!E$27)+('Unit costs'!$S163*'Financial impact (cash)'!E$28)+('Unit costs'!$T163*'Financial impact (cash)'!E$29)+('Unit costs'!$U163*'Financial impact (cash)'!E$30)+('Unit costs'!$V163*'Financial impact (cash)'!E$31)</f>
        <v>0</v>
      </c>
      <c r="F274" s="128">
        <f>('Unit costs'!$D163*'Financial impact (cash)'!F$13)+('Unit costs'!$E163*'Financial impact (cash)'!F$14)+('Unit costs'!$F163*'Financial impact (cash)'!F$15)+('Unit costs'!$G163*'Financial impact (cash)'!F$16)+('Unit costs'!$H163*'Financial impact (cash)'!F$17)+('Unit costs'!$I163*'Financial impact (cash)'!F$18)+('Unit costs'!$J163*'Financial impact (cash)'!F$19)+('Unit costs'!$K163*'Financial impact (cash)'!F$20)+('Unit costs'!$L163*'Financial impact (cash)'!F$21)+('Unit costs'!$M163*'Financial impact (cash)'!F$22)+('Unit costs'!$N163*'Financial impact (cash)'!F$23)+('Unit costs'!$O163*'Financial impact (cash)'!F$24)+('Unit costs'!$P163*'Financial impact (cash)'!F$25)+('Unit costs'!$Q163*'Financial impact (cash)'!F$26)+('Unit costs'!$R163*'Financial impact (cash)'!F$27)+('Unit costs'!$S163*'Financial impact (cash)'!F$28)+('Unit costs'!$T163*'Financial impact (cash)'!F$29)+('Unit costs'!$U163*'Financial impact (cash)'!F$30)+('Unit costs'!$V163*'Financial impact (cash)'!F$31)</f>
        <v>0</v>
      </c>
      <c r="G274" s="128">
        <f>('Unit costs'!$D163*'Financial impact (cash)'!G$13)+('Unit costs'!$E163*'Financial impact (cash)'!G$14)+('Unit costs'!$F163*'Financial impact (cash)'!G$15)+('Unit costs'!$G163*'Financial impact (cash)'!G$16)+('Unit costs'!$H163*'Financial impact (cash)'!G$17)+('Unit costs'!$I163*'Financial impact (cash)'!G$18)+('Unit costs'!$J163*'Financial impact (cash)'!G$19)+('Unit costs'!$K163*'Financial impact (cash)'!G$20)+('Unit costs'!$L163*'Financial impact (cash)'!G$21)+('Unit costs'!$M163*'Financial impact (cash)'!G$22)+('Unit costs'!$N163*'Financial impact (cash)'!G$23)+('Unit costs'!$O163*'Financial impact (cash)'!G$24)+('Unit costs'!$P163*'Financial impact (cash)'!G$25)+('Unit costs'!$Q163*'Financial impact (cash)'!G$26)+('Unit costs'!$R163*'Financial impact (cash)'!G$27)+('Unit costs'!$S163*'Financial impact (cash)'!G$28)+('Unit costs'!$T163*'Financial impact (cash)'!G$29)+('Unit costs'!$U163*'Financial impact (cash)'!G$30)+('Unit costs'!$V163*'Financial impact (cash)'!G$31)</f>
        <v>0</v>
      </c>
      <c r="H274" s="128">
        <f>('Unit costs'!$D163*'Financial impact (cash)'!H$13)+('Unit costs'!$E163*'Financial impact (cash)'!H$14)+('Unit costs'!$F163*'Financial impact (cash)'!H$15)+('Unit costs'!$G163*'Financial impact (cash)'!H$16)+('Unit costs'!$H163*'Financial impact (cash)'!H$17)+('Unit costs'!$I163*'Financial impact (cash)'!H$18)+('Unit costs'!$J163*'Financial impact (cash)'!H$19)+('Unit costs'!$K163*'Financial impact (cash)'!H$20)+('Unit costs'!$L163*'Financial impact (cash)'!H$21)+('Unit costs'!$M163*'Financial impact (cash)'!H$22)+('Unit costs'!$N163*'Financial impact (cash)'!H$23)+('Unit costs'!$O163*'Financial impact (cash)'!H$24)+('Unit costs'!$P163*'Financial impact (cash)'!H$25)+('Unit costs'!$Q163*'Financial impact (cash)'!H$26)+('Unit costs'!$R163*'Financial impact (cash)'!H$27)+('Unit costs'!$S163*'Financial impact (cash)'!H$28)+('Unit costs'!$T163*'Financial impact (cash)'!H$29)+('Unit costs'!$U163*'Financial impact (cash)'!H$30)+('Unit costs'!$V163*'Financial impact (cash)'!H$31)</f>
        <v>0</v>
      </c>
      <c r="I274" s="128">
        <f>('Unit costs'!$D163*'Financial impact (cash)'!I$13)+('Unit costs'!$E163*'Financial impact (cash)'!I$14)+('Unit costs'!$F163*'Financial impact (cash)'!I$15)+('Unit costs'!$G163*'Financial impact (cash)'!I$16)+('Unit costs'!$H163*'Financial impact (cash)'!I$17)+('Unit costs'!$I163*'Financial impact (cash)'!I$18)+('Unit costs'!$J163*'Financial impact (cash)'!I$19)+('Unit costs'!$K163*'Financial impact (cash)'!I$20)+('Unit costs'!$L163*'Financial impact (cash)'!I$21)+('Unit costs'!$M163*'Financial impact (cash)'!I$22)+('Unit costs'!$N163*'Financial impact (cash)'!I$23)+('Unit costs'!$O163*'Financial impact (cash)'!I$24)+('Unit costs'!$P163*'Financial impact (cash)'!I$25)+('Unit costs'!$Q163*'Financial impact (cash)'!I$26)+('Unit costs'!$R163*'Financial impact (cash)'!I$27)+('Unit costs'!$S163*'Financial impact (cash)'!I$28)+('Unit costs'!$T163*'Financial impact (cash)'!I$29)+('Unit costs'!$U163*'Financial impact (cash)'!I$30)+('Unit costs'!$V163*'Financial impact (cash)'!I$31)</f>
        <v>0</v>
      </c>
      <c r="J274" s="290"/>
      <c r="K274" s="291">
        <f>'Unit costs'!C178</f>
        <v>48.34291784702549</v>
      </c>
      <c r="L274" s="291">
        <f>(D274*$K$274)/1000</f>
        <v>0</v>
      </c>
      <c r="M274" s="291">
        <f t="shared" ref="M274:Q274" si="60">(E274*$K$274)/1000</f>
        <v>0</v>
      </c>
      <c r="N274" s="291">
        <f t="shared" si="60"/>
        <v>0</v>
      </c>
      <c r="O274" s="291">
        <f t="shared" si="60"/>
        <v>0</v>
      </c>
      <c r="P274" s="291">
        <f t="shared" si="60"/>
        <v>0</v>
      </c>
      <c r="Q274" s="291">
        <f t="shared" si="60"/>
        <v>0</v>
      </c>
      <c r="R274" s="133"/>
      <c r="S274" s="133"/>
      <c r="T274" s="133"/>
      <c r="U274" s="133"/>
      <c r="V274" s="133"/>
      <c r="W274" s="133"/>
      <c r="X274" s="133"/>
      <c r="Y274" s="133"/>
      <c r="Z274" s="133"/>
      <c r="AJ274" s="285"/>
      <c r="AK274" s="285"/>
      <c r="AL274" s="285"/>
      <c r="AM274" s="285"/>
      <c r="AN274" s="285"/>
    </row>
    <row r="275" spans="1:40" x14ac:dyDescent="0.35">
      <c r="A275" s="290"/>
      <c r="B275" s="249" t="s">
        <v>905</v>
      </c>
      <c r="C275" s="167"/>
      <c r="D275" s="128">
        <f>('Unit costs'!$D164*'Financial impact (cash)'!D$13)+('Unit costs'!$E164*'Financial impact (cash)'!D$14)+('Unit costs'!$F164*'Financial impact (cash)'!D$15)+('Unit costs'!$G164*'Financial impact (cash)'!D$16)+('Unit costs'!$H164*'Financial impact (cash)'!D$17)+('Unit costs'!$I164*'Financial impact (cash)'!D$18)+('Unit costs'!$J164*'Financial impact (cash)'!D$19)+('Unit costs'!$K164*'Financial impact (cash)'!D$20)+('Unit costs'!$L164*'Financial impact (cash)'!D$21)+('Unit costs'!$M164*'Financial impact (cash)'!D$22)+('Unit costs'!$N164*'Financial impact (cash)'!D$23)+('Unit costs'!$O164*'Financial impact (cash)'!D$24)+('Unit costs'!$P164*'Financial impact (cash)'!D$25)+('Unit costs'!$Q164*'Financial impact (cash)'!D$26)+('Unit costs'!$R164*'Financial impact (cash)'!D$27)+('Unit costs'!$S164*'Financial impact (cash)'!D$28)+('Unit costs'!$T164*'Financial impact (cash)'!D$29)+('Unit costs'!$U164*'Financial impact (cash)'!D$30)+('Unit costs'!$V164*'Financial impact (cash)'!D$31)</f>
        <v>0</v>
      </c>
      <c r="E275" s="128">
        <f>('Unit costs'!$D164*'Financial impact (cash)'!E$13)+('Unit costs'!$E164*'Financial impact (cash)'!E$14)+('Unit costs'!$F164*'Financial impact (cash)'!E$15)+('Unit costs'!$G164*'Financial impact (cash)'!E$16)+('Unit costs'!$H164*'Financial impact (cash)'!E$17)+('Unit costs'!$I164*'Financial impact (cash)'!E$18)+('Unit costs'!$J164*'Financial impact (cash)'!E$19)+('Unit costs'!$K164*'Financial impact (cash)'!E$20)+('Unit costs'!$L164*'Financial impact (cash)'!E$21)+('Unit costs'!$M164*'Financial impact (cash)'!E$22)+('Unit costs'!$N164*'Financial impact (cash)'!E$23)+('Unit costs'!$O164*'Financial impact (cash)'!E$24)+('Unit costs'!$P164*'Financial impact (cash)'!E$25)+('Unit costs'!$Q164*'Financial impact (cash)'!E$26)+('Unit costs'!$R164*'Financial impact (cash)'!E$27)+('Unit costs'!$S164*'Financial impact (cash)'!E$28)+('Unit costs'!$T164*'Financial impact (cash)'!E$29)+('Unit costs'!$U164*'Financial impact (cash)'!E$30)+('Unit costs'!$V164*'Financial impact (cash)'!E$31)</f>
        <v>0</v>
      </c>
      <c r="F275" s="128">
        <f>('Unit costs'!$D164*'Financial impact (cash)'!F$13)+('Unit costs'!$E164*'Financial impact (cash)'!F$14)+('Unit costs'!$F164*'Financial impact (cash)'!F$15)+('Unit costs'!$G164*'Financial impact (cash)'!F$16)+('Unit costs'!$H164*'Financial impact (cash)'!F$17)+('Unit costs'!$I164*'Financial impact (cash)'!F$18)+('Unit costs'!$J164*'Financial impact (cash)'!F$19)+('Unit costs'!$K164*'Financial impact (cash)'!F$20)+('Unit costs'!$L164*'Financial impact (cash)'!F$21)+('Unit costs'!$M164*'Financial impact (cash)'!F$22)+('Unit costs'!$N164*'Financial impact (cash)'!F$23)+('Unit costs'!$O164*'Financial impact (cash)'!F$24)+('Unit costs'!$P164*'Financial impact (cash)'!F$25)+('Unit costs'!$Q164*'Financial impact (cash)'!F$26)+('Unit costs'!$R164*'Financial impact (cash)'!F$27)+('Unit costs'!$S164*'Financial impact (cash)'!F$28)+('Unit costs'!$T164*'Financial impact (cash)'!F$29)+('Unit costs'!$U164*'Financial impact (cash)'!F$30)+('Unit costs'!$V164*'Financial impact (cash)'!F$31)</f>
        <v>0</v>
      </c>
      <c r="G275" s="128">
        <f>('Unit costs'!$D164*'Financial impact (cash)'!G$13)+('Unit costs'!$E164*'Financial impact (cash)'!G$14)+('Unit costs'!$F164*'Financial impact (cash)'!G$15)+('Unit costs'!$G164*'Financial impact (cash)'!G$16)+('Unit costs'!$H164*'Financial impact (cash)'!G$17)+('Unit costs'!$I164*'Financial impact (cash)'!G$18)+('Unit costs'!$J164*'Financial impact (cash)'!G$19)+('Unit costs'!$K164*'Financial impact (cash)'!G$20)+('Unit costs'!$L164*'Financial impact (cash)'!G$21)+('Unit costs'!$M164*'Financial impact (cash)'!G$22)+('Unit costs'!$N164*'Financial impact (cash)'!G$23)+('Unit costs'!$O164*'Financial impact (cash)'!G$24)+('Unit costs'!$P164*'Financial impact (cash)'!G$25)+('Unit costs'!$Q164*'Financial impact (cash)'!G$26)+('Unit costs'!$R164*'Financial impact (cash)'!G$27)+('Unit costs'!$S164*'Financial impact (cash)'!G$28)+('Unit costs'!$T164*'Financial impact (cash)'!G$29)+('Unit costs'!$U164*'Financial impact (cash)'!G$30)+('Unit costs'!$V164*'Financial impact (cash)'!G$31)</f>
        <v>0</v>
      </c>
      <c r="H275" s="128">
        <f>('Unit costs'!$D164*'Financial impact (cash)'!H$13)+('Unit costs'!$E164*'Financial impact (cash)'!H$14)+('Unit costs'!$F164*'Financial impact (cash)'!H$15)+('Unit costs'!$G164*'Financial impact (cash)'!H$16)+('Unit costs'!$H164*'Financial impact (cash)'!H$17)+('Unit costs'!$I164*'Financial impact (cash)'!H$18)+('Unit costs'!$J164*'Financial impact (cash)'!H$19)+('Unit costs'!$K164*'Financial impact (cash)'!H$20)+('Unit costs'!$L164*'Financial impact (cash)'!H$21)+('Unit costs'!$M164*'Financial impact (cash)'!H$22)+('Unit costs'!$N164*'Financial impact (cash)'!H$23)+('Unit costs'!$O164*'Financial impact (cash)'!H$24)+('Unit costs'!$P164*'Financial impact (cash)'!H$25)+('Unit costs'!$Q164*'Financial impact (cash)'!H$26)+('Unit costs'!$R164*'Financial impact (cash)'!H$27)+('Unit costs'!$S164*'Financial impact (cash)'!H$28)+('Unit costs'!$T164*'Financial impact (cash)'!H$29)+('Unit costs'!$U164*'Financial impact (cash)'!H$30)+('Unit costs'!$V164*'Financial impact (cash)'!H$31)</f>
        <v>0</v>
      </c>
      <c r="I275" s="128">
        <f>('Unit costs'!$D164*'Financial impact (cash)'!I$13)+('Unit costs'!$E164*'Financial impact (cash)'!I$14)+('Unit costs'!$F164*'Financial impact (cash)'!I$15)+('Unit costs'!$G164*'Financial impact (cash)'!I$16)+('Unit costs'!$H164*'Financial impact (cash)'!I$17)+('Unit costs'!$I164*'Financial impact (cash)'!I$18)+('Unit costs'!$J164*'Financial impact (cash)'!I$19)+('Unit costs'!$K164*'Financial impact (cash)'!I$20)+('Unit costs'!$L164*'Financial impact (cash)'!I$21)+('Unit costs'!$M164*'Financial impact (cash)'!I$22)+('Unit costs'!$N164*'Financial impact (cash)'!I$23)+('Unit costs'!$O164*'Financial impact (cash)'!I$24)+('Unit costs'!$P164*'Financial impact (cash)'!I$25)+('Unit costs'!$Q164*'Financial impact (cash)'!I$26)+('Unit costs'!$R164*'Financial impact (cash)'!I$27)+('Unit costs'!$S164*'Financial impact (cash)'!I$28)+('Unit costs'!$T164*'Financial impact (cash)'!I$29)+('Unit costs'!$U164*'Financial impact (cash)'!I$30)+('Unit costs'!$V164*'Financial impact (cash)'!I$31)</f>
        <v>0</v>
      </c>
      <c r="J275" s="290"/>
      <c r="K275" s="291">
        <f>'Unit costs'!C179</f>
        <v>48.34291784702549</v>
      </c>
      <c r="L275" s="291">
        <f>(D275*$K$275)/1000</f>
        <v>0</v>
      </c>
      <c r="M275" s="291">
        <f t="shared" ref="M275:Q275" si="61">(E275*$K$275)/1000</f>
        <v>0</v>
      </c>
      <c r="N275" s="291">
        <f t="shared" si="61"/>
        <v>0</v>
      </c>
      <c r="O275" s="291">
        <f t="shared" si="61"/>
        <v>0</v>
      </c>
      <c r="P275" s="291">
        <f t="shared" si="61"/>
        <v>0</v>
      </c>
      <c r="Q275" s="291">
        <f t="shared" si="61"/>
        <v>0</v>
      </c>
      <c r="R275" s="133"/>
      <c r="S275" s="133"/>
      <c r="T275" s="133"/>
      <c r="U275" s="133"/>
      <c r="V275" s="133"/>
      <c r="W275" s="133"/>
      <c r="X275" s="133"/>
      <c r="Y275" s="133"/>
      <c r="Z275" s="133"/>
      <c r="AJ275" s="285"/>
      <c r="AK275" s="285"/>
      <c r="AL275" s="285"/>
      <c r="AM275" s="285"/>
      <c r="AN275" s="285"/>
    </row>
    <row r="276" spans="1:40" x14ac:dyDescent="0.35">
      <c r="A276" s="290"/>
      <c r="B276" s="249" t="s">
        <v>906</v>
      </c>
      <c r="C276" s="167"/>
      <c r="D276" s="128">
        <f>('Unit costs'!$D165*'Financial impact (cash)'!D$13)+('Unit costs'!$E165*'Financial impact (cash)'!D$14)+('Unit costs'!$F165*'Financial impact (cash)'!D$15)+('Unit costs'!$G165*'Financial impact (cash)'!D$16)+('Unit costs'!$H165*'Financial impact (cash)'!D$17)+('Unit costs'!$I165*'Financial impact (cash)'!D$18)+('Unit costs'!$J165*'Financial impact (cash)'!D$19)+('Unit costs'!$K165*'Financial impact (cash)'!D$20)+('Unit costs'!$L165*'Financial impact (cash)'!D$21)+('Unit costs'!$M165*'Financial impact (cash)'!D$22)+('Unit costs'!$N165*'Financial impact (cash)'!D$23)+('Unit costs'!$O165*'Financial impact (cash)'!D$24)+('Unit costs'!$P165*'Financial impact (cash)'!D$25)+('Unit costs'!$Q165*'Financial impact (cash)'!D$26)+('Unit costs'!$R165*'Financial impact (cash)'!D$27)+('Unit costs'!$S165*'Financial impact (cash)'!D$28)+('Unit costs'!$T165*'Financial impact (cash)'!D$29)+('Unit costs'!$U165*'Financial impact (cash)'!D$30)+('Unit costs'!$V165*'Financial impact (cash)'!D$31)</f>
        <v>0</v>
      </c>
      <c r="E276" s="128">
        <f>('Unit costs'!$D165*'Financial impact (cash)'!E$13)+('Unit costs'!$E165*'Financial impact (cash)'!E$14)+('Unit costs'!$F165*'Financial impact (cash)'!E$15)+('Unit costs'!$G165*'Financial impact (cash)'!E$16)+('Unit costs'!$H165*'Financial impact (cash)'!E$17)+('Unit costs'!$I165*'Financial impact (cash)'!E$18)+('Unit costs'!$J165*'Financial impact (cash)'!E$19)+('Unit costs'!$K165*'Financial impact (cash)'!E$20)+('Unit costs'!$L165*'Financial impact (cash)'!E$21)+('Unit costs'!$M165*'Financial impact (cash)'!E$22)+('Unit costs'!$N165*'Financial impact (cash)'!E$23)+('Unit costs'!$O165*'Financial impact (cash)'!E$24)+('Unit costs'!$P165*'Financial impact (cash)'!E$25)+('Unit costs'!$Q165*'Financial impact (cash)'!E$26)+('Unit costs'!$R165*'Financial impact (cash)'!E$27)+('Unit costs'!$S165*'Financial impact (cash)'!E$28)+('Unit costs'!$T165*'Financial impact (cash)'!E$29)+('Unit costs'!$U165*'Financial impact (cash)'!E$30)+('Unit costs'!$V165*'Financial impact (cash)'!E$31)</f>
        <v>0</v>
      </c>
      <c r="F276" s="128">
        <f>('Unit costs'!$D165*'Financial impact (cash)'!F$13)+('Unit costs'!$E165*'Financial impact (cash)'!F$14)+('Unit costs'!$F165*'Financial impact (cash)'!F$15)+('Unit costs'!$G165*'Financial impact (cash)'!F$16)+('Unit costs'!$H165*'Financial impact (cash)'!F$17)+('Unit costs'!$I165*'Financial impact (cash)'!F$18)+('Unit costs'!$J165*'Financial impact (cash)'!F$19)+('Unit costs'!$K165*'Financial impact (cash)'!F$20)+('Unit costs'!$L165*'Financial impact (cash)'!F$21)+('Unit costs'!$M165*'Financial impact (cash)'!F$22)+('Unit costs'!$N165*'Financial impact (cash)'!F$23)+('Unit costs'!$O165*'Financial impact (cash)'!F$24)+('Unit costs'!$P165*'Financial impact (cash)'!F$25)+('Unit costs'!$Q165*'Financial impact (cash)'!F$26)+('Unit costs'!$R165*'Financial impact (cash)'!F$27)+('Unit costs'!$S165*'Financial impact (cash)'!F$28)+('Unit costs'!$T165*'Financial impact (cash)'!F$29)+('Unit costs'!$U165*'Financial impact (cash)'!F$30)+('Unit costs'!$V165*'Financial impact (cash)'!F$31)</f>
        <v>0</v>
      </c>
      <c r="G276" s="128">
        <f>('Unit costs'!$D165*'Financial impact (cash)'!G$13)+('Unit costs'!$E165*'Financial impact (cash)'!G$14)+('Unit costs'!$F165*'Financial impact (cash)'!G$15)+('Unit costs'!$G165*'Financial impact (cash)'!G$16)+('Unit costs'!$H165*'Financial impact (cash)'!G$17)+('Unit costs'!$I165*'Financial impact (cash)'!G$18)+('Unit costs'!$J165*'Financial impact (cash)'!G$19)+('Unit costs'!$K165*'Financial impact (cash)'!G$20)+('Unit costs'!$L165*'Financial impact (cash)'!G$21)+('Unit costs'!$M165*'Financial impact (cash)'!G$22)+('Unit costs'!$N165*'Financial impact (cash)'!G$23)+('Unit costs'!$O165*'Financial impact (cash)'!G$24)+('Unit costs'!$P165*'Financial impact (cash)'!G$25)+('Unit costs'!$Q165*'Financial impact (cash)'!G$26)+('Unit costs'!$R165*'Financial impact (cash)'!G$27)+('Unit costs'!$S165*'Financial impact (cash)'!G$28)+('Unit costs'!$T165*'Financial impact (cash)'!G$29)+('Unit costs'!$U165*'Financial impact (cash)'!G$30)+('Unit costs'!$V165*'Financial impact (cash)'!G$31)</f>
        <v>0</v>
      </c>
      <c r="H276" s="128">
        <f>('Unit costs'!$D165*'Financial impact (cash)'!H$13)+('Unit costs'!$E165*'Financial impact (cash)'!H$14)+('Unit costs'!$F165*'Financial impact (cash)'!H$15)+('Unit costs'!$G165*'Financial impact (cash)'!H$16)+('Unit costs'!$H165*'Financial impact (cash)'!H$17)+('Unit costs'!$I165*'Financial impact (cash)'!H$18)+('Unit costs'!$J165*'Financial impact (cash)'!H$19)+('Unit costs'!$K165*'Financial impact (cash)'!H$20)+('Unit costs'!$L165*'Financial impact (cash)'!H$21)+('Unit costs'!$M165*'Financial impact (cash)'!H$22)+('Unit costs'!$N165*'Financial impact (cash)'!H$23)+('Unit costs'!$O165*'Financial impact (cash)'!H$24)+('Unit costs'!$P165*'Financial impact (cash)'!H$25)+('Unit costs'!$Q165*'Financial impact (cash)'!H$26)+('Unit costs'!$R165*'Financial impact (cash)'!H$27)+('Unit costs'!$S165*'Financial impact (cash)'!H$28)+('Unit costs'!$T165*'Financial impact (cash)'!H$29)+('Unit costs'!$U165*'Financial impact (cash)'!H$30)+('Unit costs'!$V165*'Financial impact (cash)'!H$31)</f>
        <v>0</v>
      </c>
      <c r="I276" s="128">
        <f>('Unit costs'!$D165*'Financial impact (cash)'!I$13)+('Unit costs'!$E165*'Financial impact (cash)'!I$14)+('Unit costs'!$F165*'Financial impact (cash)'!I$15)+('Unit costs'!$G165*'Financial impact (cash)'!I$16)+('Unit costs'!$H165*'Financial impact (cash)'!I$17)+('Unit costs'!$I165*'Financial impact (cash)'!I$18)+('Unit costs'!$J165*'Financial impact (cash)'!I$19)+('Unit costs'!$K165*'Financial impact (cash)'!I$20)+('Unit costs'!$L165*'Financial impact (cash)'!I$21)+('Unit costs'!$M165*'Financial impact (cash)'!I$22)+('Unit costs'!$N165*'Financial impact (cash)'!I$23)+('Unit costs'!$O165*'Financial impact (cash)'!I$24)+('Unit costs'!$P165*'Financial impact (cash)'!I$25)+('Unit costs'!$Q165*'Financial impact (cash)'!I$26)+('Unit costs'!$R165*'Financial impact (cash)'!I$27)+('Unit costs'!$S165*'Financial impact (cash)'!I$28)+('Unit costs'!$T165*'Financial impact (cash)'!I$29)+('Unit costs'!$U165*'Financial impact (cash)'!I$30)+('Unit costs'!$V165*'Financial impact (cash)'!I$31)</f>
        <v>0</v>
      </c>
      <c r="J276" s="290"/>
      <c r="K276" s="291">
        <f>'Unit costs'!C180</f>
        <v>16338.107082152972</v>
      </c>
      <c r="L276" s="291">
        <f>(D276*$K$276)/1000</f>
        <v>0</v>
      </c>
      <c r="M276" s="291">
        <f t="shared" ref="M276:Q276" si="62">(E276*$K$276)/1000</f>
        <v>0</v>
      </c>
      <c r="N276" s="291">
        <f t="shared" si="62"/>
        <v>0</v>
      </c>
      <c r="O276" s="291">
        <f t="shared" si="62"/>
        <v>0</v>
      </c>
      <c r="P276" s="291">
        <f t="shared" si="62"/>
        <v>0</v>
      </c>
      <c r="Q276" s="291">
        <f t="shared" si="62"/>
        <v>0</v>
      </c>
      <c r="R276" s="133"/>
      <c r="S276" s="133"/>
      <c r="T276" s="133"/>
      <c r="U276" s="133"/>
      <c r="V276" s="133"/>
      <c r="W276" s="133"/>
      <c r="X276" s="133"/>
      <c r="Y276" s="133"/>
      <c r="Z276" s="133"/>
      <c r="AJ276" s="285"/>
      <c r="AK276" s="285"/>
      <c r="AL276" s="285"/>
      <c r="AM276" s="285"/>
      <c r="AN276" s="285"/>
    </row>
    <row r="277" spans="1:40" x14ac:dyDescent="0.35">
      <c r="A277" s="290"/>
      <c r="B277" s="249" t="s">
        <v>907</v>
      </c>
      <c r="C277" s="167"/>
      <c r="D277" s="128">
        <f>('Unit costs'!$D166*'Financial impact (cash)'!D$13)+('Unit costs'!$E166*'Financial impact (cash)'!D$14)+('Unit costs'!$F166*'Financial impact (cash)'!D$15)+('Unit costs'!$G166*'Financial impact (cash)'!D$16)+('Unit costs'!$H166*'Financial impact (cash)'!D$17)+('Unit costs'!$I166*'Financial impact (cash)'!D$18)+('Unit costs'!$J166*'Financial impact (cash)'!D$19)+('Unit costs'!$K166*'Financial impact (cash)'!D$20)+('Unit costs'!$L166*'Financial impact (cash)'!D$21)+('Unit costs'!$M166*'Financial impact (cash)'!D$22)+('Unit costs'!$N166*'Financial impact (cash)'!D$23)+('Unit costs'!$O166*'Financial impact (cash)'!D$24)+('Unit costs'!$P166*'Financial impact (cash)'!D$25)+('Unit costs'!$Q166*'Financial impact (cash)'!D$26)+('Unit costs'!$R166*'Financial impact (cash)'!D$27)+('Unit costs'!$S166*'Financial impact (cash)'!D$28)+('Unit costs'!$T166*'Financial impact (cash)'!D$29)+('Unit costs'!$U166*'Financial impact (cash)'!D$30)+('Unit costs'!$V166*'Financial impact (cash)'!D$31)</f>
        <v>0</v>
      </c>
      <c r="E277" s="128">
        <f>('Unit costs'!$D166*'Financial impact (cash)'!E$13)+('Unit costs'!$E166*'Financial impact (cash)'!E$14)+('Unit costs'!$F166*'Financial impact (cash)'!E$15)+('Unit costs'!$G166*'Financial impact (cash)'!E$16)+('Unit costs'!$H166*'Financial impact (cash)'!E$17)+('Unit costs'!$I166*'Financial impact (cash)'!E$18)+('Unit costs'!$J166*'Financial impact (cash)'!E$19)+('Unit costs'!$K166*'Financial impact (cash)'!E$20)+('Unit costs'!$L166*'Financial impact (cash)'!E$21)+('Unit costs'!$M166*'Financial impact (cash)'!E$22)+('Unit costs'!$N166*'Financial impact (cash)'!E$23)+('Unit costs'!$O166*'Financial impact (cash)'!E$24)+('Unit costs'!$P166*'Financial impact (cash)'!E$25)+('Unit costs'!$Q166*'Financial impact (cash)'!E$26)+('Unit costs'!$R166*'Financial impact (cash)'!E$27)+('Unit costs'!$S166*'Financial impact (cash)'!E$28)+('Unit costs'!$T166*'Financial impact (cash)'!E$29)+('Unit costs'!$U166*'Financial impact (cash)'!E$30)+('Unit costs'!$V166*'Financial impact (cash)'!E$31)</f>
        <v>0</v>
      </c>
      <c r="F277" s="128">
        <f>('Unit costs'!$D166*'Financial impact (cash)'!F$13)+('Unit costs'!$E166*'Financial impact (cash)'!F$14)+('Unit costs'!$F166*'Financial impact (cash)'!F$15)+('Unit costs'!$G166*'Financial impact (cash)'!F$16)+('Unit costs'!$H166*'Financial impact (cash)'!F$17)+('Unit costs'!$I166*'Financial impact (cash)'!F$18)+('Unit costs'!$J166*'Financial impact (cash)'!F$19)+('Unit costs'!$K166*'Financial impact (cash)'!F$20)+('Unit costs'!$L166*'Financial impact (cash)'!F$21)+('Unit costs'!$M166*'Financial impact (cash)'!F$22)+('Unit costs'!$N166*'Financial impact (cash)'!F$23)+('Unit costs'!$O166*'Financial impact (cash)'!F$24)+('Unit costs'!$P166*'Financial impact (cash)'!F$25)+('Unit costs'!$Q166*'Financial impact (cash)'!F$26)+('Unit costs'!$R166*'Financial impact (cash)'!F$27)+('Unit costs'!$S166*'Financial impact (cash)'!F$28)+('Unit costs'!$T166*'Financial impact (cash)'!F$29)+('Unit costs'!$U166*'Financial impact (cash)'!F$30)+('Unit costs'!$V166*'Financial impact (cash)'!F$31)</f>
        <v>0</v>
      </c>
      <c r="G277" s="128">
        <f>('Unit costs'!$D166*'Financial impact (cash)'!G$13)+('Unit costs'!$E166*'Financial impact (cash)'!G$14)+('Unit costs'!$F166*'Financial impact (cash)'!G$15)+('Unit costs'!$G166*'Financial impact (cash)'!G$16)+('Unit costs'!$H166*'Financial impact (cash)'!G$17)+('Unit costs'!$I166*'Financial impact (cash)'!G$18)+('Unit costs'!$J166*'Financial impact (cash)'!G$19)+('Unit costs'!$K166*'Financial impact (cash)'!G$20)+('Unit costs'!$L166*'Financial impact (cash)'!G$21)+('Unit costs'!$M166*'Financial impact (cash)'!G$22)+('Unit costs'!$N166*'Financial impact (cash)'!G$23)+('Unit costs'!$O166*'Financial impact (cash)'!G$24)+('Unit costs'!$P166*'Financial impact (cash)'!G$25)+('Unit costs'!$Q166*'Financial impact (cash)'!G$26)+('Unit costs'!$R166*'Financial impact (cash)'!G$27)+('Unit costs'!$S166*'Financial impact (cash)'!G$28)+('Unit costs'!$T166*'Financial impact (cash)'!G$29)+('Unit costs'!$U166*'Financial impact (cash)'!G$30)+('Unit costs'!$V166*'Financial impact (cash)'!G$31)</f>
        <v>0</v>
      </c>
      <c r="H277" s="128">
        <f>('Unit costs'!$D166*'Financial impact (cash)'!H$13)+('Unit costs'!$E166*'Financial impact (cash)'!H$14)+('Unit costs'!$F166*'Financial impact (cash)'!H$15)+('Unit costs'!$G166*'Financial impact (cash)'!H$16)+('Unit costs'!$H166*'Financial impact (cash)'!H$17)+('Unit costs'!$I166*'Financial impact (cash)'!H$18)+('Unit costs'!$J166*'Financial impact (cash)'!H$19)+('Unit costs'!$K166*'Financial impact (cash)'!H$20)+('Unit costs'!$L166*'Financial impact (cash)'!H$21)+('Unit costs'!$M166*'Financial impact (cash)'!H$22)+('Unit costs'!$N166*'Financial impact (cash)'!H$23)+('Unit costs'!$O166*'Financial impact (cash)'!H$24)+('Unit costs'!$P166*'Financial impact (cash)'!H$25)+('Unit costs'!$Q166*'Financial impact (cash)'!H$26)+('Unit costs'!$R166*'Financial impact (cash)'!H$27)+('Unit costs'!$S166*'Financial impact (cash)'!H$28)+('Unit costs'!$T166*'Financial impact (cash)'!H$29)+('Unit costs'!$U166*'Financial impact (cash)'!H$30)+('Unit costs'!$V166*'Financial impact (cash)'!H$31)</f>
        <v>0</v>
      </c>
      <c r="I277" s="128">
        <f>('Unit costs'!$D166*'Financial impact (cash)'!I$13)+('Unit costs'!$E166*'Financial impact (cash)'!I$14)+('Unit costs'!$F166*'Financial impact (cash)'!I$15)+('Unit costs'!$G166*'Financial impact (cash)'!I$16)+('Unit costs'!$H166*'Financial impact (cash)'!I$17)+('Unit costs'!$I166*'Financial impact (cash)'!I$18)+('Unit costs'!$J166*'Financial impact (cash)'!I$19)+('Unit costs'!$K166*'Financial impact (cash)'!I$20)+('Unit costs'!$L166*'Financial impact (cash)'!I$21)+('Unit costs'!$M166*'Financial impact (cash)'!I$22)+('Unit costs'!$N166*'Financial impact (cash)'!I$23)+('Unit costs'!$O166*'Financial impact (cash)'!I$24)+('Unit costs'!$P166*'Financial impact (cash)'!I$25)+('Unit costs'!$Q166*'Financial impact (cash)'!I$26)+('Unit costs'!$R166*'Financial impact (cash)'!I$27)+('Unit costs'!$S166*'Financial impact (cash)'!I$28)+('Unit costs'!$T166*'Financial impact (cash)'!I$29)+('Unit costs'!$U166*'Financial impact (cash)'!I$30)+('Unit costs'!$V166*'Financial impact (cash)'!I$31)</f>
        <v>0</v>
      </c>
      <c r="J277" s="290"/>
      <c r="K277" s="291">
        <f>'Unit costs'!C181</f>
        <v>48.34291784702549</v>
      </c>
      <c r="L277" s="291">
        <f>(D277*$K$277)/1000</f>
        <v>0</v>
      </c>
      <c r="M277" s="291">
        <f t="shared" ref="M277:Q277" si="63">(E277*$K$277)/1000</f>
        <v>0</v>
      </c>
      <c r="N277" s="291">
        <f t="shared" si="63"/>
        <v>0</v>
      </c>
      <c r="O277" s="291">
        <f t="shared" si="63"/>
        <v>0</v>
      </c>
      <c r="P277" s="291">
        <f t="shared" si="63"/>
        <v>0</v>
      </c>
      <c r="Q277" s="291">
        <f t="shared" si="63"/>
        <v>0</v>
      </c>
      <c r="R277" s="133"/>
      <c r="S277" s="133"/>
      <c r="T277" s="133"/>
      <c r="U277" s="133"/>
      <c r="V277" s="133"/>
      <c r="W277" s="133"/>
      <c r="X277" s="133"/>
      <c r="Y277" s="133"/>
      <c r="Z277" s="133"/>
      <c r="AJ277" s="285"/>
      <c r="AK277" s="285"/>
      <c r="AL277" s="285"/>
      <c r="AM277" s="285"/>
      <c r="AN277" s="285"/>
    </row>
    <row r="278" spans="1:40" x14ac:dyDescent="0.35">
      <c r="A278" s="290"/>
      <c r="B278" s="249" t="s">
        <v>908</v>
      </c>
      <c r="C278" s="167"/>
      <c r="D278" s="128">
        <f>('Unit costs'!$D167*'Financial impact (cash)'!D$13)+('Unit costs'!$E167*'Financial impact (cash)'!D$14)+('Unit costs'!$F167*'Financial impact (cash)'!D$15)+('Unit costs'!$G167*'Financial impact (cash)'!D$16)+('Unit costs'!$H167*'Financial impact (cash)'!D$17)+('Unit costs'!$I167*'Financial impact (cash)'!D$18)+('Unit costs'!$J167*'Financial impact (cash)'!D$19)+('Unit costs'!$K167*'Financial impact (cash)'!D$20)+('Unit costs'!$L167*'Financial impact (cash)'!D$21)+('Unit costs'!$M167*'Financial impact (cash)'!D$22)+('Unit costs'!$N167*'Financial impact (cash)'!D$23)+('Unit costs'!$O167*'Financial impact (cash)'!D$24)+('Unit costs'!$P167*'Financial impact (cash)'!D$25)+('Unit costs'!$Q167*'Financial impact (cash)'!D$26)+('Unit costs'!$R167*'Financial impact (cash)'!D$27)+('Unit costs'!$S167*'Financial impact (cash)'!D$28)+('Unit costs'!$T167*'Financial impact (cash)'!D$29)+('Unit costs'!$U167*'Financial impact (cash)'!D$30)+('Unit costs'!$V167*'Financial impact (cash)'!D$31)</f>
        <v>0</v>
      </c>
      <c r="E278" s="128">
        <f>('Unit costs'!$D167*'Financial impact (cash)'!E$13)+('Unit costs'!$E167*'Financial impact (cash)'!E$14)+('Unit costs'!$F167*'Financial impact (cash)'!E$15)+('Unit costs'!$G167*'Financial impact (cash)'!E$16)+('Unit costs'!$H167*'Financial impact (cash)'!E$17)+('Unit costs'!$I167*'Financial impact (cash)'!E$18)+('Unit costs'!$J167*'Financial impact (cash)'!E$19)+('Unit costs'!$K167*'Financial impact (cash)'!E$20)+('Unit costs'!$L167*'Financial impact (cash)'!E$21)+('Unit costs'!$M167*'Financial impact (cash)'!E$22)+('Unit costs'!$N167*'Financial impact (cash)'!E$23)+('Unit costs'!$O167*'Financial impact (cash)'!E$24)+('Unit costs'!$P167*'Financial impact (cash)'!E$25)+('Unit costs'!$Q167*'Financial impact (cash)'!E$26)+('Unit costs'!$R167*'Financial impact (cash)'!E$27)+('Unit costs'!$S167*'Financial impact (cash)'!E$28)+('Unit costs'!$T167*'Financial impact (cash)'!E$29)+('Unit costs'!$U167*'Financial impact (cash)'!E$30)+('Unit costs'!$V167*'Financial impact (cash)'!E$31)</f>
        <v>0</v>
      </c>
      <c r="F278" s="128">
        <f>('Unit costs'!$D167*'Financial impact (cash)'!F$13)+('Unit costs'!$E167*'Financial impact (cash)'!F$14)+('Unit costs'!$F167*'Financial impact (cash)'!F$15)+('Unit costs'!$G167*'Financial impact (cash)'!F$16)+('Unit costs'!$H167*'Financial impact (cash)'!F$17)+('Unit costs'!$I167*'Financial impact (cash)'!F$18)+('Unit costs'!$J167*'Financial impact (cash)'!F$19)+('Unit costs'!$K167*'Financial impact (cash)'!F$20)+('Unit costs'!$L167*'Financial impact (cash)'!F$21)+('Unit costs'!$M167*'Financial impact (cash)'!F$22)+('Unit costs'!$N167*'Financial impact (cash)'!F$23)+('Unit costs'!$O167*'Financial impact (cash)'!F$24)+('Unit costs'!$P167*'Financial impact (cash)'!F$25)+('Unit costs'!$Q167*'Financial impact (cash)'!F$26)+('Unit costs'!$R167*'Financial impact (cash)'!F$27)+('Unit costs'!$S167*'Financial impact (cash)'!F$28)+('Unit costs'!$T167*'Financial impact (cash)'!F$29)+('Unit costs'!$U167*'Financial impact (cash)'!F$30)+('Unit costs'!$V167*'Financial impact (cash)'!F$31)</f>
        <v>0</v>
      </c>
      <c r="G278" s="128">
        <f>('Unit costs'!$D167*'Financial impact (cash)'!G$13)+('Unit costs'!$E167*'Financial impact (cash)'!G$14)+('Unit costs'!$F167*'Financial impact (cash)'!G$15)+('Unit costs'!$G167*'Financial impact (cash)'!G$16)+('Unit costs'!$H167*'Financial impact (cash)'!G$17)+('Unit costs'!$I167*'Financial impact (cash)'!G$18)+('Unit costs'!$J167*'Financial impact (cash)'!G$19)+('Unit costs'!$K167*'Financial impact (cash)'!G$20)+('Unit costs'!$L167*'Financial impact (cash)'!G$21)+('Unit costs'!$M167*'Financial impact (cash)'!G$22)+('Unit costs'!$N167*'Financial impact (cash)'!G$23)+('Unit costs'!$O167*'Financial impact (cash)'!G$24)+('Unit costs'!$P167*'Financial impact (cash)'!G$25)+('Unit costs'!$Q167*'Financial impact (cash)'!G$26)+('Unit costs'!$R167*'Financial impact (cash)'!G$27)+('Unit costs'!$S167*'Financial impact (cash)'!G$28)+('Unit costs'!$T167*'Financial impact (cash)'!G$29)+('Unit costs'!$U167*'Financial impact (cash)'!G$30)+('Unit costs'!$V167*'Financial impact (cash)'!G$31)</f>
        <v>0</v>
      </c>
      <c r="H278" s="128">
        <f>('Unit costs'!$D167*'Financial impact (cash)'!H$13)+('Unit costs'!$E167*'Financial impact (cash)'!H$14)+('Unit costs'!$F167*'Financial impact (cash)'!H$15)+('Unit costs'!$G167*'Financial impact (cash)'!H$16)+('Unit costs'!$H167*'Financial impact (cash)'!H$17)+('Unit costs'!$I167*'Financial impact (cash)'!H$18)+('Unit costs'!$J167*'Financial impact (cash)'!H$19)+('Unit costs'!$K167*'Financial impact (cash)'!H$20)+('Unit costs'!$L167*'Financial impact (cash)'!H$21)+('Unit costs'!$M167*'Financial impact (cash)'!H$22)+('Unit costs'!$N167*'Financial impact (cash)'!H$23)+('Unit costs'!$O167*'Financial impact (cash)'!H$24)+('Unit costs'!$P167*'Financial impact (cash)'!H$25)+('Unit costs'!$Q167*'Financial impact (cash)'!H$26)+('Unit costs'!$R167*'Financial impact (cash)'!H$27)+('Unit costs'!$S167*'Financial impact (cash)'!H$28)+('Unit costs'!$T167*'Financial impact (cash)'!H$29)+('Unit costs'!$U167*'Financial impact (cash)'!H$30)+('Unit costs'!$V167*'Financial impact (cash)'!H$31)</f>
        <v>0</v>
      </c>
      <c r="I278" s="128">
        <f>('Unit costs'!$D167*'Financial impact (cash)'!I$13)+('Unit costs'!$E167*'Financial impact (cash)'!I$14)+('Unit costs'!$F167*'Financial impact (cash)'!I$15)+('Unit costs'!$G167*'Financial impact (cash)'!I$16)+('Unit costs'!$H167*'Financial impact (cash)'!I$17)+('Unit costs'!$I167*'Financial impact (cash)'!I$18)+('Unit costs'!$J167*'Financial impact (cash)'!I$19)+('Unit costs'!$K167*'Financial impact (cash)'!I$20)+('Unit costs'!$L167*'Financial impact (cash)'!I$21)+('Unit costs'!$M167*'Financial impact (cash)'!I$22)+('Unit costs'!$N167*'Financial impact (cash)'!I$23)+('Unit costs'!$O167*'Financial impact (cash)'!I$24)+('Unit costs'!$P167*'Financial impact (cash)'!I$25)+('Unit costs'!$Q167*'Financial impact (cash)'!I$26)+('Unit costs'!$R167*'Financial impact (cash)'!I$27)+('Unit costs'!$S167*'Financial impact (cash)'!I$28)+('Unit costs'!$T167*'Financial impact (cash)'!I$29)+('Unit costs'!$U167*'Financial impact (cash)'!I$30)+('Unit costs'!$V167*'Financial impact (cash)'!I$31)</f>
        <v>0</v>
      </c>
      <c r="J278" s="290"/>
      <c r="K278" s="291">
        <f>'Unit costs'!C182</f>
        <v>909.69220963172802</v>
      </c>
      <c r="L278" s="291">
        <f>(D278*$K$278)/1000</f>
        <v>0</v>
      </c>
      <c r="M278" s="291">
        <f t="shared" ref="M278:Q278" si="64">(E278*$K$278)/1000</f>
        <v>0</v>
      </c>
      <c r="N278" s="291">
        <f t="shared" si="64"/>
        <v>0</v>
      </c>
      <c r="O278" s="291">
        <f t="shared" si="64"/>
        <v>0</v>
      </c>
      <c r="P278" s="291">
        <f t="shared" si="64"/>
        <v>0</v>
      </c>
      <c r="Q278" s="291">
        <f t="shared" si="64"/>
        <v>0</v>
      </c>
      <c r="R278" s="133"/>
      <c r="S278" s="133"/>
      <c r="T278" s="133"/>
      <c r="U278" s="133"/>
      <c r="V278" s="133"/>
      <c r="W278" s="133"/>
      <c r="X278" s="133"/>
      <c r="Y278" s="133"/>
      <c r="Z278" s="133"/>
      <c r="AJ278" s="285"/>
      <c r="AK278" s="285"/>
      <c r="AL278" s="285"/>
      <c r="AM278" s="285"/>
      <c r="AN278" s="285"/>
    </row>
    <row r="279" spans="1:40" x14ac:dyDescent="0.35">
      <c r="A279" s="290"/>
      <c r="B279" s="279"/>
      <c r="C279" s="207"/>
      <c r="D279" s="185">
        <f>SUM(D268:D278)</f>
        <v>0</v>
      </c>
      <c r="E279" s="185">
        <f t="shared" ref="E279:I279" si="65">SUM(E268:E278)</f>
        <v>0</v>
      </c>
      <c r="F279" s="185">
        <f t="shared" si="65"/>
        <v>0</v>
      </c>
      <c r="G279" s="185">
        <f t="shared" si="65"/>
        <v>0</v>
      </c>
      <c r="H279" s="185">
        <f t="shared" si="65"/>
        <v>0</v>
      </c>
      <c r="I279" s="185">
        <f t="shared" si="65"/>
        <v>0</v>
      </c>
      <c r="J279" s="290"/>
      <c r="K279" s="290"/>
      <c r="L279" s="292">
        <f>SUM(L268:L278)</f>
        <v>0</v>
      </c>
      <c r="M279" s="292">
        <f t="shared" ref="M279:Q279" si="66">SUM(M268:M278)</f>
        <v>0</v>
      </c>
      <c r="N279" s="292">
        <f t="shared" si="66"/>
        <v>0</v>
      </c>
      <c r="O279" s="292">
        <f t="shared" si="66"/>
        <v>0</v>
      </c>
      <c r="P279" s="292">
        <f t="shared" si="66"/>
        <v>0</v>
      </c>
      <c r="Q279" s="292">
        <f t="shared" si="66"/>
        <v>0</v>
      </c>
      <c r="R279" s="133"/>
      <c r="S279" s="133"/>
      <c r="T279" s="133"/>
      <c r="U279" s="133"/>
      <c r="V279" s="133"/>
      <c r="W279" s="133"/>
      <c r="X279" s="133"/>
      <c r="Y279" s="133"/>
      <c r="Z279" s="133"/>
      <c r="AJ279" s="285"/>
      <c r="AK279" s="285"/>
      <c r="AL279" s="285"/>
      <c r="AM279" s="285"/>
      <c r="AN279" s="285"/>
    </row>
    <row r="280" spans="1:40" x14ac:dyDescent="0.35">
      <c r="A280" s="290"/>
      <c r="B280" s="307"/>
      <c r="C280" s="207"/>
      <c r="D280" s="284" t="s">
        <v>1016</v>
      </c>
      <c r="E280" s="185">
        <f>E279-$D$279</f>
        <v>0</v>
      </c>
      <c r="F280" s="185">
        <f>F279-$D$279</f>
        <v>0</v>
      </c>
      <c r="G280" s="185">
        <f>G279-$D$279</f>
        <v>0</v>
      </c>
      <c r="H280" s="185">
        <f>H279-$D$279</f>
        <v>0</v>
      </c>
      <c r="I280" s="185">
        <f>I279-$D$279</f>
        <v>0</v>
      </c>
      <c r="J280" s="290"/>
      <c r="K280" s="290"/>
      <c r="L280" s="546"/>
      <c r="M280" s="292">
        <f>M279-$L$279</f>
        <v>0</v>
      </c>
      <c r="N280" s="292">
        <f>N279-$L$279</f>
        <v>0</v>
      </c>
      <c r="O280" s="292">
        <f>O279-$L$279</f>
        <v>0</v>
      </c>
      <c r="P280" s="292">
        <f>P279-$L$279</f>
        <v>0</v>
      </c>
      <c r="Q280" s="292">
        <f>Q279-$L$279</f>
        <v>0</v>
      </c>
    </row>
    <row r="281" spans="1:40" x14ac:dyDescent="0.35">
      <c r="A281" s="290"/>
      <c r="B281" s="290"/>
      <c r="C281" s="290"/>
      <c r="D281" s="290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290"/>
      <c r="P281" s="290"/>
      <c r="Q281" s="290"/>
    </row>
    <row r="282" spans="1:40" x14ac:dyDescent="0.35">
      <c r="B282"/>
    </row>
    <row r="283" spans="1:40" x14ac:dyDescent="0.35">
      <c r="B283"/>
    </row>
    <row r="284" spans="1:40" x14ac:dyDescent="0.35">
      <c r="B284"/>
    </row>
    <row r="285" spans="1:40" x14ac:dyDescent="0.35">
      <c r="B285"/>
    </row>
    <row r="286" spans="1:40" x14ac:dyDescent="0.35">
      <c r="B286"/>
    </row>
  </sheetData>
  <sheetProtection algorithmName="SHA-512" hashValue="E8nmJAMuDwjaQIDPutogxGkgI/RkE5UBB5494K74MAB8FDLqqal/8Hzz78t4qqe0xAENDZ2Qh3kRa4cJUAl2Uw==" saltValue="BDg6WBSM6gp9rx2qcmoGpw==" spinCount="100000" sheet="1" objects="1" scenarios="1"/>
  <protectedRanges>
    <protectedRange sqref="B268:B278" name="Range1_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82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c1f338ac-e338-414f-952c-f74dcc6d59e1"/>
    <ds:schemaRef ds:uri="http://schemas.microsoft.com/office/2006/documentManagement/types"/>
    <ds:schemaRef ds:uri="http://purl.org/dc/terms/"/>
    <ds:schemaRef ds:uri="http://schemas.microsoft.com/office/infopath/2007/PartnerControls"/>
    <ds:schemaRef ds:uri="acaf4567-dc07-471f-892c-2bcb86ef35ae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b656aa-4e79-4e95-9076-bc119a23e0c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TA1053 Cladribine for treating active relapsing forms of multiple sclerosis: Resource impact template 15/04/2025</dc:title>
  <dc:subject/>
  <dc:creator/>
  <cp:keywords/>
  <dc:description/>
  <cp:lastModifiedBy/>
  <cp:revision/>
  <dcterms:created xsi:type="dcterms:W3CDTF">2022-07-27T12:38:28Z</dcterms:created>
  <dcterms:modified xsi:type="dcterms:W3CDTF">2025-04-14T07:55:05Z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